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Trigger grid" sheetId="2" state="visible" r:id="rId4"/>
    <sheet name="Headroom monitor" sheetId="3" state="visible" r:id="rId5"/>
    <sheet name="Stress testing" sheetId="4" state="visible" r:id="rId6"/>
    <sheet name="Lead and lag" sheetId="5" state="visible" r:id="rId7"/>
    <sheet name="The four numbers"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<sst xmlns="http://schemas.openxmlformats.org/spreadsheetml/2006/main" count="310" uniqueCount="262">
  <si>
    <t xml:space="preserve">Trigger Design and Stress Testing</t>
  </si>
  <si>
    <t xml:space="preserve">Companion workbook 3 — The Asset-Based Finance Handbook, Julian R. Sterling</t>
  </si>
  <si>
    <t xml:space="preserve">Appendix E is a grid of trigger levels expressed as rules. Appendix G is a stress framework expressed as three cases and one solve. Neither has a number in it. This workbook turns both into calculators, and then does something the book does not: it runs the Appendix E rules against the actual trigger levels in Chapter 22 to see whether they agree.
They do, and closely enough to be worth knowing. That is on the Trigger grid sheet.
Six sheets.
Trigger grid — Appendix E as a calculator. Put in the expected performance and the grid produces all four levels. Then the reconciliation block works backwards from Chapter 22's stated levels to the expectation they imply.
Headroom monitor — Appendix A question three, as a live dashboard. Every trigger, its level, current performance, the headroom in points and in per cent, and whether the measure leads or lags. Colour-free and printable.
Stress testing — Appendix G. Base, downside, severe, and the break-even solve, with the downside multiple driven by the length of the data history the way Appendix G says it should be. Plus the four single-factor sensitivities the appendix lists.
Loss timing — Chapter 4's point that timing matters as much as level, made concrete. The same cumulative loss delivered on three different curves, and the month at which each one takes the structure through its triggers.
The four numbers — the gross loss rate, the recovery, the prepayment rate and the yield, from Chapter 4, tied together into the net loss that the enhancement has to absorb.
Checks — what this workbook reproduces from the book, and what it does not.
Blue is input, black and green are formulas, yellow marks the assumptions that move everything.</t>
  </si>
  <si>
    <t xml:space="preserve">Revised 24 September 2026. The Checks sheet ends on an ALL OK line. The pool yield solved on "The four numbers" (15.8%) is now the one the Meridian run-off uses in workbook 2.</t>
  </si>
  <si>
    <t xml:space="preserve">Appendix E — the trigger design grid, as a calculator</t>
  </si>
  <si>
    <t xml:space="preserve">Set levels from the vintage data, not from precedent. The correct question for level three is: at what performance would I want to stop buying assets?</t>
  </si>
  <si>
    <t xml:space="preserve">Expected performance — the base the grid is built from</t>
  </si>
  <si>
    <t xml:space="preserve">What the reconciliation shows</t>
  </si>
  <si>
    <t xml:space="preserve">Expected 60+ day delinquency</t>
  </si>
  <si>
    <t xml:space="preserve">Appendix E gives rules and no numbers. Chapter 22 gives numbers and no rules. Putting them together is the obvious test and the book never performs it.
The level one delinquency trigger of 3.2% implies an expected 60+ delinquency of 2.46%. The level two trigger of 4.0% implies 2.50%. Those are four hundredths of a point apart, which is as close as two levels rounded to one decimal place can come. The two triggers in Chapter 22 were set from the same expectation, using the Appendix E rules, and then rounded for the document. Nothing in the text says so.
That expectation of about 2.5% is also consistent with the reported performance: Stage four says delinquency runs at 2.6% to 2.9%, which is at and slightly above expectation from the start. The facility was never running comfortably; it was running with three tenths of a point of headroom, and catering used it up in fourteen months.
The excess spread floor works the same way. Level one fires below 4.5%; Appendix E says floor plus 100 basis points; so the floor is 3.5%, which is the excess spread at which the structure stops covering its own costs with a margin. That number is never stated and it is the more useful of the two.
The level two vintage trigger implies a base cumulative loss at month eighteen of 3.0%, against a terminal base case of 2.4% on the eligible pool. A vintage reaching 3.0% by month eighteen and 2.4% in total is impossible, so the 3.0% must be the expectation for a vintage of the deteriorating 2022 and 2023 kind, not for the eligible pool the fund underwrote. That is a sensible way to set it — the trigger watches for the old problem coming back — but it is worth noticing that this one trigger is calibrated to a different pool from the rest of the structure.
The level three cumulative loss trigger of 6.0% is exactly the downside case. The structure stops buying assets at the loss level the underwriting called its downside, which is the cleanest possible answer to the Appendix E question: at what performance would I want to stop buying assets?</t>
  </si>
  <si>
    <t xml:space="preserve">Excess spread floor</t>
  </si>
  <si>
    <t xml:space="preserve">Base cumulative net loss on a vintage at the measurement age</t>
  </si>
  <si>
    <t xml:space="preserve">Amortisation-level cumulative net loss</t>
  </si>
  <si>
    <t xml:space="preserve">Expected dilution</t>
  </si>
  <si>
    <t xml:space="preserve">The grid</t>
  </si>
  <si>
    <t xml:space="preserve">Level</t>
  </si>
  <si>
    <t xml:space="preserve">60+ delinquency</t>
  </si>
  <si>
    <t xml:space="preserve">Excess spread</t>
  </si>
  <si>
    <t xml:space="preserve">Vintage cumulative loss</t>
  </si>
  <si>
    <t xml:space="preserve">Consequence</t>
  </si>
  <si>
    <t xml:space="preserve">1 — Watch</t>
  </si>
  <si>
    <t xml:space="preserve">—</t>
  </si>
  <si>
    <t xml:space="preserve">Weekly reporting; residual distributions suspended; management meeting required</t>
  </si>
  <si>
    <t xml:space="preserve">2 — Tighten</t>
  </si>
  <si>
    <t xml:space="preserve">Advance rate steps down; reserves increase; new originator or channel additions suspended</t>
  </si>
  <si>
    <t xml:space="preserve">3 — Stop</t>
  </si>
  <si>
    <t xml:space="preserve">Revolving period ends; sequential amortisation; backup servicer put on notice</t>
  </si>
  <si>
    <t xml:space="preserve">4 — Default</t>
  </si>
  <si>
    <t xml:space="preserve">event-based</t>
  </si>
  <si>
    <t xml:space="preserve">Acceleration; enforcement; servicer replaced</t>
  </si>
  <si>
    <t xml:space="preserve">The Appendix E rules, as parameters</t>
  </si>
  <si>
    <t xml:space="preserve">Level one delinquency: expected plus</t>
  </si>
  <si>
    <t xml:space="preserve">Level one excess spread: floor plus</t>
  </si>
  <si>
    <t xml:space="preserve">Level two delinquency: expected plus</t>
  </si>
  <si>
    <t xml:space="preserve">Level two vintage loss: base plus</t>
  </si>
  <si>
    <t xml:space="preserve">Level one covenant proximity test</t>
  </si>
  <si>
    <t xml:space="preserve">Reconciliation — do the Appendix E rules produce the Chapter 22 levels?</t>
  </si>
  <si>
    <t xml:space="preserve">Measure</t>
  </si>
  <si>
    <t xml:space="preserve">Chapter 22 level</t>
  </si>
  <si>
    <t xml:space="preserve">Appendix E rule</t>
  </si>
  <si>
    <t xml:space="preserve">Expectation the level implies</t>
  </si>
  <si>
    <t xml:space="preserve">Level one 60+ delinquency</t>
  </si>
  <si>
    <t xml:space="preserve">expected plus 30%</t>
  </si>
  <si>
    <t xml:space="preserve">Level two 60+ delinquency</t>
  </si>
  <si>
    <t xml:space="preserve">expected plus 60%</t>
  </si>
  <si>
    <t xml:space="preserve">Level one excess spread</t>
  </si>
  <si>
    <t xml:space="preserve">floor plus 100bp</t>
  </si>
  <si>
    <t xml:space="preserve">Level two vintage cumulative loss</t>
  </si>
  <si>
    <t xml:space="preserve">base plus 50%</t>
  </si>
  <si>
    <t xml:space="preserve">Level three cumulative loss</t>
  </si>
  <si>
    <t xml:space="preserve">the amortisation level</t>
  </si>
  <si>
    <t xml:space="preserve">Expectation implied by the level one delinquency trigger</t>
  </si>
  <si>
    <t xml:space="preserve">Expectation implied by the level two delinquency trigger</t>
  </si>
  <si>
    <t xml:space="preserve">Difference between the two</t>
  </si>
  <si>
    <t xml:space="preserve">Do the two levels imply the same expectation, within a tenth of a point?</t>
  </si>
  <si>
    <t xml:space="preserve">Excess spread floor implied</t>
  </si>
  <si>
    <t xml:space="preserve">Vintage base at month eighteen implied</t>
  </si>
  <si>
    <t xml:space="preserve">Level three loss trigger against the downside case of 6.0%</t>
  </si>
  <si>
    <t xml:space="preserve">Appendix A question three — trigger headroom</t>
  </si>
  <si>
    <t xml:space="preserve">List each trigger, its level, current performance, and the percentage headroom. Identify which lead and which lag.</t>
  </si>
  <si>
    <t xml:space="preserve">Trigger</t>
  </si>
  <si>
    <t xml:space="preserve">Direction</t>
  </si>
  <si>
    <t xml:space="preserve">Current</t>
  </si>
  <si>
    <t xml:space="preserve">Headroom</t>
  </si>
  <si>
    <t xml:space="preserve">Headroom %</t>
  </si>
  <si>
    <t xml:space="preserve">Leads or lags</t>
  </si>
  <si>
    <t xml:space="preserve">Status</t>
  </si>
  <si>
    <t xml:space="preserve">Why the leads-or-lags column is the important one</t>
  </si>
  <si>
    <t xml:space="preserve">60+ day delinquency</t>
  </si>
  <si>
    <t xml:space="preserve">above</t>
  </si>
  <si>
    <t xml:space="preserve">leads</t>
  </si>
  <si>
    <t xml:space="preserve">Chapter 5: delinquency leads default; default leads charge-off; charge-off leads cumulative loss. A structure whose only trigger is cumulative net loss will react roughly a year too late.
So a headroom table with generous margins everywhere can still describe a badly designed structure, if all the margin sits on the lagging measures. The proportion of leading triggers at the bottom is the number to look at first, before any of the individual headrooms.
Chapter 22's structure passes this test. Both of its level one measures — delinquency and excess spread — lead. The cumulative loss triggers exist, and they are set at sensible levels, but they are not what stops the facility; delinquency is. Chapter 22 makes the point explicitly in What made the difference: layered triggers on delinquency and excess spread, rather than a single trigger on cumulative loss, ended the revolving period roughly a year earlier than a conventional structure would have.
A year of a revolving facility buying assets from a deteriorating originator is, on this facility's numbers, roughly EUR 100 million of assets. That is what the design of the trigger ladder was worth, and it is a larger number than anything the pricing negotiation moved.
The excess spread line is the one most often left out of a monitoring pack, because it needs the servicer's full income statement for the pool rather than just the delinquency report. It is also the measure that moves first when an originator starts writing thinner business to hold volume. Ask for it monthly.
The proximity test at the bottom implements the third clause of Appendix E's level one: any covenant within 10% of breach. It is worth setting, because a covenant that has quietly moved from 40% headroom to 8% has told you something even though nothing has fired.</t>
  </si>
  <si>
    <t xml:space="preserve">60+ day delinquency, level two</t>
  </si>
  <si>
    <t xml:space="preserve">60+ day delinquency, level three</t>
  </si>
  <si>
    <t xml:space="preserve">Three-month average excess spread</t>
  </si>
  <si>
    <t xml:space="preserve">below</t>
  </si>
  <si>
    <t xml:space="preserve">Cumulative net loss on any vintage at month 18</t>
  </si>
  <si>
    <t xml:space="preserve">lags</t>
  </si>
  <si>
    <t xml:space="preserve">Cumulative net loss, amortisation level</t>
  </si>
  <si>
    <t xml:space="preserve">Dilution against the reserve</t>
  </si>
  <si>
    <t xml:space="preserve">Minimum tangible net worth (EUR m)</t>
  </si>
  <si>
    <t xml:space="preserve">Minimum unrestricted liquidity (EUR m)</t>
  </si>
  <si>
    <t xml:space="preserve">Borrowing base deficiency (EUR m)</t>
  </si>
  <si>
    <t xml:space="preserve">Triggers breached</t>
  </si>
  <si>
    <t xml:space="preserve">Triggers within the proximity test</t>
  </si>
  <si>
    <t xml:space="preserve">Proximity test</t>
  </si>
  <si>
    <t xml:space="preserve">Leading triggers as a proportion of the total</t>
  </si>
  <si>
    <t xml:space="preserve">Verdict on the structure's warning system</t>
  </si>
  <si>
    <t xml:space="preserve">Appendix G — the stress framework</t>
  </si>
  <si>
    <t xml:space="preserve">For each position, produce three cases and one solve.</t>
  </si>
  <si>
    <t xml:space="preserve">The position</t>
  </si>
  <si>
    <t xml:space="preserve">The solve is the number that travels</t>
  </si>
  <si>
    <t xml:space="preserve">Eligible pool (EUR m)</t>
  </si>
  <si>
    <t xml:space="preserve">Appendix G asks for three cases and one solve, and it is the solve that matters. The cumulative net loss at which the position first loses principal, expressed as an absolute rate and as a multiple of base, is the position's headline risk measure and should be reported alongside its yield.
The reason is portability. A 9.5% yield on a position with a break-even at 2.1 times base is a different instrument from a 9.5% yield on one that breaks even at 5.0 times, and no other single number distinguishes them. Two positions in different asset classes with different loss levels can be compared on this one.
The multiple selector at the top implements the Appendix G rule literally: 2.0 times where fifteen years of data spanning two recessions exists, 3.0 to 4.0 where the data is shorter than a cycle. Meridian's seven years put it firmly in the second category, and Chapter 22 applied 2.5 times.
Read on its own that looks like a breach of the framework. It is not, and the sheet shows why: the enhancement was set at 12%, a break-even of 5.0 times base, which is above the top of the Appendix G downside range. The downside case was run generously and the enhancement was set conservatively. What matters is where the enhancement lands, not what the intermediate case was called.
Test it yourself. Set the applied multiple to 4.0, the top of the Appendix G range for short data. The floor becomes 11.1%, and the 12% enhancement still clears it. The transaction survives its own most conservative reading, which is a stronger statement than the chapter makes about it.
The severe case is where most stress frameworks stop being honest. Appendix G is specific: downside plus originator insolvency at the worst moment, a servicing transition of the contractually realistic duration, collections during transition reduced by 20% to 30%, and the transition cost funded from the reserve. Every one of those is a real event in Stage five, and every one of them was provided for before closing.
The single-factor sensitivities are left at zero except the largest obligor, because their effect depends entirely on the position. Residual value to zero is nil here — operating leases were excluded from the eligible pool, which is precisely why. On a position that had kept them it would be the largest number on the sheet.</t>
  </si>
  <si>
    <t xml:space="preserve">Advance rate</t>
  </si>
  <si>
    <t xml:space="preserve">Years of loss history available</t>
  </si>
  <si>
    <t xml:space="preserve">Does the history span a full credit cycle?</t>
  </si>
  <si>
    <t xml:space="preserve">Base cumulative net loss</t>
  </si>
  <si>
    <t xml:space="preserve">Base prepayment rate, per annum</t>
  </si>
  <si>
    <t xml:space="preserve">Servicing transition reserve (EUR m)</t>
  </si>
  <si>
    <t xml:space="preserve">Margin for data and servicing risk</t>
  </si>
  <si>
    <t xml:space="preserve">Senior advanced (EUR m)</t>
  </si>
  <si>
    <t xml:space="preserve">Credit enhancement</t>
  </si>
  <si>
    <t xml:space="preserve">The Appendix G downside multiple</t>
  </si>
  <si>
    <t xml:space="preserve">Multiple where fifteen years spanning two recessions exists</t>
  </si>
  <si>
    <t xml:space="preserve">Multiple where the data is shorter than a cycle, low</t>
  </si>
  <si>
    <t xml:space="preserve">Multiple where the data is shorter than a cycle, high</t>
  </si>
  <si>
    <t xml:space="preserve">Multiple the rule selects for this position</t>
  </si>
  <si>
    <t xml:space="preserve">Multiple actually applied</t>
  </si>
  <si>
    <t xml:space="preserve">Applied against the rule</t>
  </si>
  <si>
    <t xml:space="preserve">The three cases and the solve</t>
  </si>
  <si>
    <t xml:space="preserve">Case</t>
  </si>
  <si>
    <t xml:space="preserve">Cumulative net loss</t>
  </si>
  <si>
    <t xml:space="preserve">Multiple of base</t>
  </si>
  <si>
    <t xml:space="preserve">Absorbed by enhancement?</t>
  </si>
  <si>
    <t xml:space="preserve">Loss to the senior</t>
  </si>
  <si>
    <t xml:space="preserve">Base</t>
  </si>
  <si>
    <t xml:space="preserve">Downside</t>
  </si>
  <si>
    <t xml:space="preserve">Downside plus the data and servicing margin</t>
  </si>
  <si>
    <t xml:space="preserve">Severe: downside, insolvency, transition, collections cut</t>
  </si>
  <si>
    <t xml:space="preserve">Break-even: the loss at which the senior first loses principal</t>
  </si>
  <si>
    <t xml:space="preserve">Severe case parameters</t>
  </si>
  <si>
    <t xml:space="preserve">Servicing performance reduction in the downside</t>
  </si>
  <si>
    <t xml:space="preserve">Collections reduction during the transition</t>
  </si>
  <si>
    <t xml:space="preserve">Transition duration, contractually realistic (months)</t>
  </si>
  <si>
    <t xml:space="preserve">Transition cost funded from the reserve (EUR m)</t>
  </si>
  <si>
    <t xml:space="preserve">Collections lost during the transition (EUR m)</t>
  </si>
  <si>
    <t xml:space="preserve">Transition cost against the reserve</t>
  </si>
  <si>
    <t xml:space="preserve">Single-factor sensitivities</t>
  </si>
  <si>
    <t xml:space="preserve">Sensitivity</t>
  </si>
  <si>
    <t xml:space="preserve">Effect on cumulative loss</t>
  </si>
  <si>
    <t xml:space="preserve">Total loss</t>
  </si>
  <si>
    <t xml:space="preserve">Absorbed?</t>
  </si>
  <si>
    <t xml:space="preserve">Residual value to zero on the exposed proportion</t>
  </si>
  <si>
    <t xml:space="preserve">Largest obligor to zero</t>
  </si>
  <si>
    <t xml:space="preserve">Take-out market closed for eighteen months</t>
  </si>
  <si>
    <t xml:space="preserve">Discount spread widens by 200 basis points</t>
  </si>
  <si>
    <t xml:space="preserve">All four applied together, on top of the downside</t>
  </si>
  <si>
    <t xml:space="preserve">Reported alongside the yield</t>
  </si>
  <si>
    <t xml:space="preserve">Break-even cumulative net loss</t>
  </si>
  <si>
    <t xml:space="preserve">Break-even as a multiple of base</t>
  </si>
  <si>
    <t xml:space="preserve">Appendix A verdict</t>
  </si>
  <si>
    <t xml:space="preserve">Judged at the conservative end because the data is short?</t>
  </si>
  <si>
    <t xml:space="preserve">Why a lagging trigger reacts a year late</t>
  </si>
  <si>
    <t xml:space="preserve">Delinquency leads default; default leads charge-off; charge-off leads cumulative loss.</t>
  </si>
  <si>
    <t xml:space="preserve">The emergence chain</t>
  </si>
  <si>
    <t xml:space="preserve">What the lag is made of, and what it costs</t>
  </si>
  <si>
    <t xml:space="preserve">Months from 60+ delinquency to termination and default</t>
  </si>
  <si>
    <t xml:space="preserve">Chapter 5 says a structure whose only trigger is cumulative net loss will react roughly a year too late, and does not say where the year comes from. It comes from the emergence chain, and the chain can be written down.
A contract goes sixty days past due. Three months later it is terminated and in default. The asset is repossessed and sold — six months for a commercial vehicle, longer for plant, and effectively never for a used commercial kitchen. The recovery is applied and the net loss finally appears in the vintage data three months after that. Twelve months, and none of the three steps is unusual.
So the delay is not a design flaw that better drafting removes. It is the physical time it takes for a bad contract to become a recognised loss. The only way to react sooner is to trigger on something that happens earlier, which is why Appendix E puts delinquency and excess spread at level one and leaves cumulative loss to levels two and three.
The three curves show that the cost of the lag depends on shape. On a front-loaded curve the cumulative measure still catches it reasonably early. On a back-loaded curve — the deteriorating book that looks fine because most of the loans are too young to have defaulted — the cumulative trigger fires so late that the revolving period may have run its course before anything stops.
The money column is the argument. Twelve months of a facility buying at EUR 31 million a month is EUR 372 million of assets, bought from an originator whose book was already deteriorating, at loss rates that the buyer could not yet see. That is the number behind the Chapter 22 sentence that layered triggers ended the revolving period roughly a year earlier than a conventional structure would have. It dwarfs anything the pricing negotiation moved.
The shape parameters are inputs because no real loss curve is a power function. Fit yours from the vintage data and replace them. What the sheet is for is the comparison, not the functional form.</t>
  </si>
  <si>
    <t xml:space="preserve">Months from default to repossession and sale</t>
  </si>
  <si>
    <t xml:space="preserve">Months from sale to net loss recognised in the vintage data</t>
  </si>
  <si>
    <t xml:space="preserve">Total lag from delinquency to cumulative net loss (months)</t>
  </si>
  <si>
    <t xml:space="preserve">Chapter 5: a cumulative-loss-only structure reacts</t>
  </si>
  <si>
    <t xml:space="preserve">roughly a year late</t>
  </si>
  <si>
    <t xml:space="preserve">The chain above, in years</t>
  </si>
  <si>
    <t xml:space="preserve">Does the chain reproduce the book's claim?</t>
  </si>
  <si>
    <t xml:space="preserve">The loss path</t>
  </si>
  <si>
    <t xml:space="preserve">Terminal cumulative net loss on the stressed path</t>
  </si>
  <si>
    <t xml:space="preserve">Horizon over which the terminal loss is reached (months)</t>
  </si>
  <si>
    <t xml:space="preserve">Level three cumulative loss trigger</t>
  </si>
  <si>
    <t xml:space="preserve">Revolving period (months)</t>
  </si>
  <si>
    <t xml:space="preserve">Origination rate the facility funds (EUR m per month)</t>
  </si>
  <si>
    <t xml:space="preserve">Front-loaded shape parameter</t>
  </si>
  <si>
    <t xml:space="preserve">Back-loaded shape parameter</t>
  </si>
  <si>
    <t xml:space="preserve">When each design stops the facility</t>
  </si>
  <si>
    <t xml:space="preserve">Loss curve</t>
  </si>
  <si>
    <t xml:space="preserve">Month the lagging trigger fires</t>
  </si>
  <si>
    <t xml:space="preserve">Month a leading trigger would fire</t>
  </si>
  <si>
    <t xml:space="preserve">Months of extra purchasing</t>
  </si>
  <si>
    <t xml:space="preserve">Assets bought in those months (EUR m)</t>
  </si>
  <si>
    <t xml:space="preserve">Loss on those assets (EUR m)</t>
  </si>
  <si>
    <t xml:space="preserve">Front-loaded</t>
  </si>
  <si>
    <t xml:space="preserve">Back-loaded</t>
  </si>
  <si>
    <t xml:space="preserve">Loss at month eighteen, front-loaded</t>
  </si>
  <si>
    <t xml:space="preserve">Loss at month eighteen, back-loaded</t>
  </si>
  <si>
    <t xml:space="preserve">Months between the earliest and latest lagging trigger</t>
  </si>
  <si>
    <t xml:space="preserve">Month</t>
  </si>
  <si>
    <t xml:space="preserve">Front-loaded, monthly</t>
  </si>
  <si>
    <t xml:space="preserve">Level, monthly</t>
  </si>
  <si>
    <t xml:space="preserve">Back-loaded, monthly</t>
  </si>
  <si>
    <t xml:space="preserve">Chapter 4 — the four numbers that determine the outcome</t>
  </si>
  <si>
    <t xml:space="preserve">Everything in the diligence exists to estimate them.</t>
  </si>
  <si>
    <t xml:space="preserve">One — the gross loss rate</t>
  </si>
  <si>
    <t xml:space="preserve">Four numbers, and the one sentence that ties them</t>
  </si>
  <si>
    <t xml:space="preserve">Cumulative gross default rate over the horizon</t>
  </si>
  <si>
    <t xml:space="preserve">Chapter 4: four numbers determine the outcome of an ABF investment, and everything in the diligence exists to estimate them. The gross loss rate, the recovery, the prepayment or turnover rate, and the yield. Then one sentence ties them: net loss below the credit enhancement, with acceptable timing, is the whole investment case.
The sheet is built so that the sentence is a formula rather than a slogan. Both halves have to hold. Net loss below the enhancement is the easy half. Acceptable timing is the half that gets missed, and it is tested here by asking whether the enhancement still sits above the level three cumulative loss trigger once the first year's losses have arrived — because a structure that trips inside its first year has not given you the deal you underwrote, whatever the terminal loss turns out to be.
The prepayment block is the one worth sitting with. High prepayment shortens the asset, reduces yield and increases reinvestment risk. At an 18% annual prepayment rate a 31-month contractual life becomes about 21 months, and over a four-year facility the portfolio turns over more than twice. The line that follows is the uncomfortable one: the proportion of the return that depends on assets not yet originated, at terms not yet known, from an originator whose credit standards you have only observed historically.
That number is why the originator overlay in Chapter 4 exists, and why Chapter 20 says origination capacity is the constraint rather than capital. A revolving facility is not a purchase of a pool. It is a purchase of a pool plus an option on the originator's future underwriting, and the second part is usually the larger one.
The excess spread line at the bottom of the yield block connects to the trigger ladder. Excess spread is what pays for losses before the enhancement is touched, and it is the measure Chapter 22 puts a level one trigger on. Watching it move is watching the structure's first line of defence being consumed.</t>
  </si>
  <si>
    <t xml:space="preserve">Horizon (months)</t>
  </si>
  <si>
    <t xml:space="preserve">Proportion of losses arriving in the first twelve months</t>
  </si>
  <si>
    <t xml:space="preserve">Two — the recovery</t>
  </si>
  <si>
    <t xml:space="preserve">Recovery rate on defaulted balances</t>
  </si>
  <si>
    <t xml:space="preserve">Severity</t>
  </si>
  <si>
    <t xml:space="preserve">Months from default to recovery</t>
  </si>
  <si>
    <t xml:space="preserve">Three — the prepayment or turnover rate</t>
  </si>
  <si>
    <t xml:space="preserve">Annual prepayment rate</t>
  </si>
  <si>
    <t xml:space="preserve">Contractual weighted average life (months)</t>
  </si>
  <si>
    <t xml:space="preserve">Weighted average life after prepayment (months)</t>
  </si>
  <si>
    <t xml:space="preserve">Portfolio turnovers over a four-year facility</t>
  </si>
  <si>
    <t xml:space="preserve">Proportion of the return depending on assets not yet originated</t>
  </si>
  <si>
    <t xml:space="preserve">Four — the yield</t>
  </si>
  <si>
    <t xml:space="preserve">Gross contract yield on the pool — solved, not stated in the book</t>
  </si>
  <si>
    <t xml:space="preserve">Servicing fee</t>
  </si>
  <si>
    <t xml:space="preserve">Yield net of servicing</t>
  </si>
  <si>
    <t xml:space="preserve">Annualised loss drag</t>
  </si>
  <si>
    <t xml:space="preserve">Yield net of servicing and loss</t>
  </si>
  <si>
    <t xml:space="preserve">Base rate</t>
  </si>
  <si>
    <t xml:space="preserve">Margin over base</t>
  </si>
  <si>
    <t xml:space="preserve">All-in senior cost</t>
  </si>
  <si>
    <t xml:space="preserve">Senior interest cost, as a rate on the pool</t>
  </si>
  <si>
    <t xml:space="preserve">Excess spread reported in Chapter 22</t>
  </si>
  <si>
    <t xml:space="preserve">Gross yield that would reproduce it exactly</t>
  </si>
  <si>
    <t xml:space="preserve">The investment case</t>
  </si>
  <si>
    <t xml:space="preserve">Net loss below the enhancement?</t>
  </si>
  <si>
    <t xml:space="preserve">Loss in the first twelve months</t>
  </si>
  <si>
    <t xml:space="preserve">Enhancement remaining after the first year</t>
  </si>
  <si>
    <t xml:space="preserve">Break-even multiple</t>
  </si>
  <si>
    <t xml:space="preserve">Timing acceptable? Enhancement still above the level three trigger after year one</t>
  </si>
  <si>
    <t xml:space="preserve">Chapter 4's summary of the whole investment case</t>
  </si>
  <si>
    <t xml:space="preserve">Checks — what this workbook reproduces, and what it solves</t>
  </si>
  <si>
    <t xml:space="preserve">The Asset-Based Finance Handbook — companion workbook 3</t>
  </si>
  <si>
    <t xml:space="preserve">Source</t>
  </si>
  <si>
    <t xml:space="preserve">Figure as the book prints it</t>
  </si>
  <si>
    <t xml:space="preserve">Printed</t>
  </si>
  <si>
    <t xml:space="preserve">Computed</t>
  </si>
  <si>
    <t xml:space="preserve">Variance</t>
  </si>
  <si>
    <t xml:space="preserve">How the tolerances are set</t>
  </si>
  <si>
    <t xml:space="preserve">Ch. 22 / App. E</t>
  </si>
  <si>
    <t xml:space="preserve">Level two delinquency trigger from an expected 2.5% plus 60%</t>
  </si>
  <si>
    <t xml:space="preserve">Tolerance is set line by line to the precision the book prints.
Appendix E gives rules and Chapter 22 gives levels, and the interesting lines here are the ones that run the rules against the levels. Those are checked at the precision of the printed level: a trigger printed as 4.0% is checked to 0.0005, one printed as 3.2% likewise.
The level one delinquency line sits exactly on its tolerance and it is worth knowing why. At an expected 60+ delinquency of 2.5% the Appendix E rule gives 3.25%, and Chapter 22 prints 3.2% — a difference of half a hundredth of a point, which is what rounding one decimal place produces. The level two rule at the same expectation gives 4.00% against a printed 4.0%, exactly. Two triggers, one expectation, one rounding convention.
Three lines are solves rather than reproductions and are marked as such in their description. The excess spread floor of 3.5% and the vintage base of 3.0% are not printed anywhere in the book; they are what the Appendix E rules imply from the levels Chapter 22 prints. The implied gross yield on Meridian's pool is the same kind of figure, solved from the reported excess spread of 6.1%. They are checked against themselves, which proves the arithmetic rather than the book, and they are on this sheet so that a reader can see exactly what was inferred.
The emergence chain line checks whether three ordinary assumptions — three months to default, six to sale, three to recognition — reproduce Chapter 5's roughly a year. They do. The chain is not in the book; the year is.</t>
  </si>
  <si>
    <t xml:space="preserve">Level one delinquency trigger from an expected 2.5% plus 30%</t>
  </si>
  <si>
    <t xml:space="preserve">Level one excess spread trigger from a 3.5% floor plus 100bp</t>
  </si>
  <si>
    <t xml:space="preserve">Level two vintage loss trigger from a 3.0% base plus 50%</t>
  </si>
  <si>
    <t xml:space="preserve">Level three cumulative loss trigger at the amortisation level</t>
  </si>
  <si>
    <t xml:space="preserve">Ch. 22</t>
  </si>
  <si>
    <t xml:space="preserve">The two delinquency triggers imply the same expectation</t>
  </si>
  <si>
    <t xml:space="preserve">solved</t>
  </si>
  <si>
    <t xml:space="preserve">Expectation implied by the level one trigger</t>
  </si>
  <si>
    <t xml:space="preserve">Expectation implied by the level two trigger</t>
  </si>
  <si>
    <t xml:space="preserve">Excess spread floor implied by the level one trigger</t>
  </si>
  <si>
    <t xml:space="preserve">Vintage base at month eighteen implied by the level two trigger</t>
  </si>
  <si>
    <t xml:space="preserve">Level three loss trigger equals the 6.0% downside case</t>
  </si>
  <si>
    <t xml:space="preserve">Downside cumulative net loss: 2.4% at 2.5 times</t>
  </si>
  <si>
    <t xml:space="preserve">Downside plus the 1.5% margin</t>
  </si>
  <si>
    <t xml:space="preserve">Credit enhancement at an 88% advance rate</t>
  </si>
  <si>
    <t xml:space="preserve">Break-even loss multiple</t>
  </si>
  <si>
    <t xml:space="preserve">App. A</t>
  </si>
  <si>
    <t xml:space="preserve">A 5.0 times multiple is judged conservative</t>
  </si>
  <si>
    <t xml:space="preserve">App. G</t>
  </si>
  <si>
    <t xml:space="preserve">Multiple selected for a seven-year history: the 3.0 to 4.0 midpoint</t>
  </si>
  <si>
    <t xml:space="preserve">The 2.5 times applied is below that guidance</t>
  </si>
  <si>
    <t xml:space="preserve">Enhancement still clears the floor at the top of the guidance</t>
  </si>
  <si>
    <t xml:space="preserve">Excess spread reproduced from the implied pool yield</t>
  </si>
  <si>
    <t xml:space="preserve">Gross contract yield on Meridian's pool implied by a 6.1% excess spread</t>
  </si>
  <si>
    <t xml:space="preserve">Senior all-in cost: base plus the 5.25% margin</t>
  </si>
  <si>
    <t xml:space="preserve">Ch. 4</t>
  </si>
  <si>
    <t xml:space="preserve">Net loss below the enhancement, with acceptable timing</t>
  </si>
  <si>
    <t xml:space="preserve">Ch. 5</t>
  </si>
  <si>
    <t xml:space="preserve">The emergence chain reproduces roughly a year</t>
  </si>
  <si>
    <t xml:space="preserve">Total lag from delinquency to recognised loss (months)</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</si>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</sst>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9">
    <numFmt numFmtId="164" formatCode="General"/>
    <numFmt numFmtId="165" formatCode="0.00%"/>
    <numFmt numFmtId="166" formatCode="0.0%"/>
    <numFmt numFmtId="167" formatCode="#,##0.00;\(#,##0.00\);\-"/>
    <numFmt numFmtId="168" formatCode="0"/>
    <numFmt numFmtId="169" formatCode="#,##0;\(#,##0\);\-"/>
    <numFmt numFmtId="170" formatCode="0.00\x"/>
    <numFmt numFmtId="171" formatCode="0.000%"/>
    <numFmt numFmtId="172" formatCode="0.0000%"/>
  </numFmts>
  <fonts count="18">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1"/>
      <color rgb="FF8C5A00"/>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sz val="9"/>
      <name val="Arial"/>
      <family val="0"/>
      <charset val="1"/>
    </font>
    <font>
      <i val="true"/>
      <sz val="9"/>
      <name val="Arial"/>
      <family val="0"/>
      <charset val="1"/>
    </font>
    <font>
      <sz val="10"/>
      <color rgb="FF008000"/>
      <name val="Arial"/>
      <family val="0"/>
      <charset val="1"/>
    </font>
    <font>
      <sz val="9"/>
      <color rgb="FF8C5A00"/>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center" textRotation="0" wrapText="true" indent="0" shrinkToFit="false"/>
      <protection locked="true" hidden="false"/>
    </xf>
    <xf numFmtId="164" fontId="9" fillId="3" borderId="0" xfId="0" applyFont="true" applyBorder="fals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general" vertical="bottom" textRotation="0" wrapText="false" indent="1"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true" applyProtection="false">
      <alignment horizontal="general" vertical="bottom" textRotation="0" wrapText="false" indent="1"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11" fillId="4"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1"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65" fontId="8" fillId="4" borderId="0" xfId="0" applyFont="true" applyBorder="false" applyAlignment="false" applyProtection="false">
      <alignment horizontal="general" vertical="bottom" textRotation="0" wrapText="false" indent="0" shrinkToFit="false"/>
      <protection locked="true" hidden="false"/>
    </xf>
    <xf numFmtId="166" fontId="6"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7" fontId="8" fillId="4" borderId="0" xfId="0" applyFont="true" applyBorder="false" applyAlignment="false" applyProtection="false">
      <alignment horizontal="general" vertical="bottom" textRotation="0" wrapText="false" indent="0" shrinkToFit="false"/>
      <protection locked="true" hidden="false"/>
    </xf>
    <xf numFmtId="167" fontId="6" fillId="4"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6" fontId="13"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0" fontId="8" fillId="2" borderId="0" xfId="0" applyFont="true" applyBorder="false" applyAlignment="false" applyProtection="false">
      <alignment horizontal="general" vertical="bottom" textRotation="0" wrapText="false" indent="0" shrinkToFit="false"/>
      <protection locked="true" hidden="false"/>
    </xf>
    <xf numFmtId="170" fontId="6" fillId="4"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general" vertical="bottom" textRotation="0" wrapText="false" indent="1"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70" fontId="10"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8" fontId="6" fillId="4" borderId="0" xfId="0" applyFont="true" applyBorder="false" applyAlignment="false" applyProtection="false">
      <alignment horizontal="general" vertical="bottom" textRotation="0" wrapText="false" indent="0" shrinkToFit="false"/>
      <protection locked="true" hidden="false"/>
    </xf>
    <xf numFmtId="169" fontId="6" fillId="4"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8" fontId="8" fillId="4" borderId="0" xfId="0" applyFont="true" applyBorder="false" applyAlignment="false" applyProtection="false">
      <alignment horizontal="general" vertical="bottom" textRotation="0" wrapText="false" indent="0" shrinkToFit="false"/>
      <protection locked="true" hidden="false"/>
    </xf>
    <xf numFmtId="171" fontId="6" fillId="4"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5" fontId="15" fillId="4" borderId="0" xfId="0" applyFont="true" applyBorder="false" applyAlignment="false" applyProtection="false">
      <alignment horizontal="general" vertical="bottom" textRotation="0" wrapText="false" indent="0" shrinkToFit="false"/>
      <protection locked="true" hidden="false"/>
    </xf>
    <xf numFmtId="165" fontId="16" fillId="4" borderId="0" xfId="0" applyFont="true" applyBorder="false" applyAlignment="false" applyProtection="false">
      <alignment horizontal="general" vertical="bottom" textRotation="0" wrapText="false" indent="0" shrinkToFit="false"/>
      <protection locked="true" hidden="false"/>
    </xf>
    <xf numFmtId="165" fontId="11" fillId="4" borderId="0" xfId="0" applyFont="true" applyBorder="false" applyAlignment="false" applyProtection="false">
      <alignment horizontal="general" vertical="bottom" textRotation="0" wrapText="false" indent="0" shrinkToFit="false"/>
      <protection locked="true" hidden="false"/>
    </xf>
    <xf numFmtId="164" fontId="17" fillId="4" borderId="0" xfId="0" applyFont="true" applyBorder="false" applyAlignment="false" applyProtection="false">
      <alignment horizontal="general" vertical="bottom" textRotation="0" wrapText="false" indent="0" shrinkToFit="false"/>
      <protection locked="true" hidden="false"/>
    </xf>
    <xf numFmtId="168" fontId="15" fillId="4" borderId="0" xfId="0" applyFont="true" applyBorder="false" applyAlignment="false" applyProtection="false">
      <alignment horizontal="general" vertical="bottom" textRotation="0" wrapText="false" indent="0" shrinkToFit="false"/>
      <protection locked="true" hidden="false"/>
    </xf>
    <xf numFmtId="168" fontId="16" fillId="4" borderId="0" xfId="0" applyFont="true" applyBorder="false" applyAlignment="false" applyProtection="false">
      <alignment horizontal="general" vertical="bottom" textRotation="0" wrapText="false" indent="0" shrinkToFit="false"/>
      <protection locked="true" hidden="false"/>
    </xf>
    <xf numFmtId="168" fontId="11" fillId="4" borderId="0" xfId="0" applyFont="true" applyBorder="false" applyAlignment="false" applyProtection="false">
      <alignment horizontal="general" vertical="bottom" textRotation="0" wrapText="false" indent="0" shrinkToFit="false"/>
      <protection locked="true" hidden="false"/>
    </xf>
    <xf numFmtId="172" fontId="15" fillId="0" borderId="0" xfId="0" applyFont="true" applyBorder="false" applyAlignment="false" applyProtection="false">
      <alignment horizontal="general" vertical="bottom" textRotation="0" wrapText="false" indent="0" shrinkToFit="false"/>
      <protection locked="true" hidden="false"/>
    </xf>
    <xf numFmtId="172" fontId="16"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72" fontId="15" fillId="4" borderId="0" xfId="0" applyFont="true" applyBorder="false" applyAlignment="false" applyProtection="false">
      <alignment horizontal="general" vertical="bottom" textRotation="0" wrapText="false" indent="0" shrinkToFit="false"/>
      <protection locked="true" hidden="false"/>
    </xf>
    <xf numFmtId="172" fontId="16" fillId="4" borderId="0" xfId="0" applyFont="true" applyBorder="false" applyAlignment="false" applyProtection="false">
      <alignment horizontal="general" vertical="bottom" textRotation="0" wrapText="false" indent="0" shrinkToFit="false"/>
      <protection locked="true" hidden="false"/>
    </xf>
    <xf numFmtId="172" fontId="11" fillId="4" borderId="0" xfId="0" applyFont="true" applyBorder="false" applyAlignment="false" applyProtection="false">
      <alignment horizontal="general" vertical="bottom"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6" fontId="15" fillId="4" borderId="0" xfId="0" applyFont="true" applyBorder="false" applyAlignment="false" applyProtection="false">
      <alignment horizontal="general" vertical="bottom" textRotation="0" wrapText="false" indent="0" shrinkToFit="false"/>
      <protection locked="true" hidden="false"/>
    </xf>
    <xf numFmtId="166" fontId="16" fillId="4" borderId="0" xfId="0" applyFont="true" applyBorder="false" applyAlignment="false" applyProtection="false">
      <alignment horizontal="general" vertical="bottom" textRotation="0" wrapText="false" indent="0" shrinkToFit="false"/>
      <protection locked="true" hidden="false"/>
    </xf>
    <xf numFmtId="166" fontId="11" fillId="4" borderId="0" xfId="0" applyFont="true" applyBorder="false" applyAlignment="false" applyProtection="false">
      <alignment horizontal="general" vertical="bottom" textRotation="0" wrapText="false" indent="0" shrinkToFit="false"/>
      <protection locked="true" hidden="false"/>
    </xf>
    <xf numFmtId="170" fontId="15" fillId="0" borderId="0" xfId="0" applyFont="true" applyBorder="false" applyAlignment="false" applyProtection="false">
      <alignment horizontal="general" vertical="bottom" textRotation="0" wrapText="false" indent="0" shrinkToFit="false"/>
      <protection locked="tru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1" customFormat="false" ht="15" hidden="false" customHeight="false" outlineLevel="0" collapsed="false">
      <c r="A41" s="3"/>
    </row>
    <row r="42" customFormat="false" ht="15" hidden="false" customHeight="false" outlineLevel="0" collapsed="false">
      <c r="A42" s="3"/>
    </row>
    <row r="43" customFormat="false" ht="15" hidden="false" customHeight="false" outlineLevel="0" collapsed="false">
      <c r="A43" s="3"/>
    </row>
    <row r="44" customFormat="false" ht="15" hidden="false" customHeight="false" outlineLevel="0" collapsed="false">
      <c r="A44" s="3"/>
    </row>
    <row r="45" customFormat="false" ht="15" hidden="false" customHeight="false" outlineLevel="0" collapsed="false">
      <c r="A45" s="3"/>
    </row>
    <row r="46" customFormat="false" ht="15" hidden="false" customHeight="false" outlineLevel="0" collapsed="false">
      <c r="A46" s="3"/>
    </row>
    <row r="48" customFormat="false" ht="23.85" hidden="false" customHeight="false" outlineLevel="0" collapsed="false">
      <c r="A48" s="4" t="s">
        <v>3</v>
      </c>
    </row>
  </sheetData>
  <mergeCells count="1">
    <mergeCell ref="A4:A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6"/>
    <col collapsed="false" customWidth="true" hidden="false" outlineLevel="0" max="5" min="3" style="0" width="15"/>
    <col collapsed="false" customWidth="true" hidden="false" outlineLevel="0" max="6" min="6" style="0" width="46"/>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4</v>
      </c>
    </row>
    <row r="2" customFormat="false" ht="15" hidden="false" customHeight="false" outlineLevel="0" collapsed="false">
      <c r="A2" s="2" t="s">
        <v>5</v>
      </c>
    </row>
    <row r="4" customFormat="false" ht="15" hidden="false" customHeight="false" outlineLevel="0" collapsed="false">
      <c r="A4" s="5" t="s">
        <v>6</v>
      </c>
      <c r="H4" s="5" t="s">
        <v>7</v>
      </c>
    </row>
    <row r="5" customFormat="false" ht="15" hidden="false" customHeight="true" outlineLevel="0" collapsed="false">
      <c r="A5" s="6" t="s">
        <v>8</v>
      </c>
      <c r="C5" s="7" t="n">
        <v>0.025</v>
      </c>
      <c r="H5" s="3" t="s">
        <v>9</v>
      </c>
    </row>
    <row r="6" customFormat="false" ht="15" hidden="false" customHeight="false" outlineLevel="0" collapsed="false">
      <c r="A6" s="6" t="s">
        <v>10</v>
      </c>
      <c r="C6" s="7" t="n">
        <v>0.035</v>
      </c>
      <c r="H6" s="3"/>
    </row>
    <row r="7" customFormat="false" ht="15" hidden="false" customHeight="false" outlineLevel="0" collapsed="false">
      <c r="A7" s="6" t="s">
        <v>11</v>
      </c>
      <c r="C7" s="7" t="n">
        <v>0.03</v>
      </c>
      <c r="H7" s="3"/>
    </row>
    <row r="8" customFormat="false" ht="15" hidden="false" customHeight="false" outlineLevel="0" collapsed="false">
      <c r="A8" s="6" t="s">
        <v>12</v>
      </c>
      <c r="C8" s="7" t="n">
        <v>0.06</v>
      </c>
      <c r="H8" s="3"/>
    </row>
    <row r="9" customFormat="false" ht="15" hidden="false" customHeight="false" outlineLevel="0" collapsed="false">
      <c r="A9" s="6" t="s">
        <v>13</v>
      </c>
      <c r="C9" s="8" t="n">
        <v>0</v>
      </c>
      <c r="H9" s="3"/>
    </row>
    <row r="10" customFormat="false" ht="15" hidden="false" customHeight="false" outlineLevel="0" collapsed="false">
      <c r="H10" s="3"/>
    </row>
    <row r="11" customFormat="false" ht="15" hidden="false" customHeight="false" outlineLevel="0" collapsed="false">
      <c r="A11" s="5" t="s">
        <v>14</v>
      </c>
      <c r="H11" s="3"/>
    </row>
    <row r="12" customFormat="false" ht="27.75" hidden="false" customHeight="true" outlineLevel="0" collapsed="false">
      <c r="A12" s="9" t="s">
        <v>15</v>
      </c>
      <c r="B12" s="10"/>
      <c r="C12" s="10" t="s">
        <v>16</v>
      </c>
      <c r="D12" s="10" t="s">
        <v>17</v>
      </c>
      <c r="E12" s="10" t="s">
        <v>18</v>
      </c>
      <c r="F12" s="10" t="s">
        <v>19</v>
      </c>
      <c r="H12" s="3"/>
    </row>
    <row r="13" customFormat="false" ht="15" hidden="false" customHeight="false" outlineLevel="0" collapsed="false">
      <c r="A13" s="11" t="s">
        <v>20</v>
      </c>
      <c r="C13" s="12" t="n">
        <f aca="false">$C$5*(1+C19)</f>
        <v>0.0325</v>
      </c>
      <c r="D13" s="12" t="n">
        <f aca="false">$C$6+C20</f>
        <v>0.045</v>
      </c>
      <c r="E13" s="13" t="s">
        <v>21</v>
      </c>
      <c r="F13" s="14" t="s">
        <v>22</v>
      </c>
      <c r="H13" s="3"/>
    </row>
    <row r="14" customFormat="false" ht="15" hidden="false" customHeight="false" outlineLevel="0" collapsed="false">
      <c r="A14" s="15" t="s">
        <v>23</v>
      </c>
      <c r="B14" s="16"/>
      <c r="C14" s="17" t="n">
        <f aca="false">$C$5*(1+C21)</f>
        <v>0.04</v>
      </c>
      <c r="D14" s="18" t="s">
        <v>21</v>
      </c>
      <c r="E14" s="17" t="n">
        <f aca="false">$C$7*(1+C22)</f>
        <v>0.045</v>
      </c>
      <c r="F14" s="19" t="s">
        <v>24</v>
      </c>
      <c r="H14" s="3"/>
    </row>
    <row r="15" customFormat="false" ht="15" hidden="false" customHeight="false" outlineLevel="0" collapsed="false">
      <c r="A15" s="11" t="s">
        <v>25</v>
      </c>
      <c r="C15" s="7" t="n">
        <v>0.05</v>
      </c>
      <c r="D15" s="13" t="s">
        <v>21</v>
      </c>
      <c r="E15" s="12" t="n">
        <f aca="false">$C$8</f>
        <v>0.06</v>
      </c>
      <c r="F15" s="14" t="s">
        <v>26</v>
      </c>
      <c r="H15" s="3"/>
    </row>
    <row r="16" customFormat="false" ht="15" hidden="false" customHeight="false" outlineLevel="0" collapsed="false">
      <c r="A16" s="15" t="s">
        <v>27</v>
      </c>
      <c r="B16" s="16"/>
      <c r="C16" s="18" t="s">
        <v>28</v>
      </c>
      <c r="D16" s="18" t="s">
        <v>21</v>
      </c>
      <c r="E16" s="18" t="s">
        <v>21</v>
      </c>
      <c r="F16" s="19" t="s">
        <v>29</v>
      </c>
      <c r="H16" s="3"/>
    </row>
    <row r="17" customFormat="false" ht="15" hidden="false" customHeight="false" outlineLevel="0" collapsed="false">
      <c r="H17" s="3"/>
    </row>
    <row r="18" customFormat="false" ht="15" hidden="false" customHeight="false" outlineLevel="0" collapsed="false">
      <c r="A18" s="5" t="s">
        <v>30</v>
      </c>
      <c r="H18" s="3"/>
    </row>
    <row r="19" customFormat="false" ht="15" hidden="false" customHeight="false" outlineLevel="0" collapsed="false">
      <c r="A19" s="6" t="s">
        <v>31</v>
      </c>
      <c r="C19" s="20" t="n">
        <v>0.3</v>
      </c>
      <c r="H19" s="3"/>
    </row>
    <row r="20" customFormat="false" ht="15" hidden="false" customHeight="false" outlineLevel="0" collapsed="false">
      <c r="A20" s="6" t="s">
        <v>32</v>
      </c>
      <c r="C20" s="20" t="n">
        <v>0.01</v>
      </c>
      <c r="H20" s="3"/>
    </row>
    <row r="21" customFormat="false" ht="15" hidden="false" customHeight="false" outlineLevel="0" collapsed="false">
      <c r="A21" s="6" t="s">
        <v>33</v>
      </c>
      <c r="C21" s="20" t="n">
        <v>0.6</v>
      </c>
      <c r="H21" s="3"/>
    </row>
    <row r="22" customFormat="false" ht="15" hidden="false" customHeight="false" outlineLevel="0" collapsed="false">
      <c r="A22" s="6" t="s">
        <v>34</v>
      </c>
      <c r="C22" s="20" t="n">
        <v>0.5</v>
      </c>
      <c r="H22" s="3"/>
    </row>
    <row r="23" customFormat="false" ht="15" hidden="false" customHeight="false" outlineLevel="0" collapsed="false">
      <c r="A23" s="6" t="s">
        <v>35</v>
      </c>
      <c r="C23" s="21" t="n">
        <v>0.1</v>
      </c>
      <c r="H23" s="3"/>
    </row>
    <row r="24" customFormat="false" ht="15" hidden="false" customHeight="false" outlineLevel="0" collapsed="false">
      <c r="H24" s="3"/>
    </row>
    <row r="25" customFormat="false" ht="15" hidden="false" customHeight="false" outlineLevel="0" collapsed="false">
      <c r="A25" s="5" t="s">
        <v>36</v>
      </c>
      <c r="H25" s="3"/>
    </row>
    <row r="26" customFormat="false" ht="27.75" hidden="false" customHeight="true" outlineLevel="0" collapsed="false">
      <c r="A26" s="9" t="s">
        <v>37</v>
      </c>
      <c r="B26" s="10"/>
      <c r="C26" s="10" t="s">
        <v>38</v>
      </c>
      <c r="D26" s="10" t="s">
        <v>39</v>
      </c>
      <c r="E26" s="10" t="s">
        <v>40</v>
      </c>
      <c r="H26" s="3"/>
    </row>
    <row r="27" customFormat="false" ht="15" hidden="false" customHeight="false" outlineLevel="0" collapsed="false">
      <c r="H27" s="3"/>
    </row>
    <row r="28" customFormat="false" ht="15" hidden="false" customHeight="false" outlineLevel="0" collapsed="false">
      <c r="A28" s="6" t="s">
        <v>41</v>
      </c>
      <c r="C28" s="8" t="n">
        <v>0.032</v>
      </c>
      <c r="D28" s="14" t="s">
        <v>42</v>
      </c>
      <c r="E28" s="12" t="n">
        <f aca="false">C28/(1+C19)</f>
        <v>0.0246153846153846</v>
      </c>
      <c r="H28" s="3"/>
    </row>
    <row r="29" customFormat="false" ht="15" hidden="false" customHeight="false" outlineLevel="0" collapsed="false">
      <c r="A29" s="6" t="s">
        <v>43</v>
      </c>
      <c r="C29" s="8" t="n">
        <v>0.04</v>
      </c>
      <c r="D29" s="14" t="s">
        <v>44</v>
      </c>
      <c r="E29" s="12" t="n">
        <f aca="false">C29/(1+C21)</f>
        <v>0.025</v>
      </c>
      <c r="H29" s="3"/>
    </row>
    <row r="30" customFormat="false" ht="15" hidden="false" customHeight="false" outlineLevel="0" collapsed="false">
      <c r="A30" s="6" t="s">
        <v>45</v>
      </c>
      <c r="C30" s="8" t="n">
        <v>0.045</v>
      </c>
      <c r="D30" s="14" t="s">
        <v>46</v>
      </c>
      <c r="E30" s="12" t="n">
        <f aca="false">C30-C20</f>
        <v>0.035</v>
      </c>
      <c r="H30" s="3"/>
    </row>
    <row r="31" customFormat="false" ht="15" hidden="false" customHeight="false" outlineLevel="0" collapsed="false">
      <c r="A31" s="6" t="s">
        <v>47</v>
      </c>
      <c r="C31" s="8" t="n">
        <v>0.045</v>
      </c>
      <c r="D31" s="14" t="s">
        <v>48</v>
      </c>
      <c r="E31" s="12" t="n">
        <f aca="false">C31/(1+C22)</f>
        <v>0.03</v>
      </c>
      <c r="H31" s="3"/>
    </row>
    <row r="32" customFormat="false" ht="15" hidden="false" customHeight="false" outlineLevel="0" collapsed="false">
      <c r="A32" s="6" t="s">
        <v>49</v>
      </c>
      <c r="C32" s="8" t="n">
        <v>0.06</v>
      </c>
      <c r="D32" s="14" t="s">
        <v>50</v>
      </c>
      <c r="E32" s="12" t="n">
        <f aca="false">C32</f>
        <v>0.06</v>
      </c>
      <c r="H32" s="3"/>
    </row>
    <row r="33" customFormat="false" ht="15" hidden="false" customHeight="false" outlineLevel="0" collapsed="false">
      <c r="H33" s="3"/>
    </row>
    <row r="34" customFormat="false" ht="15" hidden="false" customHeight="false" outlineLevel="0" collapsed="false">
      <c r="A34" s="11" t="s">
        <v>51</v>
      </c>
      <c r="C34" s="22" t="n">
        <f aca="false">E28</f>
        <v>0.0246153846153846</v>
      </c>
      <c r="H34" s="3"/>
    </row>
    <row r="35" customFormat="false" ht="15" hidden="false" customHeight="false" outlineLevel="0" collapsed="false">
      <c r="A35" s="11" t="s">
        <v>52</v>
      </c>
      <c r="C35" s="22" t="n">
        <f aca="false">E29</f>
        <v>0.025</v>
      </c>
      <c r="H35" s="3"/>
    </row>
    <row r="36" customFormat="false" ht="15" hidden="false" customHeight="false" outlineLevel="0" collapsed="false">
      <c r="A36" s="11" t="s">
        <v>53</v>
      </c>
      <c r="C36" s="22" t="n">
        <f aca="false">ABS(C34-C35)</f>
        <v>0.000384615384615383</v>
      </c>
      <c r="H36" s="3"/>
    </row>
    <row r="37" customFormat="false" ht="15" hidden="false" customHeight="false" outlineLevel="0" collapsed="false">
      <c r="A37" s="11" t="s">
        <v>54</v>
      </c>
      <c r="C37" s="23" t="str">
        <f aca="false">IF(C36&lt;=0.001,"yes","no")</f>
        <v>yes</v>
      </c>
      <c r="H37" s="3"/>
    </row>
    <row r="38" customFormat="false" ht="15" hidden="false" customHeight="false" outlineLevel="0" collapsed="false">
      <c r="A38" s="6" t="s">
        <v>55</v>
      </c>
      <c r="C38" s="12" t="n">
        <f aca="false">E30</f>
        <v>0.035</v>
      </c>
      <c r="H38" s="3"/>
    </row>
    <row r="39" customFormat="false" ht="15" hidden="false" customHeight="false" outlineLevel="0" collapsed="false">
      <c r="A39" s="6" t="s">
        <v>56</v>
      </c>
      <c r="C39" s="12" t="n">
        <f aca="false">E31</f>
        <v>0.03</v>
      </c>
      <c r="H39" s="3"/>
    </row>
    <row r="40" customFormat="false" ht="15" hidden="false" customHeight="false" outlineLevel="0" collapsed="false">
      <c r="A40" s="6" t="s">
        <v>57</v>
      </c>
      <c r="C40" s="13" t="str">
        <f aca="false">IF(ABS(C32-0.06)&lt;0.0005,"the level three trigger is the downside case","they differ")</f>
        <v>the level three trigger is the downside case</v>
      </c>
      <c r="H40" s="3"/>
    </row>
    <row r="41" customFormat="false" ht="15" hidden="false" customHeight="false" outlineLevel="0" collapsed="false">
      <c r="H41" s="3"/>
    </row>
    <row r="42" customFormat="false" ht="15" hidden="false" customHeight="false" outlineLevel="0" collapsed="false">
      <c r="H42" s="3"/>
    </row>
    <row r="43" customFormat="false" ht="15" hidden="false" customHeight="false" outlineLevel="0" collapsed="false">
      <c r="H43" s="3"/>
    </row>
    <row r="44" customFormat="false" ht="15" hidden="false" customHeight="false" outlineLevel="0" collapsed="false">
      <c r="H44" s="3"/>
    </row>
    <row r="45" customFormat="false" ht="15" hidden="false" customHeight="false" outlineLevel="0" collapsed="false">
      <c r="H45" s="3"/>
    </row>
    <row r="46" customFormat="false" ht="15" hidden="false" customHeight="false" outlineLevel="0" collapsed="false">
      <c r="H46" s="3"/>
    </row>
    <row r="47" customFormat="false" ht="15" hidden="false" customHeight="false" outlineLevel="0" collapsed="false">
      <c r="H47" s="3"/>
    </row>
    <row r="48" customFormat="false" ht="15" hidden="false" customHeight="false" outlineLevel="0" collapsed="false">
      <c r="H48" s="3"/>
    </row>
  </sheetData>
  <mergeCells count="1">
    <mergeCell ref="H5:H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6" min="2" style="0" width="13"/>
    <col collapsed="false" customWidth="true" hidden="false" outlineLevel="0" max="8" min="7" style="0" width="16"/>
    <col collapsed="false" customWidth="true" hidden="false" outlineLevel="0" max="9" min="9" style="0" width="3"/>
    <col collapsed="false" customWidth="true" hidden="false" outlineLevel="0" max="10" min="10" style="0" width="58"/>
  </cols>
  <sheetData>
    <row r="1" customFormat="false" ht="17.35" hidden="false" customHeight="false" outlineLevel="0" collapsed="false">
      <c r="A1" s="1" t="s">
        <v>58</v>
      </c>
    </row>
    <row r="2" customFormat="false" ht="15" hidden="false" customHeight="false" outlineLevel="0" collapsed="false">
      <c r="A2" s="2" t="s">
        <v>59</v>
      </c>
    </row>
    <row r="4" customFormat="false" ht="27.75" hidden="false" customHeight="true" outlineLevel="0" collapsed="false">
      <c r="A4" s="9" t="s">
        <v>60</v>
      </c>
      <c r="B4" s="10" t="s">
        <v>61</v>
      </c>
      <c r="C4" s="10" t="s">
        <v>15</v>
      </c>
      <c r="D4" s="10" t="s">
        <v>62</v>
      </c>
      <c r="E4" s="10" t="s">
        <v>63</v>
      </c>
      <c r="F4" s="10" t="s">
        <v>64</v>
      </c>
      <c r="G4" s="10" t="s">
        <v>65</v>
      </c>
      <c r="H4" s="10" t="s">
        <v>66</v>
      </c>
      <c r="J4" s="5" t="s">
        <v>67</v>
      </c>
    </row>
    <row r="5" customFormat="false" ht="15" hidden="false" customHeight="true" outlineLevel="0" collapsed="false">
      <c r="A5" s="6" t="s">
        <v>68</v>
      </c>
      <c r="B5" s="24" t="s">
        <v>69</v>
      </c>
      <c r="C5" s="7" t="n">
        <v>0.032</v>
      </c>
      <c r="D5" s="8" t="n">
        <v>0.029</v>
      </c>
      <c r="E5" s="12" t="n">
        <f aca="false">IF(B5="above",C5-D5,D5-C5)</f>
        <v>0.003</v>
      </c>
      <c r="F5" s="25" t="n">
        <f aca="false">IF(C5=0,"n/a",E5/ABS(C5))</f>
        <v>0.09375</v>
      </c>
      <c r="G5" s="14" t="s">
        <v>70</v>
      </c>
      <c r="H5" s="23" t="str">
        <f aca="false">IF(E5&lt;0,"BREACHED",IF(C5&lt;&gt;0,IF(ABS(E5/C5)&lt;=$C$18,"within the proximity test","inside"),"inside"))</f>
        <v>within the proximity test</v>
      </c>
      <c r="J5" s="3" t="s">
        <v>71</v>
      </c>
    </row>
    <row r="6" customFormat="false" ht="15" hidden="false" customHeight="false" outlineLevel="0" collapsed="false">
      <c r="A6" s="26" t="s">
        <v>72</v>
      </c>
      <c r="B6" s="27" t="s">
        <v>69</v>
      </c>
      <c r="C6" s="28" t="n">
        <v>0.04</v>
      </c>
      <c r="D6" s="28" t="n">
        <v>0.029</v>
      </c>
      <c r="E6" s="17" t="n">
        <f aca="false">IF(B6="above",C6-D6,D6-C6)</f>
        <v>0.011</v>
      </c>
      <c r="F6" s="29" t="n">
        <f aca="false">IF(C6=0,"n/a",E6/ABS(C6))</f>
        <v>0.275</v>
      </c>
      <c r="G6" s="19" t="s">
        <v>70</v>
      </c>
      <c r="H6" s="30" t="str">
        <f aca="false">IF(E6&lt;0,"BREACHED",IF(C6&lt;&gt;0,IF(ABS(E6/C6)&lt;=$C$18,"within the proximity test","inside"),"inside"))</f>
        <v>inside</v>
      </c>
      <c r="J6" s="3"/>
    </row>
    <row r="7" customFormat="false" ht="15" hidden="false" customHeight="false" outlineLevel="0" collapsed="false">
      <c r="A7" s="6" t="s">
        <v>73</v>
      </c>
      <c r="B7" s="24" t="s">
        <v>69</v>
      </c>
      <c r="C7" s="7" t="n">
        <v>0.05</v>
      </c>
      <c r="D7" s="8" t="n">
        <v>0.029</v>
      </c>
      <c r="E7" s="12" t="n">
        <f aca="false">IF(B7="above",C7-D7,D7-C7)</f>
        <v>0.021</v>
      </c>
      <c r="F7" s="25" t="n">
        <f aca="false">IF(C7=0,"n/a",E7/ABS(C7))</f>
        <v>0.42</v>
      </c>
      <c r="G7" s="14" t="s">
        <v>70</v>
      </c>
      <c r="H7" s="23" t="str">
        <f aca="false">IF(E7&lt;0,"BREACHED",IF(C7&lt;&gt;0,IF(ABS(E7/C7)&lt;=$C$18,"within the proximity test","inside"),"inside"))</f>
        <v>inside</v>
      </c>
      <c r="J7" s="3"/>
    </row>
    <row r="8" customFormat="false" ht="15" hidden="false" customHeight="false" outlineLevel="0" collapsed="false">
      <c r="A8" s="26" t="s">
        <v>74</v>
      </c>
      <c r="B8" s="27" t="s">
        <v>75</v>
      </c>
      <c r="C8" s="28" t="n">
        <v>0.045</v>
      </c>
      <c r="D8" s="28" t="n">
        <v>0.061</v>
      </c>
      <c r="E8" s="17" t="n">
        <f aca="false">IF(B8="above",C8-D8,D8-C8)</f>
        <v>0.016</v>
      </c>
      <c r="F8" s="29" t="n">
        <f aca="false">IF(C8=0,"n/a",E8/ABS(C8))</f>
        <v>0.355555555555556</v>
      </c>
      <c r="G8" s="19" t="s">
        <v>70</v>
      </c>
      <c r="H8" s="30" t="str">
        <f aca="false">IF(E8&lt;0,"BREACHED",IF(C8&lt;&gt;0,IF(ABS(E8/C8)&lt;=$C$18,"within the proximity test","inside"),"inside"))</f>
        <v>inside</v>
      </c>
      <c r="J8" s="3"/>
    </row>
    <row r="9" customFormat="false" ht="15" hidden="false" customHeight="false" outlineLevel="0" collapsed="false">
      <c r="A9" s="6" t="s">
        <v>76</v>
      </c>
      <c r="B9" s="24" t="s">
        <v>69</v>
      </c>
      <c r="C9" s="7" t="n">
        <v>0.045</v>
      </c>
      <c r="D9" s="8" t="n">
        <v>0.031</v>
      </c>
      <c r="E9" s="12" t="n">
        <f aca="false">IF(B9="above",C9-D9,D9-C9)</f>
        <v>0.014</v>
      </c>
      <c r="F9" s="25" t="n">
        <f aca="false">IF(C9=0,"n/a",E9/ABS(C9))</f>
        <v>0.311111111111111</v>
      </c>
      <c r="G9" s="14" t="s">
        <v>77</v>
      </c>
      <c r="H9" s="23" t="str">
        <f aca="false">IF(E9&lt;0,"BREACHED",IF(C9&lt;&gt;0,IF(ABS(E9/C9)&lt;=$C$18,"within the proximity test","inside"),"inside"))</f>
        <v>inside</v>
      </c>
      <c r="J9" s="3"/>
    </row>
    <row r="10" customFormat="false" ht="15" hidden="false" customHeight="false" outlineLevel="0" collapsed="false">
      <c r="A10" s="26" t="s">
        <v>78</v>
      </c>
      <c r="B10" s="27" t="s">
        <v>69</v>
      </c>
      <c r="C10" s="28" t="n">
        <v>0.06</v>
      </c>
      <c r="D10" s="28" t="n">
        <v>0.024</v>
      </c>
      <c r="E10" s="17" t="n">
        <f aca="false">IF(B10="above",C10-D10,D10-C10)</f>
        <v>0.036</v>
      </c>
      <c r="F10" s="29" t="n">
        <f aca="false">IF(C10=0,"n/a",E10/ABS(C10))</f>
        <v>0.6</v>
      </c>
      <c r="G10" s="19" t="s">
        <v>77</v>
      </c>
      <c r="H10" s="30" t="str">
        <f aca="false">IF(E10&lt;0,"BREACHED",IF(C10&lt;&gt;0,IF(ABS(E10/C10)&lt;=$C$18,"within the proximity test","inside"),"inside"))</f>
        <v>inside</v>
      </c>
      <c r="J10" s="3"/>
    </row>
    <row r="11" customFormat="false" ht="15" hidden="false" customHeight="false" outlineLevel="0" collapsed="false">
      <c r="A11" s="6" t="s">
        <v>79</v>
      </c>
      <c r="B11" s="24" t="s">
        <v>69</v>
      </c>
      <c r="C11" s="7" t="n">
        <v>0.02</v>
      </c>
      <c r="D11" s="8" t="n">
        <v>0.004</v>
      </c>
      <c r="E11" s="12" t="n">
        <f aca="false">IF(B11="above",C11-D11,D11-C11)</f>
        <v>0.016</v>
      </c>
      <c r="F11" s="25" t="n">
        <f aca="false">IF(C11=0,"n/a",E11/ABS(C11))</f>
        <v>0.8</v>
      </c>
      <c r="G11" s="14" t="s">
        <v>70</v>
      </c>
      <c r="H11" s="23" t="str">
        <f aca="false">IF(E11&lt;0,"BREACHED",IF(C11&lt;&gt;0,IF(ABS(E11/C11)&lt;=$C$18,"within the proximity test","inside"),"inside"))</f>
        <v>inside</v>
      </c>
      <c r="J11" s="3"/>
    </row>
    <row r="12" customFormat="false" ht="15" hidden="false" customHeight="false" outlineLevel="0" collapsed="false">
      <c r="A12" s="26" t="s">
        <v>80</v>
      </c>
      <c r="B12" s="27" t="s">
        <v>75</v>
      </c>
      <c r="C12" s="31" t="n">
        <v>40</v>
      </c>
      <c r="D12" s="31" t="n">
        <v>48</v>
      </c>
      <c r="E12" s="32" t="n">
        <f aca="false">IF(B12="above",C12-D12,D12-C12)</f>
        <v>8</v>
      </c>
      <c r="F12" s="29" t="n">
        <f aca="false">IF(C12=0,"n/a",E12/ABS(C12))</f>
        <v>0.2</v>
      </c>
      <c r="G12" s="19" t="s">
        <v>77</v>
      </c>
      <c r="H12" s="30" t="str">
        <f aca="false">IF(E12&lt;0,"BREACHED",IF(C12&lt;&gt;0,IF(ABS(E12/C12)&lt;=$C$18,"within the proximity test","inside"),"inside"))</f>
        <v>inside</v>
      </c>
      <c r="J12" s="3"/>
    </row>
    <row r="13" customFormat="false" ht="15" hidden="false" customHeight="false" outlineLevel="0" collapsed="false">
      <c r="A13" s="6" t="s">
        <v>81</v>
      </c>
      <c r="B13" s="24" t="s">
        <v>75</v>
      </c>
      <c r="C13" s="33" t="n">
        <v>10</v>
      </c>
      <c r="D13" s="34" t="n">
        <v>14</v>
      </c>
      <c r="E13" s="35" t="n">
        <f aca="false">IF(B13="above",C13-D13,D13-C13)</f>
        <v>4</v>
      </c>
      <c r="F13" s="25" t="n">
        <f aca="false">IF(C13=0,"n/a",E13/ABS(C13))</f>
        <v>0.4</v>
      </c>
      <c r="G13" s="14" t="s">
        <v>77</v>
      </c>
      <c r="H13" s="23" t="str">
        <f aca="false">IF(E13&lt;0,"BREACHED",IF(C13&lt;&gt;0,IF(ABS(E13/C13)&lt;=$C$18,"within the proximity test","inside"),"inside"))</f>
        <v>inside</v>
      </c>
      <c r="J13" s="3"/>
    </row>
    <row r="14" customFormat="false" ht="15" hidden="false" customHeight="false" outlineLevel="0" collapsed="false">
      <c r="A14" s="26" t="s">
        <v>82</v>
      </c>
      <c r="B14" s="27" t="s">
        <v>75</v>
      </c>
      <c r="C14" s="28" t="n">
        <v>0</v>
      </c>
      <c r="D14" s="28" t="n">
        <v>3.1</v>
      </c>
      <c r="E14" s="17" t="n">
        <f aca="false">IF(B14="above",C14-D14,D14-C14)</f>
        <v>3.1</v>
      </c>
      <c r="F14" s="29" t="str">
        <f aca="false">IF(C14=0,"n/a",E14/ABS(C14))</f>
        <v>n/a</v>
      </c>
      <c r="G14" s="19" t="s">
        <v>70</v>
      </c>
      <c r="H14" s="30" t="str">
        <f aca="false">IF(E14&lt;0,"BREACHED",IF(C14&lt;&gt;0,IF(ABS(E14/C14)&lt;=$C$18,"within the proximity test","inside"),"inside"))</f>
        <v>inside</v>
      </c>
      <c r="J14" s="3"/>
    </row>
    <row r="15" customFormat="false" ht="15" hidden="false" customHeight="false" outlineLevel="0" collapsed="false">
      <c r="J15" s="3"/>
    </row>
    <row r="16" customFormat="false" ht="15" hidden="false" customHeight="false" outlineLevel="0" collapsed="false">
      <c r="A16" s="23" t="s">
        <v>83</v>
      </c>
      <c r="C16" s="36" t="n">
        <f aca="false">COUNTIF(H5:H14,"BREACHED")</f>
        <v>0</v>
      </c>
      <c r="J16" s="3"/>
    </row>
    <row r="17" customFormat="false" ht="15" hidden="false" customHeight="false" outlineLevel="0" collapsed="false">
      <c r="A17" s="23" t="s">
        <v>84</v>
      </c>
      <c r="C17" s="36" t="n">
        <f aca="false">COUNTIF(H5:H14,"within the proximity test")</f>
        <v>1</v>
      </c>
      <c r="J17" s="3"/>
    </row>
    <row r="18" customFormat="false" ht="15" hidden="false" customHeight="false" outlineLevel="0" collapsed="false">
      <c r="A18" s="23" t="s">
        <v>85</v>
      </c>
      <c r="C18" s="37" t="n">
        <f aca="false">'Trigger grid'!C23</f>
        <v>0.1</v>
      </c>
      <c r="J18" s="3"/>
    </row>
    <row r="19" customFormat="false" ht="15" hidden="false" customHeight="false" outlineLevel="0" collapsed="false">
      <c r="A19" s="23" t="s">
        <v>86</v>
      </c>
      <c r="C19" s="38" t="n">
        <f aca="false">COUNTIF(G5:G14,"leads")/COUNTA(G5:G14)</f>
        <v>0.6</v>
      </c>
      <c r="J19" s="3"/>
    </row>
    <row r="20" customFormat="false" ht="15" hidden="false" customHeight="false" outlineLevel="0" collapsed="false">
      <c r="A20" s="23" t="s">
        <v>87</v>
      </c>
      <c r="C20" s="23" t="str">
        <f aca="false">IF(C19&gt;=0.5,"leads on balance — reacts before losses crystallise","lags on balance — will react roughly a year late")</f>
        <v>leads on balance — reacts before losses crystallise</v>
      </c>
      <c r="J20" s="3"/>
    </row>
    <row r="21" customFormat="false" ht="15" hidden="false" customHeight="false" outlineLevel="0" collapsed="false">
      <c r="J21" s="3"/>
    </row>
    <row r="22" customFormat="false" ht="15" hidden="false" customHeight="false" outlineLevel="0" collapsed="false">
      <c r="J22" s="3"/>
    </row>
    <row r="23" customFormat="false" ht="15" hidden="false" customHeight="false" outlineLevel="0" collapsed="false">
      <c r="J23" s="3"/>
    </row>
    <row r="24" customFormat="false" ht="15" hidden="false" customHeight="false" outlineLevel="0" collapsed="false">
      <c r="J24" s="3"/>
    </row>
    <row r="25" customFormat="false" ht="15" hidden="false" customHeight="false" outlineLevel="0" collapsed="false">
      <c r="J25" s="3"/>
    </row>
    <row r="26" customFormat="false" ht="15" hidden="false" customHeight="false" outlineLevel="0" collapsed="false">
      <c r="J26" s="3"/>
    </row>
    <row r="27" customFormat="false" ht="15" hidden="false" customHeight="false" outlineLevel="0" collapsed="false">
      <c r="J27" s="3"/>
    </row>
    <row r="28" customFormat="false" ht="15" hidden="false" customHeight="false" outlineLevel="0" collapsed="false">
      <c r="J28" s="3"/>
    </row>
    <row r="29" customFormat="false" ht="15" hidden="false" customHeight="false" outlineLevel="0" collapsed="false">
      <c r="J29" s="3"/>
    </row>
    <row r="30" customFormat="false" ht="15" hidden="false" customHeight="false" outlineLevel="0" collapsed="false">
      <c r="J30" s="3"/>
    </row>
    <row r="31" customFormat="false" ht="15" hidden="false" customHeight="false" outlineLevel="0" collapsed="false">
      <c r="J31" s="3"/>
    </row>
    <row r="32" customFormat="false" ht="15" hidden="false" customHeight="false" outlineLevel="0" collapsed="false">
      <c r="J32" s="3"/>
    </row>
    <row r="33" customFormat="false" ht="15" hidden="false" customHeight="false" outlineLevel="0" collapsed="false">
      <c r="J33" s="3"/>
    </row>
    <row r="34" customFormat="false" ht="15" hidden="false" customHeight="false" outlineLevel="0" collapsed="false">
      <c r="J34" s="3"/>
    </row>
    <row r="35" customFormat="false" ht="15" hidden="false" customHeight="false" outlineLevel="0" collapsed="false">
      <c r="J35" s="3"/>
    </row>
    <row r="36" customFormat="false" ht="15" hidden="false" customHeight="false" outlineLevel="0" collapsed="false">
      <c r="J36" s="3"/>
    </row>
    <row r="37" customFormat="false" ht="15" hidden="false" customHeight="false" outlineLevel="0" collapsed="false">
      <c r="J37" s="3"/>
    </row>
    <row r="38" customFormat="false" ht="15" hidden="false" customHeight="false" outlineLevel="0" collapsed="false">
      <c r="J38" s="3"/>
    </row>
    <row r="39" customFormat="false" ht="15" hidden="false" customHeight="false" outlineLevel="0" collapsed="false">
      <c r="J39" s="3"/>
    </row>
    <row r="40" customFormat="false" ht="15" hidden="false" customHeight="false" outlineLevel="0" collapsed="false">
      <c r="J40" s="3"/>
    </row>
    <row r="41" customFormat="false" ht="15" hidden="false" customHeight="false" outlineLevel="0" collapsed="false">
      <c r="J41" s="3"/>
    </row>
    <row r="42" customFormat="false" ht="15" hidden="false" customHeight="false" outlineLevel="0" collapsed="false">
      <c r="J42" s="3"/>
    </row>
    <row r="43" customFormat="false" ht="15" hidden="false" customHeight="false" outlineLevel="0" collapsed="false">
      <c r="J43" s="3"/>
    </row>
    <row r="44" customFormat="false" ht="15" hidden="false" customHeight="false" outlineLevel="0" collapsed="false">
      <c r="J44" s="3"/>
    </row>
  </sheetData>
  <mergeCells count="1">
    <mergeCell ref="J5:J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6"/>
    <col collapsed="false" customWidth="true" hidden="false" outlineLevel="0" max="6" min="3" style="0" width="15"/>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88</v>
      </c>
    </row>
    <row r="2" customFormat="false" ht="15" hidden="false" customHeight="false" outlineLevel="0" collapsed="false">
      <c r="A2" s="2" t="s">
        <v>89</v>
      </c>
    </row>
    <row r="4" customFormat="false" ht="15" hidden="false" customHeight="false" outlineLevel="0" collapsed="false">
      <c r="A4" s="5" t="s">
        <v>90</v>
      </c>
      <c r="H4" s="5" t="s">
        <v>91</v>
      </c>
    </row>
    <row r="5" customFormat="false" ht="15" hidden="false" customHeight="true" outlineLevel="0" collapsed="false">
      <c r="A5" s="6" t="s">
        <v>92</v>
      </c>
      <c r="C5" s="39" t="n">
        <v>200</v>
      </c>
      <c r="H5" s="3" t="s">
        <v>93</v>
      </c>
    </row>
    <row r="6" customFormat="false" ht="15" hidden="false" customHeight="false" outlineLevel="0" collapsed="false">
      <c r="A6" s="6" t="s">
        <v>94</v>
      </c>
      <c r="C6" s="21" t="n">
        <v>0.88</v>
      </c>
      <c r="H6" s="3"/>
    </row>
    <row r="7" customFormat="false" ht="15" hidden="false" customHeight="false" outlineLevel="0" collapsed="false">
      <c r="A7" s="6" t="s">
        <v>95</v>
      </c>
      <c r="C7" s="40" t="n">
        <v>7</v>
      </c>
      <c r="H7" s="3"/>
    </row>
    <row r="8" customFormat="false" ht="15" hidden="false" customHeight="false" outlineLevel="0" collapsed="false">
      <c r="A8" s="6" t="s">
        <v>96</v>
      </c>
      <c r="C8" s="40" t="n">
        <v>0</v>
      </c>
      <c r="H8" s="3"/>
    </row>
    <row r="9" customFormat="false" ht="15" hidden="false" customHeight="false" outlineLevel="0" collapsed="false">
      <c r="A9" s="6" t="s">
        <v>97</v>
      </c>
      <c r="C9" s="7" t="n">
        <v>0.024</v>
      </c>
      <c r="H9" s="3"/>
    </row>
    <row r="10" customFormat="false" ht="15" hidden="false" customHeight="false" outlineLevel="0" collapsed="false">
      <c r="A10" s="6" t="s">
        <v>98</v>
      </c>
      <c r="C10" s="21" t="n">
        <v>0.18</v>
      </c>
      <c r="H10" s="3"/>
    </row>
    <row r="11" customFormat="false" ht="15" hidden="false" customHeight="false" outlineLevel="0" collapsed="false">
      <c r="A11" s="6" t="s">
        <v>99</v>
      </c>
      <c r="C11" s="34" t="n">
        <v>3.5</v>
      </c>
      <c r="H11" s="3"/>
    </row>
    <row r="12" customFormat="false" ht="15" hidden="false" customHeight="false" outlineLevel="0" collapsed="false">
      <c r="A12" s="6" t="s">
        <v>100</v>
      </c>
      <c r="C12" s="7" t="n">
        <v>0.015</v>
      </c>
      <c r="H12" s="3"/>
    </row>
    <row r="13" customFormat="false" ht="15" hidden="false" customHeight="false" outlineLevel="0" collapsed="false">
      <c r="A13" s="6" t="s">
        <v>101</v>
      </c>
      <c r="C13" s="35" t="n">
        <f aca="false">C5*C6</f>
        <v>176</v>
      </c>
      <c r="H13" s="3"/>
    </row>
    <row r="14" customFormat="false" ht="15" hidden="false" customHeight="false" outlineLevel="0" collapsed="false">
      <c r="A14" s="11" t="s">
        <v>102</v>
      </c>
      <c r="C14" s="38" t="n">
        <f aca="false">1-C6</f>
        <v>0.12</v>
      </c>
      <c r="H14" s="3"/>
    </row>
    <row r="15" customFormat="false" ht="15" hidden="false" customHeight="false" outlineLevel="0" collapsed="false">
      <c r="H15" s="3"/>
    </row>
    <row r="16" customFormat="false" ht="15" hidden="false" customHeight="false" outlineLevel="0" collapsed="false">
      <c r="A16" s="5" t="s">
        <v>103</v>
      </c>
      <c r="H16" s="3"/>
    </row>
    <row r="17" customFormat="false" ht="15" hidden="false" customHeight="false" outlineLevel="0" collapsed="false">
      <c r="A17" s="6" t="s">
        <v>104</v>
      </c>
      <c r="C17" s="41" t="n">
        <v>2</v>
      </c>
      <c r="H17" s="3"/>
    </row>
    <row r="18" customFormat="false" ht="15" hidden="false" customHeight="false" outlineLevel="0" collapsed="false">
      <c r="A18" s="6" t="s">
        <v>105</v>
      </c>
      <c r="C18" s="41" t="n">
        <v>3</v>
      </c>
      <c r="H18" s="3"/>
    </row>
    <row r="19" customFormat="false" ht="15" hidden="false" customHeight="false" outlineLevel="0" collapsed="false">
      <c r="A19" s="6" t="s">
        <v>106</v>
      </c>
      <c r="C19" s="41" t="n">
        <v>4</v>
      </c>
      <c r="H19" s="3"/>
    </row>
    <row r="20" customFormat="false" ht="15" hidden="false" customHeight="false" outlineLevel="0" collapsed="false">
      <c r="A20" s="11" t="s">
        <v>107</v>
      </c>
      <c r="C20" s="42" t="n">
        <f aca="false">IF(AND(C7&gt;=15,C8=1),C17,AVERAGE(C18,C19))</f>
        <v>3.5</v>
      </c>
      <c r="H20" s="3"/>
    </row>
    <row r="21" customFormat="false" ht="15" hidden="false" customHeight="false" outlineLevel="0" collapsed="false">
      <c r="A21" s="6" t="s">
        <v>108</v>
      </c>
      <c r="C21" s="43" t="n">
        <v>2.5</v>
      </c>
      <c r="H21" s="3"/>
    </row>
    <row r="22" customFormat="false" ht="15" hidden="false" customHeight="false" outlineLevel="0" collapsed="false">
      <c r="A22" s="11" t="s">
        <v>109</v>
      </c>
      <c r="C22" s="23" t="str">
        <f aca="false">IF(C21&gt;=C20,"at or above the Appendix G guidance","below the Appendix G guidance")</f>
        <v>below the Appendix G guidance</v>
      </c>
      <c r="H22" s="3"/>
    </row>
    <row r="23" customFormat="false" ht="15" hidden="false" customHeight="false" outlineLevel="0" collapsed="false">
      <c r="H23" s="3"/>
    </row>
    <row r="24" customFormat="false" ht="15" hidden="false" customHeight="false" outlineLevel="0" collapsed="false">
      <c r="A24" s="5" t="s">
        <v>110</v>
      </c>
      <c r="H24" s="3"/>
    </row>
    <row r="25" customFormat="false" ht="27.75" hidden="false" customHeight="true" outlineLevel="0" collapsed="false">
      <c r="A25" s="9" t="s">
        <v>111</v>
      </c>
      <c r="B25" s="10"/>
      <c r="C25" s="10" t="s">
        <v>112</v>
      </c>
      <c r="D25" s="10" t="s">
        <v>113</v>
      </c>
      <c r="E25" s="10" t="s">
        <v>114</v>
      </c>
      <c r="F25" s="10" t="s">
        <v>115</v>
      </c>
      <c r="H25" s="3"/>
    </row>
    <row r="26" customFormat="false" ht="15" hidden="false" customHeight="false" outlineLevel="0" collapsed="false">
      <c r="A26" s="26" t="s">
        <v>116</v>
      </c>
      <c r="B26" s="16"/>
      <c r="C26" s="17" t="n">
        <f aca="false">$C$9</f>
        <v>0.024</v>
      </c>
      <c r="D26" s="44" t="n">
        <f aca="false">C26/$C$9</f>
        <v>1</v>
      </c>
      <c r="E26" s="18" t="str">
        <f aca="false">IF(C26&lt;=$C$14,"yes","no")</f>
        <v>yes</v>
      </c>
      <c r="F26" s="32" t="n">
        <f aca="false">MAX(0,C26-$C$14)*$C$5</f>
        <v>0</v>
      </c>
      <c r="H26" s="3"/>
    </row>
    <row r="27" customFormat="false" ht="15" hidden="false" customHeight="false" outlineLevel="0" collapsed="false">
      <c r="A27" s="6" t="s">
        <v>117</v>
      </c>
      <c r="C27" s="12" t="n">
        <f aca="false">$C$9*$C$21</f>
        <v>0.06</v>
      </c>
      <c r="D27" s="45" t="n">
        <f aca="false">C27/$C$9</f>
        <v>2.5</v>
      </c>
      <c r="E27" s="13" t="str">
        <f aca="false">IF(C27&lt;=$C$14,"yes","no")</f>
        <v>yes</v>
      </c>
      <c r="F27" s="35" t="n">
        <f aca="false">MAX(0,C27-$C$14)*$C$5</f>
        <v>0</v>
      </c>
      <c r="H27" s="3"/>
    </row>
    <row r="28" customFormat="false" ht="15" hidden="false" customHeight="false" outlineLevel="0" collapsed="false">
      <c r="A28" s="26" t="s">
        <v>118</v>
      </c>
      <c r="B28" s="16"/>
      <c r="C28" s="17" t="n">
        <f aca="false">C27+$C$12</f>
        <v>0.075</v>
      </c>
      <c r="D28" s="44" t="n">
        <f aca="false">C28/$C$9</f>
        <v>3.125</v>
      </c>
      <c r="E28" s="18" t="str">
        <f aca="false">IF(C28&lt;=$C$14,"yes","no")</f>
        <v>yes</v>
      </c>
      <c r="F28" s="32" t="n">
        <f aca="false">MAX(0,C28-$C$14)*$C$5</f>
        <v>0</v>
      </c>
      <c r="H28" s="3"/>
    </row>
    <row r="29" customFormat="false" ht="15" hidden="false" customHeight="false" outlineLevel="0" collapsed="false">
      <c r="A29" s="6" t="s">
        <v>119</v>
      </c>
      <c r="C29" s="12" t="n">
        <f aca="false">C27*(1+$C$34)+$C$12</f>
        <v>0.09</v>
      </c>
      <c r="D29" s="45" t="n">
        <f aca="false">C29/$C$9</f>
        <v>3.75</v>
      </c>
      <c r="E29" s="13" t="str">
        <f aca="false">IF(C29&lt;=$C$14,"yes","no")</f>
        <v>yes</v>
      </c>
      <c r="F29" s="35" t="n">
        <f aca="false">MAX(0,C29-$C$14)*$C$5</f>
        <v>0</v>
      </c>
      <c r="H29" s="3"/>
    </row>
    <row r="30" customFormat="false" ht="15" hidden="false" customHeight="false" outlineLevel="0" collapsed="false">
      <c r="A30" s="46" t="s">
        <v>120</v>
      </c>
      <c r="B30" s="16"/>
      <c r="C30" s="47" t="n">
        <f aca="false">$C$14</f>
        <v>0.12</v>
      </c>
      <c r="D30" s="48" t="n">
        <f aca="false">C30/$C$9</f>
        <v>5</v>
      </c>
      <c r="E30" s="49" t="str">
        <f aca="false">IF(C30&lt;=$C$14,"yes","no")</f>
        <v>yes</v>
      </c>
      <c r="F30" s="50" t="n">
        <f aca="false">MAX(0,C30-$C$14)*$C$5</f>
        <v>0</v>
      </c>
      <c r="H30" s="3"/>
    </row>
    <row r="31" customFormat="false" ht="15" hidden="false" customHeight="false" outlineLevel="0" collapsed="false">
      <c r="H31" s="3"/>
    </row>
    <row r="32" customFormat="false" ht="15" hidden="false" customHeight="false" outlineLevel="0" collapsed="false">
      <c r="A32" s="5" t="s">
        <v>121</v>
      </c>
      <c r="H32" s="3"/>
    </row>
    <row r="33" customFormat="false" ht="15" hidden="false" customHeight="false" outlineLevel="0" collapsed="false">
      <c r="A33" s="6" t="s">
        <v>122</v>
      </c>
      <c r="C33" s="21" t="n">
        <v>0.125</v>
      </c>
      <c r="H33" s="3"/>
    </row>
    <row r="34" customFormat="false" ht="15" hidden="false" customHeight="false" outlineLevel="0" collapsed="false">
      <c r="A34" s="6" t="s">
        <v>123</v>
      </c>
      <c r="C34" s="20" t="n">
        <v>0.25</v>
      </c>
      <c r="H34" s="3"/>
    </row>
    <row r="35" customFormat="false" ht="15" hidden="false" customHeight="false" outlineLevel="0" collapsed="false">
      <c r="A35" s="6" t="s">
        <v>124</v>
      </c>
      <c r="C35" s="40" t="n">
        <v>4</v>
      </c>
      <c r="H35" s="3"/>
    </row>
    <row r="36" customFormat="false" ht="15" hidden="false" customHeight="false" outlineLevel="0" collapsed="false">
      <c r="A36" s="6" t="s">
        <v>125</v>
      </c>
      <c r="C36" s="34" t="n">
        <v>3.5</v>
      </c>
      <c r="H36" s="3"/>
    </row>
    <row r="37" customFormat="false" ht="15" hidden="false" customHeight="false" outlineLevel="0" collapsed="false">
      <c r="A37" s="6" t="s">
        <v>126</v>
      </c>
      <c r="C37" s="35" t="n">
        <f aca="false">C5*C34*C35/12</f>
        <v>16.6666666666667</v>
      </c>
      <c r="H37" s="3"/>
    </row>
    <row r="38" customFormat="false" ht="15" hidden="false" customHeight="false" outlineLevel="0" collapsed="false">
      <c r="A38" s="6" t="s">
        <v>127</v>
      </c>
      <c r="C38" s="13" t="str">
        <f aca="false">IF(C36&lt;=C11,"covered by the reserve, with "&amp;TEXT(C11-C36,"0.0")&amp;" EUR m to spare","exceeds the reserve")</f>
        <v>covered by the reserve, with 0.0 EUR m to spare</v>
      </c>
      <c r="H38" s="3"/>
    </row>
    <row r="39" customFormat="false" ht="15" hidden="false" customHeight="false" outlineLevel="0" collapsed="false">
      <c r="H39" s="3"/>
    </row>
    <row r="40" customFormat="false" ht="15" hidden="false" customHeight="false" outlineLevel="0" collapsed="false">
      <c r="A40" s="5" t="s">
        <v>128</v>
      </c>
      <c r="H40" s="3"/>
    </row>
    <row r="41" customFormat="false" ht="27.75" hidden="false" customHeight="true" outlineLevel="0" collapsed="false">
      <c r="A41" s="9" t="s">
        <v>129</v>
      </c>
      <c r="B41" s="10"/>
      <c r="C41" s="10" t="s">
        <v>130</v>
      </c>
      <c r="D41" s="10" t="s">
        <v>131</v>
      </c>
      <c r="E41" s="10" t="s">
        <v>132</v>
      </c>
      <c r="H41" s="3"/>
    </row>
    <row r="42" customFormat="false" ht="15" hidden="false" customHeight="false" outlineLevel="0" collapsed="false">
      <c r="A42" s="6" t="s">
        <v>133</v>
      </c>
      <c r="C42" s="7" t="n">
        <v>0</v>
      </c>
      <c r="D42" s="12" t="n">
        <f aca="false">$C$27+C42</f>
        <v>0.06</v>
      </c>
      <c r="E42" s="13" t="str">
        <f aca="false">IF(D42&lt;=$C$14,"yes","no")</f>
        <v>yes</v>
      </c>
      <c r="H42" s="3"/>
    </row>
    <row r="43" customFormat="false" ht="15" hidden="false" customHeight="false" outlineLevel="0" collapsed="false">
      <c r="A43" s="6" t="s">
        <v>134</v>
      </c>
      <c r="C43" s="7" t="n">
        <v>0.005</v>
      </c>
      <c r="D43" s="12" t="n">
        <f aca="false">$C$27+C43</f>
        <v>0.065</v>
      </c>
      <c r="E43" s="13" t="str">
        <f aca="false">IF(D43&lt;=$C$14,"yes","no")</f>
        <v>yes</v>
      </c>
      <c r="H43" s="3"/>
    </row>
    <row r="44" customFormat="false" ht="15" hidden="false" customHeight="false" outlineLevel="0" collapsed="false">
      <c r="A44" s="6" t="s">
        <v>135</v>
      </c>
      <c r="C44" s="7" t="n">
        <v>0</v>
      </c>
      <c r="D44" s="12" t="n">
        <f aca="false">$C$27+C44</f>
        <v>0.06</v>
      </c>
      <c r="E44" s="13" t="str">
        <f aca="false">IF(D44&lt;=$C$14,"yes","no")</f>
        <v>yes</v>
      </c>
      <c r="H44" s="3"/>
    </row>
    <row r="45" customFormat="false" ht="15" hidden="false" customHeight="false" outlineLevel="0" collapsed="false">
      <c r="A45" s="6" t="s">
        <v>136</v>
      </c>
      <c r="C45" s="7" t="n">
        <v>0</v>
      </c>
      <c r="D45" s="12" t="n">
        <f aca="false">$C$27+C45</f>
        <v>0.06</v>
      </c>
      <c r="E45" s="13" t="str">
        <f aca="false">IF(D45&lt;=$C$14,"yes","no")</f>
        <v>yes</v>
      </c>
      <c r="H45" s="3"/>
    </row>
    <row r="46" customFormat="false" ht="15" hidden="false" customHeight="false" outlineLevel="0" collapsed="false">
      <c r="A46" s="11" t="s">
        <v>137</v>
      </c>
      <c r="C46" s="22" t="n">
        <f aca="false">C27+SUM(C42:C45)</f>
        <v>0.065</v>
      </c>
      <c r="D46" s="12" t="n">
        <f aca="false">C46</f>
        <v>0.065</v>
      </c>
      <c r="E46" s="23" t="str">
        <f aca="false">IF(C46&lt;=$C$14,"yes","no")</f>
        <v>yes</v>
      </c>
      <c r="H46" s="3"/>
    </row>
    <row r="47" customFormat="false" ht="15" hidden="false" customHeight="false" outlineLevel="0" collapsed="false">
      <c r="H47" s="3"/>
    </row>
    <row r="48" customFormat="false" ht="15" hidden="false" customHeight="false" outlineLevel="0" collapsed="false">
      <c r="A48" s="5" t="s">
        <v>138</v>
      </c>
      <c r="H48" s="3"/>
    </row>
    <row r="49" customFormat="false" ht="15" hidden="false" customHeight="false" outlineLevel="0" collapsed="false">
      <c r="A49" s="11" t="s">
        <v>139</v>
      </c>
      <c r="C49" s="22" t="n">
        <f aca="false">C30</f>
        <v>0.12</v>
      </c>
      <c r="H49" s="3"/>
    </row>
    <row r="50" customFormat="false" ht="15" hidden="false" customHeight="false" outlineLevel="0" collapsed="false">
      <c r="A50" s="11" t="s">
        <v>140</v>
      </c>
      <c r="C50" s="42" t="n">
        <f aca="false">D30</f>
        <v>5</v>
      </c>
      <c r="H50" s="3"/>
    </row>
    <row r="51" customFormat="false" ht="15" hidden="false" customHeight="false" outlineLevel="0" collapsed="false">
      <c r="A51" s="11" t="s">
        <v>141</v>
      </c>
      <c r="C51" s="23" t="str">
        <f aca="false">IF(C50&lt;2,"aggressive in any segment",IF(C50&gt;4,"conservative","between the two"))</f>
        <v>conservative</v>
      </c>
      <c r="H51" s="3"/>
    </row>
    <row r="52" customFormat="false" ht="15" hidden="false" customHeight="false" outlineLevel="0" collapsed="false">
      <c r="A52" s="6" t="s">
        <v>142</v>
      </c>
      <c r="C52" s="13" t="str">
        <f aca="false">IF(AND(C7&lt;15,C50&lt;4),"yes — this needs more enhancement than the multiple suggests","no")</f>
        <v>no</v>
      </c>
      <c r="H52" s="3"/>
    </row>
  </sheetData>
  <mergeCells count="1">
    <mergeCell ref="H5:H5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2" topLeftCell="A33"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8" min="3" style="0" width="14"/>
    <col collapsed="false" customWidth="true" hidden="false" outlineLevel="0" max="9" min="9" style="0" width="3"/>
    <col collapsed="false" customWidth="true" hidden="false" outlineLevel="0" max="10" min="10" style="0" width="58"/>
  </cols>
  <sheetData>
    <row r="1" customFormat="false" ht="17.35" hidden="false" customHeight="false" outlineLevel="0" collapsed="false">
      <c r="A1" s="1" t="s">
        <v>143</v>
      </c>
    </row>
    <row r="2" customFormat="false" ht="15" hidden="false" customHeight="false" outlineLevel="0" collapsed="false">
      <c r="A2" s="2" t="s">
        <v>144</v>
      </c>
    </row>
    <row r="4" customFormat="false" ht="15" hidden="false" customHeight="false" outlineLevel="0" collapsed="false">
      <c r="A4" s="5" t="s">
        <v>145</v>
      </c>
      <c r="J4" s="5" t="s">
        <v>146</v>
      </c>
    </row>
    <row r="5" customFormat="false" ht="15" hidden="false" customHeight="true" outlineLevel="0" collapsed="false">
      <c r="A5" s="6" t="s">
        <v>147</v>
      </c>
      <c r="B5" s="51" t="n">
        <v>3</v>
      </c>
      <c r="J5" s="3" t="s">
        <v>148</v>
      </c>
    </row>
    <row r="6" customFormat="false" ht="15" hidden="false" customHeight="false" outlineLevel="0" collapsed="false">
      <c r="A6" s="6" t="s">
        <v>149</v>
      </c>
      <c r="B6" s="51" t="n">
        <v>6</v>
      </c>
      <c r="J6" s="3"/>
    </row>
    <row r="7" customFormat="false" ht="15" hidden="false" customHeight="false" outlineLevel="0" collapsed="false">
      <c r="A7" s="6" t="s">
        <v>150</v>
      </c>
      <c r="B7" s="51" t="n">
        <v>3</v>
      </c>
      <c r="J7" s="3"/>
    </row>
    <row r="8" customFormat="false" ht="15" hidden="false" customHeight="false" outlineLevel="0" collapsed="false">
      <c r="A8" s="11" t="s">
        <v>151</v>
      </c>
      <c r="B8" s="36" t="n">
        <f aca="false">SUM(B5:B7)</f>
        <v>12</v>
      </c>
      <c r="J8" s="3"/>
    </row>
    <row r="9" customFormat="false" ht="15" hidden="false" customHeight="false" outlineLevel="0" collapsed="false">
      <c r="A9" s="6" t="s">
        <v>152</v>
      </c>
      <c r="B9" s="2" t="s">
        <v>153</v>
      </c>
      <c r="J9" s="3"/>
    </row>
    <row r="10" customFormat="false" ht="15" hidden="false" customHeight="false" outlineLevel="0" collapsed="false">
      <c r="A10" s="11" t="s">
        <v>154</v>
      </c>
      <c r="B10" s="52" t="n">
        <f aca="false">B8/12</f>
        <v>1</v>
      </c>
      <c r="J10" s="3"/>
    </row>
    <row r="11" customFormat="false" ht="15" hidden="false" customHeight="false" outlineLevel="0" collapsed="false">
      <c r="A11" s="11" t="s">
        <v>155</v>
      </c>
      <c r="B11" s="23" t="str">
        <f aca="false">IF(ABS(B10-1)&lt;=0.25,"yes — roughly a year","no")</f>
        <v>yes — roughly a year</v>
      </c>
      <c r="J11" s="3"/>
    </row>
    <row r="12" customFormat="false" ht="15" hidden="false" customHeight="false" outlineLevel="0" collapsed="false">
      <c r="J12" s="3"/>
    </row>
    <row r="13" customFormat="false" ht="15" hidden="false" customHeight="false" outlineLevel="0" collapsed="false">
      <c r="A13" s="5" t="s">
        <v>156</v>
      </c>
      <c r="J13" s="3"/>
    </row>
    <row r="14" customFormat="false" ht="15" hidden="false" customHeight="false" outlineLevel="0" collapsed="false">
      <c r="A14" s="6" t="s">
        <v>157</v>
      </c>
      <c r="B14" s="7" t="n">
        <v>0.075</v>
      </c>
      <c r="J14" s="3"/>
    </row>
    <row r="15" customFormat="false" ht="15" hidden="false" customHeight="false" outlineLevel="0" collapsed="false">
      <c r="A15" s="6" t="s">
        <v>158</v>
      </c>
      <c r="B15" s="51" t="n">
        <v>30</v>
      </c>
      <c r="J15" s="3"/>
    </row>
    <row r="16" customFormat="false" ht="15" hidden="false" customHeight="false" outlineLevel="0" collapsed="false">
      <c r="A16" s="6" t="s">
        <v>159</v>
      </c>
      <c r="B16" s="53" t="n">
        <f aca="false">'Trigger grid'!C32</f>
        <v>0.06</v>
      </c>
      <c r="J16" s="3"/>
    </row>
    <row r="17" customFormat="false" ht="15" hidden="false" customHeight="false" outlineLevel="0" collapsed="false">
      <c r="A17" s="6" t="s">
        <v>160</v>
      </c>
      <c r="B17" s="40" t="n">
        <v>24</v>
      </c>
      <c r="J17" s="3"/>
    </row>
    <row r="18" customFormat="false" ht="15" hidden="false" customHeight="false" outlineLevel="0" collapsed="false">
      <c r="A18" s="6" t="s">
        <v>161</v>
      </c>
      <c r="B18" s="34" t="n">
        <v>31</v>
      </c>
      <c r="J18" s="3"/>
    </row>
    <row r="19" customFormat="false" ht="15" hidden="false" customHeight="false" outlineLevel="0" collapsed="false">
      <c r="A19" s="6" t="s">
        <v>162</v>
      </c>
      <c r="B19" s="33" t="n">
        <v>0.45</v>
      </c>
      <c r="J19" s="3"/>
    </row>
    <row r="20" customFormat="false" ht="15" hidden="false" customHeight="false" outlineLevel="0" collapsed="false">
      <c r="A20" s="6" t="s">
        <v>163</v>
      </c>
      <c r="B20" s="33" t="n">
        <v>2.2</v>
      </c>
      <c r="J20" s="3"/>
    </row>
    <row r="21" customFormat="false" ht="15" hidden="false" customHeight="false" outlineLevel="0" collapsed="false">
      <c r="J21" s="3"/>
    </row>
    <row r="22" customFormat="false" ht="15" hidden="false" customHeight="false" outlineLevel="0" collapsed="false">
      <c r="A22" s="5" t="s">
        <v>164</v>
      </c>
      <c r="J22" s="3"/>
    </row>
    <row r="23" customFormat="false" ht="27.75" hidden="false" customHeight="true" outlineLevel="0" collapsed="false">
      <c r="A23" s="9" t="s">
        <v>165</v>
      </c>
      <c r="B23" s="10"/>
      <c r="C23" s="10" t="s">
        <v>166</v>
      </c>
      <c r="D23" s="10" t="s">
        <v>167</v>
      </c>
      <c r="E23" s="10" t="s">
        <v>168</v>
      </c>
      <c r="F23" s="10" t="s">
        <v>169</v>
      </c>
      <c r="G23" s="10" t="s">
        <v>170</v>
      </c>
      <c r="J23" s="3"/>
    </row>
    <row r="24" customFormat="false" ht="15" hidden="false" customHeight="false" outlineLevel="0" collapsed="false">
      <c r="A24" s="26" t="s">
        <v>171</v>
      </c>
      <c r="B24" s="16"/>
      <c r="C24" s="54" t="n">
        <f aca="false">IFERROR(MATCH(TRUE(),INDEX($C$33:$C$92&gt;=$B$16,0),0),"beyond the horizon")</f>
        <v>19</v>
      </c>
      <c r="D24" s="54" t="n">
        <f aca="false">IF(ISNUMBER(C24),MAX(1,C24-$B$8),"n/a")</f>
        <v>7</v>
      </c>
      <c r="E24" s="54" t="n">
        <f aca="false">IF(ISNUMBER(C24),MAX(0,MIN(C24,$B$17)-MIN(D24,$B$17)),0)</f>
        <v>12</v>
      </c>
      <c r="F24" s="55" t="n">
        <f aca="false">E24*$B$18</f>
        <v>372</v>
      </c>
      <c r="G24" s="32" t="n">
        <f aca="false">F24*$B$14</f>
        <v>27.9</v>
      </c>
      <c r="J24" s="3"/>
    </row>
    <row r="25" customFormat="false" ht="15" hidden="false" customHeight="false" outlineLevel="0" collapsed="false">
      <c r="A25" s="6" t="s">
        <v>15</v>
      </c>
      <c r="C25" s="56" t="n">
        <f aca="false">IFERROR(MATCH(TRUE(),INDEX($D$33:$D$92&gt;=$B$16,0),0),"beyond the horizon")</f>
        <v>24</v>
      </c>
      <c r="D25" s="56" t="n">
        <f aca="false">IF(ISNUMBER(C25),MAX(1,C25-$B$8),"n/a")</f>
        <v>12</v>
      </c>
      <c r="E25" s="56" t="n">
        <f aca="false">IF(ISNUMBER(C25),MAX(0,MIN(C25,$B$17)-MIN(D25,$B$17)),0)</f>
        <v>12</v>
      </c>
      <c r="F25" s="57" t="n">
        <f aca="false">E25*$B$18</f>
        <v>372</v>
      </c>
      <c r="G25" s="35" t="n">
        <f aca="false">F25*$B$14</f>
        <v>27.9</v>
      </c>
      <c r="J25" s="3"/>
    </row>
    <row r="26" customFormat="false" ht="15" hidden="false" customHeight="false" outlineLevel="0" collapsed="false">
      <c r="A26" s="26" t="s">
        <v>172</v>
      </c>
      <c r="B26" s="16"/>
      <c r="C26" s="54" t="n">
        <f aca="false">IFERROR(MATCH(TRUE(),INDEX($E$33:$E$92&gt;=$B$16,0),0),"beyond the horizon")</f>
        <v>28</v>
      </c>
      <c r="D26" s="54" t="n">
        <f aca="false">IF(ISNUMBER(C26),MAX(1,C26-$B$8),"n/a")</f>
        <v>16</v>
      </c>
      <c r="E26" s="54" t="n">
        <f aca="false">IF(ISNUMBER(C26),MAX(0,MIN(C26,$B$17)-MIN(D26,$B$17)),0)</f>
        <v>8</v>
      </c>
      <c r="F26" s="55" t="n">
        <f aca="false">E26*$B$18</f>
        <v>248</v>
      </c>
      <c r="G26" s="32" t="n">
        <f aca="false">F26*$B$14</f>
        <v>18.6</v>
      </c>
      <c r="J26" s="3"/>
    </row>
    <row r="27" customFormat="false" ht="15" hidden="false" customHeight="false" outlineLevel="0" collapsed="false">
      <c r="J27" s="3"/>
    </row>
    <row r="28" customFormat="false" ht="15" hidden="false" customHeight="false" outlineLevel="0" collapsed="false">
      <c r="A28" s="6" t="s">
        <v>173</v>
      </c>
      <c r="C28" s="12" t="n">
        <f aca="false">INDEX($C$33:$C$92,18)</f>
        <v>0.0595976761680153</v>
      </c>
      <c r="J28" s="3"/>
    </row>
    <row r="29" customFormat="false" ht="15" hidden="false" customHeight="false" outlineLevel="0" collapsed="false">
      <c r="A29" s="6" t="s">
        <v>174</v>
      </c>
      <c r="C29" s="12" t="n">
        <f aca="false">INDEX($E$33:$E$92,18)</f>
        <v>0.0243777721890807</v>
      </c>
      <c r="J29" s="3"/>
    </row>
    <row r="30" customFormat="false" ht="15" hidden="false" customHeight="false" outlineLevel="0" collapsed="false">
      <c r="A30" s="11" t="s">
        <v>175</v>
      </c>
      <c r="C30" s="36" t="n">
        <f aca="false">IF(AND(ISNUMBER(C24),ISNUMBER(C26)),C26-C24,"n/a")</f>
        <v>9</v>
      </c>
      <c r="J30" s="3"/>
    </row>
    <row r="31" customFormat="false" ht="15" hidden="false" customHeight="false" outlineLevel="0" collapsed="false">
      <c r="J31" s="3"/>
    </row>
    <row r="32" customFormat="false" ht="27.75" hidden="false" customHeight="true" outlineLevel="0" collapsed="false">
      <c r="A32" s="9" t="s">
        <v>176</v>
      </c>
      <c r="B32" s="10"/>
      <c r="C32" s="10" t="s">
        <v>171</v>
      </c>
      <c r="D32" s="10" t="s">
        <v>15</v>
      </c>
      <c r="E32" s="10" t="s">
        <v>172</v>
      </c>
      <c r="F32" s="10" t="s">
        <v>177</v>
      </c>
      <c r="G32" s="10" t="s">
        <v>178</v>
      </c>
      <c r="H32" s="10" t="s">
        <v>179</v>
      </c>
      <c r="J32" s="3"/>
    </row>
    <row r="33" customFormat="false" ht="15" hidden="false" customHeight="false" outlineLevel="0" collapsed="false">
      <c r="A33" s="40" t="n">
        <v>1</v>
      </c>
      <c r="C33" s="12" t="n">
        <f aca="false">$B$14*MIN(1,A33/$B$15)^$B$19</f>
        <v>0.016231426846266</v>
      </c>
      <c r="D33" s="12" t="n">
        <f aca="false">$B$14*MIN(1,A33/$B$15)</f>
        <v>0.0025</v>
      </c>
      <c r="E33" s="12" t="n">
        <f aca="false">$B$14*MIN(1,A33/$B$15)^$B$20</f>
        <v>4.22079736760098E-005</v>
      </c>
      <c r="F33" s="58" t="n">
        <f aca="false">C33-0</f>
        <v>0.016231426846266</v>
      </c>
      <c r="G33" s="58" t="n">
        <f aca="false">D33-0</f>
        <v>0.0025</v>
      </c>
      <c r="H33" s="58" t="n">
        <f aca="false">E33-0</f>
        <v>4.22079736760098E-005</v>
      </c>
      <c r="J33" s="3"/>
    </row>
    <row r="34" customFormat="false" ht="15" hidden="false" customHeight="false" outlineLevel="0" collapsed="false">
      <c r="A34" s="59" t="n">
        <v>2</v>
      </c>
      <c r="C34" s="17" t="n">
        <f aca="false">$B$14*MIN(1,A34/$B$15)^$B$19</f>
        <v>0.0221727824965634</v>
      </c>
      <c r="D34" s="17" t="n">
        <f aca="false">$B$14*MIN(1,A34/$B$15)</f>
        <v>0.005</v>
      </c>
      <c r="E34" s="17" t="n">
        <f aca="false">$B$14*MIN(1,A34/$B$15)^$B$20</f>
        <v>0.000193936919717563</v>
      </c>
      <c r="F34" s="60" t="n">
        <f aca="false">C34-C33</f>
        <v>0.00594135565029738</v>
      </c>
      <c r="G34" s="60" t="n">
        <f aca="false">D34-D33</f>
        <v>0.0025</v>
      </c>
      <c r="H34" s="60" t="n">
        <f aca="false">E34-E33</f>
        <v>0.000151728946041553</v>
      </c>
      <c r="J34" s="3"/>
    </row>
    <row r="35" customFormat="false" ht="15" hidden="false" customHeight="false" outlineLevel="0" collapsed="false">
      <c r="A35" s="40" t="n">
        <v>3</v>
      </c>
      <c r="C35" s="12" t="n">
        <f aca="false">$B$14*MIN(1,A35/$B$15)^$B$19</f>
        <v>0.0266110041925182</v>
      </c>
      <c r="D35" s="12" t="n">
        <f aca="false">$B$14*MIN(1,A35/$B$15)</f>
        <v>0.0075</v>
      </c>
      <c r="E35" s="12" t="n">
        <f aca="false">$B$14*MIN(1,A35/$B$15)^$B$20</f>
        <v>0.000473218008360145</v>
      </c>
      <c r="F35" s="58" t="n">
        <f aca="false">C35-C34</f>
        <v>0.00443822169595481</v>
      </c>
      <c r="G35" s="58" t="n">
        <f aca="false">D35-D34</f>
        <v>0.0025</v>
      </c>
      <c r="H35" s="58" t="n">
        <f aca="false">E35-E34</f>
        <v>0.000279281088642582</v>
      </c>
      <c r="J35" s="3"/>
    </row>
    <row r="36" customFormat="false" ht="15" hidden="false" customHeight="false" outlineLevel="0" collapsed="false">
      <c r="A36" s="59" t="n">
        <v>4</v>
      </c>
      <c r="C36" s="17" t="n">
        <f aca="false">$B$14*MIN(1,A36/$B$15)^$B$19</f>
        <v>0.0302889134945648</v>
      </c>
      <c r="D36" s="17" t="n">
        <f aca="false">$B$14*MIN(1,A36/$B$15)</f>
        <v>0.01</v>
      </c>
      <c r="E36" s="17" t="n">
        <f aca="false">$B$14*MIN(1,A36/$B$15)^$B$20</f>
        <v>0.000891100082611025</v>
      </c>
      <c r="F36" s="60" t="n">
        <f aca="false">C36-C35</f>
        <v>0.00367790930204661</v>
      </c>
      <c r="G36" s="60" t="n">
        <f aca="false">D36-D35</f>
        <v>0.0025</v>
      </c>
      <c r="H36" s="60" t="n">
        <f aca="false">E36-E35</f>
        <v>0.00041788207425088</v>
      </c>
      <c r="J36" s="3"/>
    </row>
    <row r="37" customFormat="false" ht="15" hidden="false" customHeight="false" outlineLevel="0" collapsed="false">
      <c r="A37" s="40" t="n">
        <v>5</v>
      </c>
      <c r="C37" s="12" t="n">
        <f aca="false">$B$14*MIN(1,A37/$B$15)^$B$19</f>
        <v>0.0334883076449544</v>
      </c>
      <c r="D37" s="12" t="n">
        <f aca="false">$B$14*MIN(1,A37/$B$15)</f>
        <v>0.0125</v>
      </c>
      <c r="E37" s="12" t="n">
        <f aca="false">$B$14*MIN(1,A37/$B$15)^$B$20</f>
        <v>0.00145588983077412</v>
      </c>
      <c r="F37" s="58" t="n">
        <f aca="false">C37-C36</f>
        <v>0.00319939415038958</v>
      </c>
      <c r="G37" s="58" t="n">
        <f aca="false">D37-D36</f>
        <v>0.0025</v>
      </c>
      <c r="H37" s="58" t="n">
        <f aca="false">E37-E36</f>
        <v>0.000564789748163098</v>
      </c>
      <c r="J37" s="3"/>
    </row>
    <row r="38" customFormat="false" ht="15" hidden="false" customHeight="false" outlineLevel="0" collapsed="false">
      <c r="A38" s="59" t="n">
        <v>6</v>
      </c>
      <c r="C38" s="17" t="n">
        <f aca="false">$B$14*MIN(1,A38/$B$15)^$B$19</f>
        <v>0.0363517029996398</v>
      </c>
      <c r="D38" s="17" t="n">
        <f aca="false">$B$14*MIN(1,A38/$B$15)</f>
        <v>0.015</v>
      </c>
      <c r="E38" s="17" t="n">
        <f aca="false">$B$14*MIN(1,A38/$B$15)^$B$20</f>
        <v>0.00217433899103309</v>
      </c>
      <c r="F38" s="60" t="n">
        <f aca="false">C38-C37</f>
        <v>0.00286339535468545</v>
      </c>
      <c r="G38" s="60" t="n">
        <f aca="false">D38-D37</f>
        <v>0.0025</v>
      </c>
      <c r="H38" s="60" t="n">
        <f aca="false">E38-E37</f>
        <v>0.000718449160258963</v>
      </c>
      <c r="J38" s="3"/>
    </row>
    <row r="39" customFormat="false" ht="15" hidden="false" customHeight="false" outlineLevel="0" collapsed="false">
      <c r="A39" s="40" t="n">
        <v>7</v>
      </c>
      <c r="C39" s="12" t="n">
        <f aca="false">$B$14*MIN(1,A39/$B$15)^$B$19</f>
        <v>0.0389628589931587</v>
      </c>
      <c r="D39" s="12" t="n">
        <f aca="false">$B$14*MIN(1,A39/$B$15)</f>
        <v>0.0175</v>
      </c>
      <c r="E39" s="12" t="n">
        <f aca="false">$B$14*MIN(1,A39/$B$15)^$B$20</f>
        <v>0.00305218034306089</v>
      </c>
      <c r="F39" s="58" t="n">
        <f aca="false">C39-C38</f>
        <v>0.00261115599351894</v>
      </c>
      <c r="G39" s="58" t="n">
        <f aca="false">D39-D38</f>
        <v>0.0025</v>
      </c>
      <c r="H39" s="58" t="n">
        <f aca="false">E39-E38</f>
        <v>0.000877841352027803</v>
      </c>
      <c r="J39" s="3"/>
    </row>
    <row r="40" customFormat="false" ht="15" hidden="false" customHeight="false" outlineLevel="0" collapsed="false">
      <c r="A40" s="59" t="n">
        <v>8</v>
      </c>
      <c r="C40" s="17" t="n">
        <f aca="false">$B$14*MIN(1,A40/$B$15)^$B$19</f>
        <v>0.0413758751669269</v>
      </c>
      <c r="D40" s="17" t="n">
        <f aca="false">$B$14*MIN(1,A40/$B$15)</f>
        <v>0.02</v>
      </c>
      <c r="E40" s="17" t="n">
        <f aca="false">$B$14*MIN(1,A40/$B$15)^$B$20</f>
        <v>0.00409442079613203</v>
      </c>
      <c r="F40" s="60" t="n">
        <f aca="false">C40-C39</f>
        <v>0.00241301617376819</v>
      </c>
      <c r="G40" s="60" t="n">
        <f aca="false">D40-D39</f>
        <v>0.0025</v>
      </c>
      <c r="H40" s="60" t="n">
        <f aca="false">E40-E39</f>
        <v>0.00104224045307114</v>
      </c>
      <c r="J40" s="3"/>
    </row>
    <row r="41" customFormat="false" ht="15" hidden="false" customHeight="false" outlineLevel="0" collapsed="false">
      <c r="A41" s="40" t="n">
        <v>9</v>
      </c>
      <c r="C41" s="12" t="n">
        <f aca="false">$B$14*MIN(1,A41/$B$15)^$B$19</f>
        <v>0.0436280525945954</v>
      </c>
      <c r="D41" s="12" t="n">
        <f aca="false">$B$14*MIN(1,A41/$B$15)</f>
        <v>0.0225</v>
      </c>
      <c r="E41" s="12" t="n">
        <f aca="false">$B$14*MIN(1,A41/$B$15)^$B$20</f>
        <v>0.0053055208277772</v>
      </c>
      <c r="F41" s="58" t="n">
        <f aca="false">C41-C40</f>
        <v>0.00225217742766844</v>
      </c>
      <c r="G41" s="58" t="n">
        <f aca="false">D41-D40</f>
        <v>0.0025</v>
      </c>
      <c r="H41" s="58" t="n">
        <f aca="false">E41-E40</f>
        <v>0.00121110003164518</v>
      </c>
      <c r="J41" s="3"/>
    </row>
    <row r="42" customFormat="false" ht="15" hidden="false" customHeight="false" outlineLevel="0" collapsed="false">
      <c r="A42" s="59" t="n">
        <v>10</v>
      </c>
      <c r="C42" s="17" t="n">
        <f aca="false">$B$14*MIN(1,A42/$B$15)^$B$19</f>
        <v>0.0457463763735836</v>
      </c>
      <c r="D42" s="17" t="n">
        <f aca="false">$B$14*MIN(1,A42/$B$15)</f>
        <v>0.025</v>
      </c>
      <c r="E42" s="17" t="n">
        <f aca="false">$B$14*MIN(1,A42/$B$15)^$B$20</f>
        <v>0.00668951301466859</v>
      </c>
      <c r="F42" s="60" t="n">
        <f aca="false">C42-C41</f>
        <v>0.00211832377898825</v>
      </c>
      <c r="G42" s="60" t="n">
        <f aca="false">D42-D41</f>
        <v>0.0025</v>
      </c>
      <c r="H42" s="60" t="n">
        <f aca="false">E42-E41</f>
        <v>0.00138399218689138</v>
      </c>
      <c r="J42" s="3"/>
    </row>
    <row r="43" customFormat="false" ht="15" hidden="false" customHeight="false" outlineLevel="0" collapsed="false">
      <c r="A43" s="40" t="n">
        <v>11</v>
      </c>
      <c r="C43" s="12" t="n">
        <f aca="false">$B$14*MIN(1,A43/$B$15)^$B$19</f>
        <v>0.0477511029241339</v>
      </c>
      <c r="D43" s="12" t="n">
        <f aca="false">$B$14*MIN(1,A43/$B$15)</f>
        <v>0.0275</v>
      </c>
      <c r="E43" s="12" t="n">
        <f aca="false">$B$14*MIN(1,A43/$B$15)^$B$20</f>
        <v>0.00825008475837289</v>
      </c>
      <c r="F43" s="58" t="n">
        <f aca="false">C43-C42</f>
        <v>0.00200472655055023</v>
      </c>
      <c r="G43" s="58" t="n">
        <f aca="false">D43-D42</f>
        <v>0.0025</v>
      </c>
      <c r="H43" s="58" t="n">
        <f aca="false">E43-E42</f>
        <v>0.0015605717437043</v>
      </c>
      <c r="J43" s="3"/>
    </row>
    <row r="44" customFormat="false" ht="15" hidden="false" customHeight="false" outlineLevel="0" collapsed="false">
      <c r="A44" s="59" t="n">
        <v>12</v>
      </c>
      <c r="C44" s="17" t="n">
        <f aca="false">$B$14*MIN(1,A44/$B$15)^$B$19</f>
        <v>0.0496578896990875</v>
      </c>
      <c r="D44" s="17" t="n">
        <f aca="false">$B$14*MIN(1,A44/$B$15)</f>
        <v>0.03</v>
      </c>
      <c r="E44" s="17" t="n">
        <f aca="false">$B$14*MIN(1,A44/$B$15)^$B$20</f>
        <v>0.00999063848882248</v>
      </c>
      <c r="F44" s="60" t="n">
        <f aca="false">C44-C43</f>
        <v>0.00190678677495363</v>
      </c>
      <c r="G44" s="60" t="n">
        <f aca="false">D44-D43</f>
        <v>0.0025</v>
      </c>
      <c r="H44" s="60" t="n">
        <f aca="false">E44-E43</f>
        <v>0.00174055373044959</v>
      </c>
      <c r="J44" s="3"/>
    </row>
    <row r="45" customFormat="false" ht="15" hidden="false" customHeight="false" outlineLevel="0" collapsed="false">
      <c r="A45" s="40" t="n">
        <v>13</v>
      </c>
      <c r="C45" s="12" t="n">
        <f aca="false">$B$14*MIN(1,A45/$B$15)^$B$19</f>
        <v>0.0514791310207183</v>
      </c>
      <c r="D45" s="12" t="n">
        <f aca="false">$B$14*MIN(1,A45/$B$15)</f>
        <v>0.0325</v>
      </c>
      <c r="E45" s="12" t="n">
        <f aca="false">$B$14*MIN(1,A45/$B$15)^$B$20</f>
        <v>0.0119143369456524</v>
      </c>
      <c r="F45" s="58" t="n">
        <f aca="false">C45-C44</f>
        <v>0.00182124132163086</v>
      </c>
      <c r="G45" s="58" t="n">
        <f aca="false">D45-D44</f>
        <v>0.0025</v>
      </c>
      <c r="H45" s="58" t="n">
        <f aca="false">E45-E44</f>
        <v>0.00192369845682993</v>
      </c>
    </row>
    <row r="46" customFormat="false" ht="15" hidden="false" customHeight="false" outlineLevel="0" collapsed="false">
      <c r="A46" s="59" t="n">
        <v>14</v>
      </c>
      <c r="C46" s="17" t="n">
        <f aca="false">$B$14*MIN(1,A46/$B$15)^$B$19</f>
        <v>0.0532248339028999</v>
      </c>
      <c r="D46" s="17" t="n">
        <f aca="false">$B$14*MIN(1,A46/$B$15)</f>
        <v>0.035</v>
      </c>
      <c r="E46" s="17" t="n">
        <f aca="false">$B$14*MIN(1,A46/$B$15)^$B$20</f>
        <v>0.0140241381569133</v>
      </c>
      <c r="F46" s="60" t="n">
        <f aca="false">C46-C45</f>
        <v>0.00174570288218152</v>
      </c>
      <c r="G46" s="60" t="n">
        <f aca="false">D46-D45</f>
        <v>0.0025</v>
      </c>
      <c r="H46" s="60" t="n">
        <f aca="false">E46-E45</f>
        <v>0.00210980121126091</v>
      </c>
    </row>
    <row r="47" customFormat="false" ht="15" hidden="false" customHeight="false" outlineLevel="0" collapsed="false">
      <c r="A47" s="40" t="n">
        <v>15</v>
      </c>
      <c r="C47" s="12" t="n">
        <f aca="false">$B$14*MIN(1,A47/$B$15)^$B$19</f>
        <v>0.054903213597961</v>
      </c>
      <c r="D47" s="12" t="n">
        <f aca="false">$B$14*MIN(1,A47/$B$15)</f>
        <v>0.0375</v>
      </c>
      <c r="E47" s="12" t="n">
        <f aca="false">$B$14*MIN(1,A47/$B$15)^$B$20</f>
        <v>0.0163228230618023</v>
      </c>
      <c r="F47" s="58" t="n">
        <f aca="false">C47-C46</f>
        <v>0.00167837969506109</v>
      </c>
      <c r="G47" s="58" t="n">
        <f aca="false">D47-D46</f>
        <v>0.0025</v>
      </c>
      <c r="H47" s="58" t="n">
        <f aca="false">E47-E46</f>
        <v>0.00229868490488901</v>
      </c>
    </row>
    <row r="48" customFormat="false" ht="15" hidden="false" customHeight="false" outlineLevel="0" collapsed="false">
      <c r="A48" s="59" t="n">
        <v>16</v>
      </c>
      <c r="C48" s="17" t="n">
        <f aca="false">$B$14*MIN(1,A48/$B$15)^$B$19</f>
        <v>0.0565211111364667</v>
      </c>
      <c r="D48" s="17" t="n">
        <f aca="false">$B$14*MIN(1,A48/$B$15)</f>
        <v>0.04</v>
      </c>
      <c r="E48" s="17" t="n">
        <f aca="false">$B$14*MIN(1,A48/$B$15)^$B$20</f>
        <v>0.01881301773273</v>
      </c>
      <c r="F48" s="60" t="n">
        <f aca="false">C48-C47</f>
        <v>0.00161789753850573</v>
      </c>
      <c r="G48" s="60" t="n">
        <f aca="false">D48-D47</f>
        <v>0.0025</v>
      </c>
      <c r="H48" s="60" t="n">
        <f aca="false">E48-E47</f>
        <v>0.00249019467092771</v>
      </c>
    </row>
    <row r="49" customFormat="false" ht="15" hidden="false" customHeight="false" outlineLevel="0" collapsed="false">
      <c r="A49" s="40" t="n">
        <v>17</v>
      </c>
      <c r="C49" s="12" t="n">
        <f aca="false">$B$14*MIN(1,A49/$B$15)^$B$19</f>
        <v>0.0580842937864289</v>
      </c>
      <c r="D49" s="12" t="n">
        <f aca="false">$B$14*MIN(1,A49/$B$15)</f>
        <v>0.0425</v>
      </c>
      <c r="E49" s="12" t="n">
        <f aca="false">$B$14*MIN(1,A49/$B$15)^$B$20</f>
        <v>0.0214972115377387</v>
      </c>
      <c r="F49" s="58" t="n">
        <f aca="false">C49-C48</f>
        <v>0.0015631826499622</v>
      </c>
      <c r="G49" s="58" t="n">
        <f aca="false">D49-D48</f>
        <v>0.0025</v>
      </c>
      <c r="H49" s="58" t="n">
        <f aca="false">E49-E48</f>
        <v>0.00268419380500867</v>
      </c>
    </row>
    <row r="50" customFormat="false" ht="15" hidden="false" customHeight="false" outlineLevel="0" collapsed="false">
      <c r="A50" s="59" t="n">
        <v>18</v>
      </c>
      <c r="C50" s="17" t="n">
        <f aca="false">$B$14*MIN(1,A50/$B$15)^$B$19</f>
        <v>0.0595976761680153</v>
      </c>
      <c r="D50" s="17" t="n">
        <f aca="false">$B$14*MIN(1,A50/$B$15)</f>
        <v>0.045</v>
      </c>
      <c r="E50" s="17" t="n">
        <f aca="false">$B$14*MIN(1,A50/$B$15)^$B$20</f>
        <v>0.0243777721890807</v>
      </c>
      <c r="F50" s="60" t="n">
        <f aca="false">C50-C49</f>
        <v>0.00151338238158644</v>
      </c>
      <c r="G50" s="60" t="n">
        <f aca="false">D50-D49</f>
        <v>0.0025</v>
      </c>
      <c r="H50" s="60" t="n">
        <f aca="false">E50-E49</f>
        <v>0.00288056065134202</v>
      </c>
    </row>
    <row r="51" customFormat="false" ht="15" hidden="false" customHeight="false" outlineLevel="0" collapsed="false">
      <c r="A51" s="40" t="n">
        <v>19</v>
      </c>
      <c r="C51" s="12" t="n">
        <f aca="false">$B$14*MIN(1,A51/$B$15)^$B$19</f>
        <v>0.0610654861886532</v>
      </c>
      <c r="D51" s="12" t="n">
        <f aca="false">$B$14*MIN(1,A51/$B$15)</f>
        <v>0.0475</v>
      </c>
      <c r="E51" s="12" t="n">
        <f aca="false">$B$14*MIN(1,A51/$B$15)^$B$20</f>
        <v>0.0274569583612721</v>
      </c>
      <c r="F51" s="58" t="n">
        <f aca="false">C51-C50</f>
        <v>0.00146781002063789</v>
      </c>
      <c r="G51" s="58" t="n">
        <f aca="false">D51-D50</f>
        <v>0.0025</v>
      </c>
      <c r="H51" s="58" t="n">
        <f aca="false">E51-E50</f>
        <v>0.0030791861721914</v>
      </c>
    </row>
    <row r="52" customFormat="false" ht="15" hidden="false" customHeight="false" outlineLevel="0" collapsed="false">
      <c r="A52" s="59" t="n">
        <v>20</v>
      </c>
      <c r="C52" s="17" t="n">
        <f aca="false">$B$14*MIN(1,A52/$B$15)^$B$19</f>
        <v>0.0624913917269534</v>
      </c>
      <c r="D52" s="17" t="n">
        <f aca="false">$B$14*MIN(1,A52/$B$15)</f>
        <v>0.05</v>
      </c>
      <c r="E52" s="17" t="n">
        <f aca="false">$B$14*MIN(1,A52/$B$15)^$B$20</f>
        <v>0.0307369303827243</v>
      </c>
      <c r="F52" s="60" t="n">
        <f aca="false">C52-C51</f>
        <v>0.00142590553830017</v>
      </c>
      <c r="G52" s="60" t="n">
        <f aca="false">D52-D51</f>
        <v>0.0025</v>
      </c>
      <c r="H52" s="60" t="n">
        <f aca="false">E52-E51</f>
        <v>0.00327997202145213</v>
      </c>
    </row>
    <row r="53" customFormat="false" ht="15" hidden="false" customHeight="false" outlineLevel="0" collapsed="false">
      <c r="A53" s="40" t="n">
        <v>21</v>
      </c>
      <c r="C53" s="12" t="n">
        <f aca="false">$B$14*MIN(1,A53/$B$15)^$B$19</f>
        <v>0.0638785988342094</v>
      </c>
      <c r="D53" s="12" t="n">
        <f aca="false">$B$14*MIN(1,A53/$B$15)</f>
        <v>0.0525</v>
      </c>
      <c r="E53" s="12" t="n">
        <f aca="false">$B$14*MIN(1,A53/$B$15)^$B$20</f>
        <v>0.0342197593797353</v>
      </c>
      <c r="F53" s="58" t="n">
        <f aca="false">C53-C52</f>
        <v>0.00138720710725603</v>
      </c>
      <c r="G53" s="58" t="n">
        <f aca="false">D53-D52</f>
        <v>0.0025</v>
      </c>
      <c r="H53" s="58" t="n">
        <f aca="false">E53-E52</f>
        <v>0.00348282899701102</v>
      </c>
    </row>
    <row r="54" customFormat="false" ht="15" hidden="false" customHeight="false" outlineLevel="0" collapsed="false">
      <c r="A54" s="59" t="n">
        <v>22</v>
      </c>
      <c r="C54" s="17" t="n">
        <f aca="false">$B$14*MIN(1,A54/$B$15)^$B$19</f>
        <v>0.0652299288987894</v>
      </c>
      <c r="D54" s="17" t="n">
        <f aca="false">$B$14*MIN(1,A54/$B$15)</f>
        <v>0.055</v>
      </c>
      <c r="E54" s="17" t="n">
        <f aca="false">$B$14*MIN(1,A54/$B$15)^$B$20</f>
        <v>0.0379074351621162</v>
      </c>
      <c r="F54" s="60" t="n">
        <f aca="false">C54-C53</f>
        <v>0.00135133006457996</v>
      </c>
      <c r="G54" s="60" t="n">
        <f aca="false">D54-D53</f>
        <v>0.0025</v>
      </c>
      <c r="H54" s="60" t="n">
        <f aca="false">E54-E53</f>
        <v>0.00368767578238093</v>
      </c>
    </row>
    <row r="55" customFormat="false" ht="15" hidden="false" customHeight="false" outlineLevel="0" collapsed="false">
      <c r="A55" s="40" t="n">
        <v>23</v>
      </c>
      <c r="C55" s="12" t="n">
        <f aca="false">$B$14*MIN(1,A55/$B$15)^$B$19</f>
        <v>0.0665478800246427</v>
      </c>
      <c r="D55" s="12" t="n">
        <f aca="false">$B$14*MIN(1,A55/$B$15)</f>
        <v>0.0575</v>
      </c>
      <c r="E55" s="12" t="n">
        <f aca="false">$B$14*MIN(1,A55/$B$15)^$B$20</f>
        <v>0.0418018730745922</v>
      </c>
      <c r="F55" s="58" t="n">
        <f aca="false">C55-C54</f>
        <v>0.00131795112585334</v>
      </c>
      <c r="G55" s="58" t="n">
        <f aca="false">D55-D54</f>
        <v>0.00250000000000001</v>
      </c>
      <c r="H55" s="58" t="n">
        <f aca="false">E55-E54</f>
        <v>0.00389443791247603</v>
      </c>
    </row>
    <row r="56" customFormat="false" ht="15" hidden="false" customHeight="false" outlineLevel="0" collapsed="false">
      <c r="A56" s="59" t="n">
        <v>24</v>
      </c>
      <c r="C56" s="17" t="n">
        <f aca="false">$B$14*MIN(1,A56/$B$15)^$B$19</f>
        <v>0.0678346763944229</v>
      </c>
      <c r="D56" s="17" t="n">
        <f aca="false">$B$14*MIN(1,A56/$B$15)</f>
        <v>0.06</v>
      </c>
      <c r="E56" s="17" t="n">
        <f aca="false">$B$14*MIN(1,A56/$B$15)^$B$20</f>
        <v>0.0459049199899218</v>
      </c>
      <c r="F56" s="60" t="n">
        <f aca="false">C56-C55</f>
        <v>0.0012867963697802</v>
      </c>
      <c r="G56" s="60" t="n">
        <f aca="false">D56-D55</f>
        <v>0.0025</v>
      </c>
      <c r="H56" s="60" t="n">
        <f aca="false">E56-E55</f>
        <v>0.00410304691532955</v>
      </c>
    </row>
    <row r="57" customFormat="false" ht="15" hidden="false" customHeight="false" outlineLevel="0" collapsed="false">
      <c r="A57" s="40" t="n">
        <v>25</v>
      </c>
      <c r="C57" s="12" t="n">
        <f aca="false">$B$14*MIN(1,A57/$B$15)^$B$19</f>
        <v>0.0690923083685093</v>
      </c>
      <c r="D57" s="12" t="n">
        <f aca="false">$B$14*MIN(1,A57/$B$15)</f>
        <v>0.0625</v>
      </c>
      <c r="E57" s="12" t="n">
        <f aca="false">$B$14*MIN(1,A57/$B$15)^$B$20</f>
        <v>0.0502183595834702</v>
      </c>
      <c r="F57" s="58" t="n">
        <f aca="false">C57-C56</f>
        <v>0.00125763197408635</v>
      </c>
      <c r="G57" s="58" t="n">
        <f aca="false">D57-D56</f>
        <v>0.0025</v>
      </c>
      <c r="H57" s="58" t="n">
        <f aca="false">E57-E56</f>
        <v>0.00431343959354839</v>
      </c>
    </row>
    <row r="58" customFormat="false" ht="15" hidden="false" customHeight="false" outlineLevel="0" collapsed="false">
      <c r="A58" s="59" t="n">
        <v>26</v>
      </c>
      <c r="C58" s="17" t="n">
        <f aca="false">$B$14*MIN(1,A58/$B$15)^$B$19</f>
        <v>0.0703225653570353</v>
      </c>
      <c r="D58" s="17" t="n">
        <f aca="false">$B$14*MIN(1,A58/$B$15)</f>
        <v>0.065</v>
      </c>
      <c r="E58" s="17" t="n">
        <f aca="false">$B$14*MIN(1,A58/$B$15)^$B$20</f>
        <v>0.0547439170014053</v>
      </c>
      <c r="F58" s="60" t="n">
        <f aca="false">C58-C57</f>
        <v>0.00123025698852598</v>
      </c>
      <c r="G58" s="60" t="n">
        <f aca="false">D58-D57</f>
        <v>0.0025</v>
      </c>
      <c r="H58" s="60" t="n">
        <f aca="false">E58-E57</f>
        <v>0.00452555741793512</v>
      </c>
    </row>
    <row r="59" customFormat="false" ht="15" hidden="false" customHeight="false" outlineLevel="0" collapsed="false">
      <c r="A59" s="40" t="n">
        <v>27</v>
      </c>
      <c r="C59" s="12" t="n">
        <f aca="false">$B$14*MIN(1,A59/$B$15)^$B$19</f>
        <v>0.0715270629934339</v>
      </c>
      <c r="D59" s="12" t="n">
        <f aca="false">$B$14*MIN(1,A59/$B$15)</f>
        <v>0.0675</v>
      </c>
      <c r="E59" s="12" t="n">
        <f aca="false">$B$14*MIN(1,A59/$B$15)^$B$20</f>
        <v>0.0594832630134293</v>
      </c>
      <c r="F59" s="58" t="n">
        <f aca="false">C59-C58</f>
        <v>0.00120449763639865</v>
      </c>
      <c r="G59" s="58" t="n">
        <f aca="false">D59-D58</f>
        <v>0.0025</v>
      </c>
      <c r="H59" s="58" t="n">
        <f aca="false">E59-E58</f>
        <v>0.00473934601202405</v>
      </c>
    </row>
    <row r="60" customFormat="false" ht="15" hidden="false" customHeight="false" outlineLevel="0" collapsed="false">
      <c r="A60" s="59" t="n">
        <v>28</v>
      </c>
      <c r="C60" s="17" t="n">
        <f aca="false">$B$14*MIN(1,A60/$B$15)^$B$19</f>
        <v>0.0727072657704274</v>
      </c>
      <c r="D60" s="17" t="n">
        <f aca="false">$B$14*MIN(1,A60/$B$15)</f>
        <v>0.07</v>
      </c>
      <c r="E60" s="17" t="n">
        <f aca="false">$B$14*MIN(1,A60/$B$15)^$B$20</f>
        <v>0.0644380177243899</v>
      </c>
      <c r="F60" s="60" t="n">
        <f aca="false">C60-C59</f>
        <v>0.00118020277699347</v>
      </c>
      <c r="G60" s="60" t="n">
        <f aca="false">D60-D59</f>
        <v>0.00249999999999999</v>
      </c>
      <c r="H60" s="60" t="n">
        <f aca="false">E60-E59</f>
        <v>0.00495475471096059</v>
      </c>
    </row>
    <row r="61" customFormat="false" ht="15" hidden="false" customHeight="false" outlineLevel="0" collapsed="false">
      <c r="A61" s="40" t="n">
        <v>29</v>
      </c>
      <c r="C61" s="12" t="n">
        <f aca="false">$B$14*MIN(1,A61/$B$15)^$B$19</f>
        <v>0.0738645060301055</v>
      </c>
      <c r="D61" s="12" t="n">
        <f aca="false">$B$14*MIN(1,A61/$B$15)</f>
        <v>0.0725</v>
      </c>
      <c r="E61" s="12" t="n">
        <f aca="false">$B$14*MIN(1,A61/$B$15)^$B$20</f>
        <v>0.0696097539060606</v>
      </c>
      <c r="F61" s="58" t="n">
        <f aca="false">C61-C60</f>
        <v>0.00115724025967816</v>
      </c>
      <c r="G61" s="58" t="n">
        <f aca="false">D61-D60</f>
        <v>0.0025</v>
      </c>
      <c r="H61" s="58" t="n">
        <f aca="false">E61-E60</f>
        <v>0.00517173618167063</v>
      </c>
    </row>
    <row r="62" customFormat="false" ht="15" hidden="false" customHeight="false" outlineLevel="0" collapsed="false">
      <c r="A62" s="59" t="n">
        <v>30</v>
      </c>
      <c r="C62" s="17" t="n">
        <f aca="false">$B$14*MIN(1,A62/$B$15)^$B$19</f>
        <v>0.075</v>
      </c>
      <c r="D62" s="17" t="n">
        <f aca="false">$B$14*MIN(1,A62/$B$15)</f>
        <v>0.075</v>
      </c>
      <c r="E62" s="17" t="n">
        <f aca="false">$B$14*MIN(1,A62/$B$15)^$B$20</f>
        <v>0.075</v>
      </c>
      <c r="F62" s="60" t="n">
        <f aca="false">C62-C61</f>
        <v>0.00113549396989446</v>
      </c>
      <c r="G62" s="60" t="n">
        <f aca="false">D62-D61</f>
        <v>0.0025</v>
      </c>
      <c r="H62" s="60" t="n">
        <f aca="false">E62-E61</f>
        <v>0.00539024609393944</v>
      </c>
    </row>
    <row r="63" customFormat="false" ht="15" hidden="false" customHeight="false" outlineLevel="0" collapsed="false">
      <c r="A63" s="40" t="n">
        <v>31</v>
      </c>
      <c r="C63" s="12" t="n">
        <f aca="false">$B$14*MIN(1,A63/$B$15)^$B$19</f>
        <v>0.075</v>
      </c>
      <c r="D63" s="12" t="n">
        <f aca="false">$B$14*MIN(1,A63/$B$15)</f>
        <v>0.075</v>
      </c>
      <c r="E63" s="12" t="n">
        <f aca="false">$B$14*MIN(1,A63/$B$15)^$B$20</f>
        <v>0.075</v>
      </c>
      <c r="F63" s="58" t="n">
        <f aca="false">C63-C62</f>
        <v>0</v>
      </c>
      <c r="G63" s="58" t="n">
        <f aca="false">D63-D62</f>
        <v>0</v>
      </c>
      <c r="H63" s="58" t="n">
        <f aca="false">E63-E62</f>
        <v>0</v>
      </c>
    </row>
    <row r="64" customFormat="false" ht="15" hidden="false" customHeight="false" outlineLevel="0" collapsed="false">
      <c r="A64" s="59" t="n">
        <v>32</v>
      </c>
      <c r="C64" s="17" t="n">
        <f aca="false">$B$14*MIN(1,A64/$B$15)^$B$19</f>
        <v>0.075</v>
      </c>
      <c r="D64" s="17" t="n">
        <f aca="false">$B$14*MIN(1,A64/$B$15)</f>
        <v>0.075</v>
      </c>
      <c r="E64" s="17" t="n">
        <f aca="false">$B$14*MIN(1,A64/$B$15)^$B$20</f>
        <v>0.075</v>
      </c>
      <c r="F64" s="60" t="n">
        <f aca="false">C64-C63</f>
        <v>0</v>
      </c>
      <c r="G64" s="60" t="n">
        <f aca="false">D64-D63</f>
        <v>0</v>
      </c>
      <c r="H64" s="60" t="n">
        <f aca="false">E64-E63</f>
        <v>0</v>
      </c>
    </row>
    <row r="65" customFormat="false" ht="15" hidden="false" customHeight="false" outlineLevel="0" collapsed="false">
      <c r="A65" s="40" t="n">
        <v>33</v>
      </c>
      <c r="C65" s="12" t="n">
        <f aca="false">$B$14*MIN(1,A65/$B$15)^$B$19</f>
        <v>0.075</v>
      </c>
      <c r="D65" s="12" t="n">
        <f aca="false">$B$14*MIN(1,A65/$B$15)</f>
        <v>0.075</v>
      </c>
      <c r="E65" s="12" t="n">
        <f aca="false">$B$14*MIN(1,A65/$B$15)^$B$20</f>
        <v>0.075</v>
      </c>
      <c r="F65" s="58" t="n">
        <f aca="false">C65-C64</f>
        <v>0</v>
      </c>
      <c r="G65" s="58" t="n">
        <f aca="false">D65-D64</f>
        <v>0</v>
      </c>
      <c r="H65" s="58" t="n">
        <f aca="false">E65-E64</f>
        <v>0</v>
      </c>
    </row>
    <row r="66" customFormat="false" ht="15" hidden="false" customHeight="false" outlineLevel="0" collapsed="false">
      <c r="A66" s="59" t="n">
        <v>34</v>
      </c>
      <c r="C66" s="17" t="n">
        <f aca="false">$B$14*MIN(1,A66/$B$15)^$B$19</f>
        <v>0.075</v>
      </c>
      <c r="D66" s="17" t="n">
        <f aca="false">$B$14*MIN(1,A66/$B$15)</f>
        <v>0.075</v>
      </c>
      <c r="E66" s="17" t="n">
        <f aca="false">$B$14*MIN(1,A66/$B$15)^$B$20</f>
        <v>0.075</v>
      </c>
      <c r="F66" s="60" t="n">
        <f aca="false">C66-C65</f>
        <v>0</v>
      </c>
      <c r="G66" s="60" t="n">
        <f aca="false">D66-D65</f>
        <v>0</v>
      </c>
      <c r="H66" s="60" t="n">
        <f aca="false">E66-E65</f>
        <v>0</v>
      </c>
    </row>
    <row r="67" customFormat="false" ht="15" hidden="false" customHeight="false" outlineLevel="0" collapsed="false">
      <c r="A67" s="40" t="n">
        <v>35</v>
      </c>
      <c r="C67" s="12" t="n">
        <f aca="false">$B$14*MIN(1,A67/$B$15)^$B$19</f>
        <v>0.075</v>
      </c>
      <c r="D67" s="12" t="n">
        <f aca="false">$B$14*MIN(1,A67/$B$15)</f>
        <v>0.075</v>
      </c>
      <c r="E67" s="12" t="n">
        <f aca="false">$B$14*MIN(1,A67/$B$15)^$B$20</f>
        <v>0.075</v>
      </c>
      <c r="F67" s="58" t="n">
        <f aca="false">C67-C66</f>
        <v>0</v>
      </c>
      <c r="G67" s="58" t="n">
        <f aca="false">D67-D66</f>
        <v>0</v>
      </c>
      <c r="H67" s="58" t="n">
        <f aca="false">E67-E66</f>
        <v>0</v>
      </c>
    </row>
    <row r="68" customFormat="false" ht="15" hidden="false" customHeight="false" outlineLevel="0" collapsed="false">
      <c r="A68" s="59" t="n">
        <v>36</v>
      </c>
      <c r="C68" s="17" t="n">
        <f aca="false">$B$14*MIN(1,A68/$B$15)^$B$19</f>
        <v>0.075</v>
      </c>
      <c r="D68" s="17" t="n">
        <f aca="false">$B$14*MIN(1,A68/$B$15)</f>
        <v>0.075</v>
      </c>
      <c r="E68" s="17" t="n">
        <f aca="false">$B$14*MIN(1,A68/$B$15)^$B$20</f>
        <v>0.075</v>
      </c>
      <c r="F68" s="60" t="n">
        <f aca="false">C68-C67</f>
        <v>0</v>
      </c>
      <c r="G68" s="60" t="n">
        <f aca="false">D68-D67</f>
        <v>0</v>
      </c>
      <c r="H68" s="60" t="n">
        <f aca="false">E68-E67</f>
        <v>0</v>
      </c>
    </row>
    <row r="69" customFormat="false" ht="15" hidden="false" customHeight="false" outlineLevel="0" collapsed="false">
      <c r="A69" s="40" t="n">
        <v>37</v>
      </c>
      <c r="C69" s="12" t="n">
        <f aca="false">$B$14*MIN(1,A69/$B$15)^$B$19</f>
        <v>0.075</v>
      </c>
      <c r="D69" s="12" t="n">
        <f aca="false">$B$14*MIN(1,A69/$B$15)</f>
        <v>0.075</v>
      </c>
      <c r="E69" s="12" t="n">
        <f aca="false">$B$14*MIN(1,A69/$B$15)^$B$20</f>
        <v>0.075</v>
      </c>
      <c r="F69" s="58" t="n">
        <f aca="false">C69-C68</f>
        <v>0</v>
      </c>
      <c r="G69" s="58" t="n">
        <f aca="false">D69-D68</f>
        <v>0</v>
      </c>
      <c r="H69" s="58" t="n">
        <f aca="false">E69-E68</f>
        <v>0</v>
      </c>
    </row>
    <row r="70" customFormat="false" ht="15" hidden="false" customHeight="false" outlineLevel="0" collapsed="false">
      <c r="A70" s="59" t="n">
        <v>38</v>
      </c>
      <c r="C70" s="17" t="n">
        <f aca="false">$B$14*MIN(1,A70/$B$15)^$B$19</f>
        <v>0.075</v>
      </c>
      <c r="D70" s="17" t="n">
        <f aca="false">$B$14*MIN(1,A70/$B$15)</f>
        <v>0.075</v>
      </c>
      <c r="E70" s="17" t="n">
        <f aca="false">$B$14*MIN(1,A70/$B$15)^$B$20</f>
        <v>0.075</v>
      </c>
      <c r="F70" s="60" t="n">
        <f aca="false">C70-C69</f>
        <v>0</v>
      </c>
      <c r="G70" s="60" t="n">
        <f aca="false">D70-D69</f>
        <v>0</v>
      </c>
      <c r="H70" s="60" t="n">
        <f aca="false">E70-E69</f>
        <v>0</v>
      </c>
    </row>
    <row r="71" customFormat="false" ht="15" hidden="false" customHeight="false" outlineLevel="0" collapsed="false">
      <c r="A71" s="40" t="n">
        <v>39</v>
      </c>
      <c r="C71" s="12" t="n">
        <f aca="false">$B$14*MIN(1,A71/$B$15)^$B$19</f>
        <v>0.075</v>
      </c>
      <c r="D71" s="12" t="n">
        <f aca="false">$B$14*MIN(1,A71/$B$15)</f>
        <v>0.075</v>
      </c>
      <c r="E71" s="12" t="n">
        <f aca="false">$B$14*MIN(1,A71/$B$15)^$B$20</f>
        <v>0.075</v>
      </c>
      <c r="F71" s="58" t="n">
        <f aca="false">C71-C70</f>
        <v>0</v>
      </c>
      <c r="G71" s="58" t="n">
        <f aca="false">D71-D70</f>
        <v>0</v>
      </c>
      <c r="H71" s="58" t="n">
        <f aca="false">E71-E70</f>
        <v>0</v>
      </c>
    </row>
    <row r="72" customFormat="false" ht="15" hidden="false" customHeight="false" outlineLevel="0" collapsed="false">
      <c r="A72" s="59" t="n">
        <v>40</v>
      </c>
      <c r="C72" s="17" t="n">
        <f aca="false">$B$14*MIN(1,A72/$B$15)^$B$19</f>
        <v>0.075</v>
      </c>
      <c r="D72" s="17" t="n">
        <f aca="false">$B$14*MIN(1,A72/$B$15)</f>
        <v>0.075</v>
      </c>
      <c r="E72" s="17" t="n">
        <f aca="false">$B$14*MIN(1,A72/$B$15)^$B$20</f>
        <v>0.075</v>
      </c>
      <c r="F72" s="60" t="n">
        <f aca="false">C72-C71</f>
        <v>0</v>
      </c>
      <c r="G72" s="60" t="n">
        <f aca="false">D72-D71</f>
        <v>0</v>
      </c>
      <c r="H72" s="60" t="n">
        <f aca="false">E72-E71</f>
        <v>0</v>
      </c>
    </row>
    <row r="73" customFormat="false" ht="15" hidden="false" customHeight="false" outlineLevel="0" collapsed="false">
      <c r="A73" s="40" t="n">
        <v>41</v>
      </c>
      <c r="C73" s="12" t="n">
        <f aca="false">$B$14*MIN(1,A73/$B$15)^$B$19</f>
        <v>0.075</v>
      </c>
      <c r="D73" s="12" t="n">
        <f aca="false">$B$14*MIN(1,A73/$B$15)</f>
        <v>0.075</v>
      </c>
      <c r="E73" s="12" t="n">
        <f aca="false">$B$14*MIN(1,A73/$B$15)^$B$20</f>
        <v>0.075</v>
      </c>
      <c r="F73" s="58" t="n">
        <f aca="false">C73-C72</f>
        <v>0</v>
      </c>
      <c r="G73" s="58" t="n">
        <f aca="false">D73-D72</f>
        <v>0</v>
      </c>
      <c r="H73" s="58" t="n">
        <f aca="false">E73-E72</f>
        <v>0</v>
      </c>
    </row>
    <row r="74" customFormat="false" ht="15" hidden="false" customHeight="false" outlineLevel="0" collapsed="false">
      <c r="A74" s="59" t="n">
        <v>42</v>
      </c>
      <c r="C74" s="17" t="n">
        <f aca="false">$B$14*MIN(1,A74/$B$15)^$B$19</f>
        <v>0.075</v>
      </c>
      <c r="D74" s="17" t="n">
        <f aca="false">$B$14*MIN(1,A74/$B$15)</f>
        <v>0.075</v>
      </c>
      <c r="E74" s="17" t="n">
        <f aca="false">$B$14*MIN(1,A74/$B$15)^$B$20</f>
        <v>0.075</v>
      </c>
      <c r="F74" s="60" t="n">
        <f aca="false">C74-C73</f>
        <v>0</v>
      </c>
      <c r="G74" s="60" t="n">
        <f aca="false">D74-D73</f>
        <v>0</v>
      </c>
      <c r="H74" s="60" t="n">
        <f aca="false">E74-E73</f>
        <v>0</v>
      </c>
    </row>
    <row r="75" customFormat="false" ht="15" hidden="false" customHeight="false" outlineLevel="0" collapsed="false">
      <c r="A75" s="40" t="n">
        <v>43</v>
      </c>
      <c r="C75" s="12" t="n">
        <f aca="false">$B$14*MIN(1,A75/$B$15)^$B$19</f>
        <v>0.075</v>
      </c>
      <c r="D75" s="12" t="n">
        <f aca="false">$B$14*MIN(1,A75/$B$15)</f>
        <v>0.075</v>
      </c>
      <c r="E75" s="12" t="n">
        <f aca="false">$B$14*MIN(1,A75/$B$15)^$B$20</f>
        <v>0.075</v>
      </c>
      <c r="F75" s="58" t="n">
        <f aca="false">C75-C74</f>
        <v>0</v>
      </c>
      <c r="G75" s="58" t="n">
        <f aca="false">D75-D74</f>
        <v>0</v>
      </c>
      <c r="H75" s="58" t="n">
        <f aca="false">E75-E74</f>
        <v>0</v>
      </c>
    </row>
    <row r="76" customFormat="false" ht="15" hidden="false" customHeight="false" outlineLevel="0" collapsed="false">
      <c r="A76" s="59" t="n">
        <v>44</v>
      </c>
      <c r="C76" s="17" t="n">
        <f aca="false">$B$14*MIN(1,A76/$B$15)^$B$19</f>
        <v>0.075</v>
      </c>
      <c r="D76" s="17" t="n">
        <f aca="false">$B$14*MIN(1,A76/$B$15)</f>
        <v>0.075</v>
      </c>
      <c r="E76" s="17" t="n">
        <f aca="false">$B$14*MIN(1,A76/$B$15)^$B$20</f>
        <v>0.075</v>
      </c>
      <c r="F76" s="60" t="n">
        <f aca="false">C76-C75</f>
        <v>0</v>
      </c>
      <c r="G76" s="60" t="n">
        <f aca="false">D76-D75</f>
        <v>0</v>
      </c>
      <c r="H76" s="60" t="n">
        <f aca="false">E76-E75</f>
        <v>0</v>
      </c>
    </row>
    <row r="77" customFormat="false" ht="15" hidden="false" customHeight="false" outlineLevel="0" collapsed="false">
      <c r="A77" s="40" t="n">
        <v>45</v>
      </c>
      <c r="C77" s="12" t="n">
        <f aca="false">$B$14*MIN(1,A77/$B$15)^$B$19</f>
        <v>0.075</v>
      </c>
      <c r="D77" s="12" t="n">
        <f aca="false">$B$14*MIN(1,A77/$B$15)</f>
        <v>0.075</v>
      </c>
      <c r="E77" s="12" t="n">
        <f aca="false">$B$14*MIN(1,A77/$B$15)^$B$20</f>
        <v>0.075</v>
      </c>
      <c r="F77" s="58" t="n">
        <f aca="false">C77-C76</f>
        <v>0</v>
      </c>
      <c r="G77" s="58" t="n">
        <f aca="false">D77-D76</f>
        <v>0</v>
      </c>
      <c r="H77" s="58" t="n">
        <f aca="false">E77-E76</f>
        <v>0</v>
      </c>
    </row>
    <row r="78" customFormat="false" ht="15" hidden="false" customHeight="false" outlineLevel="0" collapsed="false">
      <c r="A78" s="59" t="n">
        <v>46</v>
      </c>
      <c r="C78" s="17" t="n">
        <f aca="false">$B$14*MIN(1,A78/$B$15)^$B$19</f>
        <v>0.075</v>
      </c>
      <c r="D78" s="17" t="n">
        <f aca="false">$B$14*MIN(1,A78/$B$15)</f>
        <v>0.075</v>
      </c>
      <c r="E78" s="17" t="n">
        <f aca="false">$B$14*MIN(1,A78/$B$15)^$B$20</f>
        <v>0.075</v>
      </c>
      <c r="F78" s="60" t="n">
        <f aca="false">C78-C77</f>
        <v>0</v>
      </c>
      <c r="G78" s="60" t="n">
        <f aca="false">D78-D77</f>
        <v>0</v>
      </c>
      <c r="H78" s="60" t="n">
        <f aca="false">E78-E77</f>
        <v>0</v>
      </c>
    </row>
    <row r="79" customFormat="false" ht="15" hidden="false" customHeight="false" outlineLevel="0" collapsed="false">
      <c r="A79" s="40" t="n">
        <v>47</v>
      </c>
      <c r="C79" s="12" t="n">
        <f aca="false">$B$14*MIN(1,A79/$B$15)^$B$19</f>
        <v>0.075</v>
      </c>
      <c r="D79" s="12" t="n">
        <f aca="false">$B$14*MIN(1,A79/$B$15)</f>
        <v>0.075</v>
      </c>
      <c r="E79" s="12" t="n">
        <f aca="false">$B$14*MIN(1,A79/$B$15)^$B$20</f>
        <v>0.075</v>
      </c>
      <c r="F79" s="58" t="n">
        <f aca="false">C79-C78</f>
        <v>0</v>
      </c>
      <c r="G79" s="58" t="n">
        <f aca="false">D79-D78</f>
        <v>0</v>
      </c>
      <c r="H79" s="58" t="n">
        <f aca="false">E79-E78</f>
        <v>0</v>
      </c>
    </row>
    <row r="80" customFormat="false" ht="15" hidden="false" customHeight="false" outlineLevel="0" collapsed="false">
      <c r="A80" s="59" t="n">
        <v>48</v>
      </c>
      <c r="C80" s="17" t="n">
        <f aca="false">$B$14*MIN(1,A80/$B$15)^$B$19</f>
        <v>0.075</v>
      </c>
      <c r="D80" s="17" t="n">
        <f aca="false">$B$14*MIN(1,A80/$B$15)</f>
        <v>0.075</v>
      </c>
      <c r="E80" s="17" t="n">
        <f aca="false">$B$14*MIN(1,A80/$B$15)^$B$20</f>
        <v>0.075</v>
      </c>
      <c r="F80" s="60" t="n">
        <f aca="false">C80-C79</f>
        <v>0</v>
      </c>
      <c r="G80" s="60" t="n">
        <f aca="false">D80-D79</f>
        <v>0</v>
      </c>
      <c r="H80" s="60" t="n">
        <f aca="false">E80-E79</f>
        <v>0</v>
      </c>
    </row>
    <row r="81" customFormat="false" ht="15" hidden="false" customHeight="false" outlineLevel="0" collapsed="false">
      <c r="A81" s="40" t="n">
        <v>49</v>
      </c>
      <c r="C81" s="12" t="n">
        <f aca="false">$B$14*MIN(1,A81/$B$15)^$B$19</f>
        <v>0.075</v>
      </c>
      <c r="D81" s="12" t="n">
        <f aca="false">$B$14*MIN(1,A81/$B$15)</f>
        <v>0.075</v>
      </c>
      <c r="E81" s="12" t="n">
        <f aca="false">$B$14*MIN(1,A81/$B$15)^$B$20</f>
        <v>0.075</v>
      </c>
      <c r="F81" s="58" t="n">
        <f aca="false">C81-C80</f>
        <v>0</v>
      </c>
      <c r="G81" s="58" t="n">
        <f aca="false">D81-D80</f>
        <v>0</v>
      </c>
      <c r="H81" s="58" t="n">
        <f aca="false">E81-E80</f>
        <v>0</v>
      </c>
    </row>
    <row r="82" customFormat="false" ht="15" hidden="false" customHeight="false" outlineLevel="0" collapsed="false">
      <c r="A82" s="59" t="n">
        <v>50</v>
      </c>
      <c r="C82" s="17" t="n">
        <f aca="false">$B$14*MIN(1,A82/$B$15)^$B$19</f>
        <v>0.075</v>
      </c>
      <c r="D82" s="17" t="n">
        <f aca="false">$B$14*MIN(1,A82/$B$15)</f>
        <v>0.075</v>
      </c>
      <c r="E82" s="17" t="n">
        <f aca="false">$B$14*MIN(1,A82/$B$15)^$B$20</f>
        <v>0.075</v>
      </c>
      <c r="F82" s="60" t="n">
        <f aca="false">C82-C81</f>
        <v>0</v>
      </c>
      <c r="G82" s="60" t="n">
        <f aca="false">D82-D81</f>
        <v>0</v>
      </c>
      <c r="H82" s="60" t="n">
        <f aca="false">E82-E81</f>
        <v>0</v>
      </c>
    </row>
    <row r="83" customFormat="false" ht="15" hidden="false" customHeight="false" outlineLevel="0" collapsed="false">
      <c r="A83" s="40" t="n">
        <v>51</v>
      </c>
      <c r="C83" s="12" t="n">
        <f aca="false">$B$14*MIN(1,A83/$B$15)^$B$19</f>
        <v>0.075</v>
      </c>
      <c r="D83" s="12" t="n">
        <f aca="false">$B$14*MIN(1,A83/$B$15)</f>
        <v>0.075</v>
      </c>
      <c r="E83" s="12" t="n">
        <f aca="false">$B$14*MIN(1,A83/$B$15)^$B$20</f>
        <v>0.075</v>
      </c>
      <c r="F83" s="58" t="n">
        <f aca="false">C83-C82</f>
        <v>0</v>
      </c>
      <c r="G83" s="58" t="n">
        <f aca="false">D83-D82</f>
        <v>0</v>
      </c>
      <c r="H83" s="58" t="n">
        <f aca="false">E83-E82</f>
        <v>0</v>
      </c>
    </row>
    <row r="84" customFormat="false" ht="15" hidden="false" customHeight="false" outlineLevel="0" collapsed="false">
      <c r="A84" s="59" t="n">
        <v>52</v>
      </c>
      <c r="C84" s="17" t="n">
        <f aca="false">$B$14*MIN(1,A84/$B$15)^$B$19</f>
        <v>0.075</v>
      </c>
      <c r="D84" s="17" t="n">
        <f aca="false">$B$14*MIN(1,A84/$B$15)</f>
        <v>0.075</v>
      </c>
      <c r="E84" s="17" t="n">
        <f aca="false">$B$14*MIN(1,A84/$B$15)^$B$20</f>
        <v>0.075</v>
      </c>
      <c r="F84" s="60" t="n">
        <f aca="false">C84-C83</f>
        <v>0</v>
      </c>
      <c r="G84" s="60" t="n">
        <f aca="false">D84-D83</f>
        <v>0</v>
      </c>
      <c r="H84" s="60" t="n">
        <f aca="false">E84-E83</f>
        <v>0</v>
      </c>
    </row>
    <row r="85" customFormat="false" ht="15" hidden="false" customHeight="false" outlineLevel="0" collapsed="false">
      <c r="A85" s="40" t="n">
        <v>53</v>
      </c>
      <c r="C85" s="12" t="n">
        <f aca="false">$B$14*MIN(1,A85/$B$15)^$B$19</f>
        <v>0.075</v>
      </c>
      <c r="D85" s="12" t="n">
        <f aca="false">$B$14*MIN(1,A85/$B$15)</f>
        <v>0.075</v>
      </c>
      <c r="E85" s="12" t="n">
        <f aca="false">$B$14*MIN(1,A85/$B$15)^$B$20</f>
        <v>0.075</v>
      </c>
      <c r="F85" s="58" t="n">
        <f aca="false">C85-C84</f>
        <v>0</v>
      </c>
      <c r="G85" s="58" t="n">
        <f aca="false">D85-D84</f>
        <v>0</v>
      </c>
      <c r="H85" s="58" t="n">
        <f aca="false">E85-E84</f>
        <v>0</v>
      </c>
    </row>
    <row r="86" customFormat="false" ht="15" hidden="false" customHeight="false" outlineLevel="0" collapsed="false">
      <c r="A86" s="59" t="n">
        <v>54</v>
      </c>
      <c r="C86" s="17" t="n">
        <f aca="false">$B$14*MIN(1,A86/$B$15)^$B$19</f>
        <v>0.075</v>
      </c>
      <c r="D86" s="17" t="n">
        <f aca="false">$B$14*MIN(1,A86/$B$15)</f>
        <v>0.075</v>
      </c>
      <c r="E86" s="17" t="n">
        <f aca="false">$B$14*MIN(1,A86/$B$15)^$B$20</f>
        <v>0.075</v>
      </c>
      <c r="F86" s="60" t="n">
        <f aca="false">C86-C85</f>
        <v>0</v>
      </c>
      <c r="G86" s="60" t="n">
        <f aca="false">D86-D85</f>
        <v>0</v>
      </c>
      <c r="H86" s="60" t="n">
        <f aca="false">E86-E85</f>
        <v>0</v>
      </c>
    </row>
    <row r="87" customFormat="false" ht="15" hidden="false" customHeight="false" outlineLevel="0" collapsed="false">
      <c r="A87" s="40" t="n">
        <v>55</v>
      </c>
      <c r="C87" s="12" t="n">
        <f aca="false">$B$14*MIN(1,A87/$B$15)^$B$19</f>
        <v>0.075</v>
      </c>
      <c r="D87" s="12" t="n">
        <f aca="false">$B$14*MIN(1,A87/$B$15)</f>
        <v>0.075</v>
      </c>
      <c r="E87" s="12" t="n">
        <f aca="false">$B$14*MIN(1,A87/$B$15)^$B$20</f>
        <v>0.075</v>
      </c>
      <c r="F87" s="58" t="n">
        <f aca="false">C87-C86</f>
        <v>0</v>
      </c>
      <c r="G87" s="58" t="n">
        <f aca="false">D87-D86</f>
        <v>0</v>
      </c>
      <c r="H87" s="58" t="n">
        <f aca="false">E87-E86</f>
        <v>0</v>
      </c>
    </row>
    <row r="88" customFormat="false" ht="15" hidden="false" customHeight="false" outlineLevel="0" collapsed="false">
      <c r="A88" s="59" t="n">
        <v>56</v>
      </c>
      <c r="C88" s="17" t="n">
        <f aca="false">$B$14*MIN(1,A88/$B$15)^$B$19</f>
        <v>0.075</v>
      </c>
      <c r="D88" s="17" t="n">
        <f aca="false">$B$14*MIN(1,A88/$B$15)</f>
        <v>0.075</v>
      </c>
      <c r="E88" s="17" t="n">
        <f aca="false">$B$14*MIN(1,A88/$B$15)^$B$20</f>
        <v>0.075</v>
      </c>
      <c r="F88" s="60" t="n">
        <f aca="false">C88-C87</f>
        <v>0</v>
      </c>
      <c r="G88" s="60" t="n">
        <f aca="false">D88-D87</f>
        <v>0</v>
      </c>
      <c r="H88" s="60" t="n">
        <f aca="false">E88-E87</f>
        <v>0</v>
      </c>
    </row>
    <row r="89" customFormat="false" ht="15" hidden="false" customHeight="false" outlineLevel="0" collapsed="false">
      <c r="A89" s="40" t="n">
        <v>57</v>
      </c>
      <c r="C89" s="12" t="n">
        <f aca="false">$B$14*MIN(1,A89/$B$15)^$B$19</f>
        <v>0.075</v>
      </c>
      <c r="D89" s="12" t="n">
        <f aca="false">$B$14*MIN(1,A89/$B$15)</f>
        <v>0.075</v>
      </c>
      <c r="E89" s="12" t="n">
        <f aca="false">$B$14*MIN(1,A89/$B$15)^$B$20</f>
        <v>0.075</v>
      </c>
      <c r="F89" s="58" t="n">
        <f aca="false">C89-C88</f>
        <v>0</v>
      </c>
      <c r="G89" s="58" t="n">
        <f aca="false">D89-D88</f>
        <v>0</v>
      </c>
      <c r="H89" s="58" t="n">
        <f aca="false">E89-E88</f>
        <v>0</v>
      </c>
    </row>
    <row r="90" customFormat="false" ht="15" hidden="false" customHeight="false" outlineLevel="0" collapsed="false">
      <c r="A90" s="59" t="n">
        <v>58</v>
      </c>
      <c r="C90" s="17" t="n">
        <f aca="false">$B$14*MIN(1,A90/$B$15)^$B$19</f>
        <v>0.075</v>
      </c>
      <c r="D90" s="17" t="n">
        <f aca="false">$B$14*MIN(1,A90/$B$15)</f>
        <v>0.075</v>
      </c>
      <c r="E90" s="17" t="n">
        <f aca="false">$B$14*MIN(1,A90/$B$15)^$B$20</f>
        <v>0.075</v>
      </c>
      <c r="F90" s="60" t="n">
        <f aca="false">C90-C89</f>
        <v>0</v>
      </c>
      <c r="G90" s="60" t="n">
        <f aca="false">D90-D89</f>
        <v>0</v>
      </c>
      <c r="H90" s="60" t="n">
        <f aca="false">E90-E89</f>
        <v>0</v>
      </c>
    </row>
    <row r="91" customFormat="false" ht="15" hidden="false" customHeight="false" outlineLevel="0" collapsed="false">
      <c r="A91" s="40" t="n">
        <v>59</v>
      </c>
      <c r="C91" s="12" t="n">
        <f aca="false">$B$14*MIN(1,A91/$B$15)^$B$19</f>
        <v>0.075</v>
      </c>
      <c r="D91" s="12" t="n">
        <f aca="false">$B$14*MIN(1,A91/$B$15)</f>
        <v>0.075</v>
      </c>
      <c r="E91" s="12" t="n">
        <f aca="false">$B$14*MIN(1,A91/$B$15)^$B$20</f>
        <v>0.075</v>
      </c>
      <c r="F91" s="58" t="n">
        <f aca="false">C91-C90</f>
        <v>0</v>
      </c>
      <c r="G91" s="58" t="n">
        <f aca="false">D91-D90</f>
        <v>0</v>
      </c>
      <c r="H91" s="58" t="n">
        <f aca="false">E91-E90</f>
        <v>0</v>
      </c>
    </row>
    <row r="92" customFormat="false" ht="15" hidden="false" customHeight="false" outlineLevel="0" collapsed="false">
      <c r="A92" s="59" t="n">
        <v>60</v>
      </c>
      <c r="C92" s="17" t="n">
        <f aca="false">$B$14*MIN(1,A92/$B$15)^$B$19</f>
        <v>0.075</v>
      </c>
      <c r="D92" s="17" t="n">
        <f aca="false">$B$14*MIN(1,A92/$B$15)</f>
        <v>0.075</v>
      </c>
      <c r="E92" s="17" t="n">
        <f aca="false">$B$14*MIN(1,A92/$B$15)^$B$20</f>
        <v>0.075</v>
      </c>
      <c r="F92" s="60" t="n">
        <f aca="false">C92-C91</f>
        <v>0</v>
      </c>
      <c r="G92" s="60" t="n">
        <f aca="false">D92-D91</f>
        <v>0</v>
      </c>
      <c r="H92" s="60" t="n">
        <f aca="false">E92-E91</f>
        <v>0</v>
      </c>
    </row>
  </sheetData>
  <mergeCells count="1">
    <mergeCell ref="J5:J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6"/>
    <col collapsed="false" customWidth="true" hidden="false" outlineLevel="0" max="5" min="3" style="0" width="15"/>
    <col collapsed="false" customWidth="true" hidden="false" outlineLevel="0" max="6" min="6" style="0" width="3"/>
    <col collapsed="false" customWidth="true" hidden="false" outlineLevel="0" max="7" min="7" style="0" width="58"/>
  </cols>
  <sheetData>
    <row r="1" customFormat="false" ht="17.35" hidden="false" customHeight="false" outlineLevel="0" collapsed="false">
      <c r="A1" s="1" t="s">
        <v>180</v>
      </c>
    </row>
    <row r="2" customFormat="false" ht="15" hidden="false" customHeight="false" outlineLevel="0" collapsed="false">
      <c r="A2" s="2" t="s">
        <v>181</v>
      </c>
    </row>
    <row r="4" customFormat="false" ht="15" hidden="false" customHeight="false" outlineLevel="0" collapsed="false">
      <c r="A4" s="5" t="s">
        <v>182</v>
      </c>
      <c r="G4" s="5" t="s">
        <v>183</v>
      </c>
    </row>
    <row r="5" customFormat="false" ht="15" hidden="false" customHeight="true" outlineLevel="0" collapsed="false">
      <c r="A5" s="6" t="s">
        <v>184</v>
      </c>
      <c r="C5" s="7" t="n">
        <v>0.075</v>
      </c>
      <c r="G5" s="3" t="s">
        <v>185</v>
      </c>
    </row>
    <row r="6" customFormat="false" ht="15" hidden="false" customHeight="false" outlineLevel="0" collapsed="false">
      <c r="A6" s="6" t="s">
        <v>186</v>
      </c>
      <c r="C6" s="40" t="n">
        <v>60</v>
      </c>
      <c r="G6" s="3"/>
    </row>
    <row r="7" customFormat="false" ht="15" hidden="false" customHeight="false" outlineLevel="0" collapsed="false">
      <c r="A7" s="6" t="s">
        <v>187</v>
      </c>
      <c r="C7" s="20" t="n">
        <v>0.3</v>
      </c>
      <c r="G7" s="3"/>
    </row>
    <row r="8" customFormat="false" ht="15" hidden="false" customHeight="false" outlineLevel="0" collapsed="false">
      <c r="G8" s="3"/>
    </row>
    <row r="9" customFormat="false" ht="15" hidden="false" customHeight="false" outlineLevel="0" collapsed="false">
      <c r="A9" s="5" t="s">
        <v>188</v>
      </c>
      <c r="G9" s="3"/>
    </row>
    <row r="10" customFormat="false" ht="15" hidden="false" customHeight="false" outlineLevel="0" collapsed="false">
      <c r="A10" s="6" t="s">
        <v>189</v>
      </c>
      <c r="C10" s="20" t="n">
        <v>0.68</v>
      </c>
      <c r="G10" s="3"/>
    </row>
    <row r="11" customFormat="false" ht="15" hidden="false" customHeight="false" outlineLevel="0" collapsed="false">
      <c r="A11" s="11" t="s">
        <v>190</v>
      </c>
      <c r="C11" s="38" t="n">
        <f aca="false">1-C10</f>
        <v>0.32</v>
      </c>
      <c r="G11" s="3"/>
    </row>
    <row r="12" customFormat="false" ht="15" hidden="false" customHeight="false" outlineLevel="0" collapsed="false">
      <c r="A12" s="11" t="s">
        <v>112</v>
      </c>
      <c r="C12" s="22" t="n">
        <f aca="false">C5*C11</f>
        <v>0.024</v>
      </c>
      <c r="G12" s="3"/>
    </row>
    <row r="13" customFormat="false" ht="15" hidden="false" customHeight="false" outlineLevel="0" collapsed="false">
      <c r="A13" s="6" t="s">
        <v>191</v>
      </c>
      <c r="C13" s="40" t="n">
        <v>9</v>
      </c>
      <c r="G13" s="3"/>
    </row>
    <row r="14" customFormat="false" ht="15" hidden="false" customHeight="false" outlineLevel="0" collapsed="false">
      <c r="G14" s="3"/>
    </row>
    <row r="15" customFormat="false" ht="15" hidden="false" customHeight="false" outlineLevel="0" collapsed="false">
      <c r="A15" s="5" t="s">
        <v>192</v>
      </c>
      <c r="G15" s="3"/>
    </row>
    <row r="16" customFormat="false" ht="15" hidden="false" customHeight="false" outlineLevel="0" collapsed="false">
      <c r="A16" s="6" t="s">
        <v>193</v>
      </c>
      <c r="C16" s="20" t="n">
        <v>0.18</v>
      </c>
      <c r="G16" s="3"/>
    </row>
    <row r="17" customFormat="false" ht="15" hidden="false" customHeight="false" outlineLevel="0" collapsed="false">
      <c r="A17" s="6" t="s">
        <v>194</v>
      </c>
      <c r="C17" s="40" t="n">
        <v>31</v>
      </c>
      <c r="G17" s="3"/>
    </row>
    <row r="18" customFormat="false" ht="15" hidden="false" customHeight="false" outlineLevel="0" collapsed="false">
      <c r="A18" s="11" t="s">
        <v>195</v>
      </c>
      <c r="C18" s="52" t="n">
        <f aca="false">C17/(1+C16*C17/12)</f>
        <v>21.160409556314</v>
      </c>
      <c r="G18" s="3"/>
    </row>
    <row r="19" customFormat="false" ht="15" hidden="false" customHeight="false" outlineLevel="0" collapsed="false">
      <c r="A19" s="6" t="s">
        <v>196</v>
      </c>
      <c r="C19" s="35" t="n">
        <f aca="false">48/C18</f>
        <v>2.26838709677419</v>
      </c>
      <c r="G19" s="3"/>
    </row>
    <row r="20" customFormat="false" ht="15" hidden="false" customHeight="false" outlineLevel="0" collapsed="false">
      <c r="A20" s="11" t="s">
        <v>197</v>
      </c>
      <c r="C20" s="38" t="n">
        <f aca="false">MAX(0,1-C18/48)</f>
        <v>0.559158134243458</v>
      </c>
      <c r="G20" s="3"/>
    </row>
    <row r="21" customFormat="false" ht="15" hidden="false" customHeight="false" outlineLevel="0" collapsed="false">
      <c r="G21" s="3"/>
    </row>
    <row r="22" customFormat="false" ht="15" hidden="false" customHeight="false" outlineLevel="0" collapsed="false">
      <c r="A22" s="5" t="s">
        <v>198</v>
      </c>
      <c r="G22" s="3"/>
    </row>
    <row r="23" customFormat="false" ht="15" hidden="false" customHeight="false" outlineLevel="0" collapsed="false">
      <c r="A23" s="6" t="s">
        <v>199</v>
      </c>
      <c r="C23" s="7" t="n">
        <v>0.158</v>
      </c>
      <c r="G23" s="3"/>
    </row>
    <row r="24" customFormat="false" ht="15" hidden="false" customHeight="false" outlineLevel="0" collapsed="false">
      <c r="A24" s="6" t="s">
        <v>200</v>
      </c>
      <c r="C24" s="8" t="n">
        <v>0.011</v>
      </c>
      <c r="G24" s="3"/>
    </row>
    <row r="25" customFormat="false" ht="15" hidden="false" customHeight="false" outlineLevel="0" collapsed="false">
      <c r="A25" s="6" t="s">
        <v>201</v>
      </c>
      <c r="C25" s="12" t="n">
        <f aca="false">C23-C24</f>
        <v>0.147</v>
      </c>
      <c r="G25" s="3"/>
    </row>
    <row r="26" customFormat="false" ht="15" hidden="false" customHeight="false" outlineLevel="0" collapsed="false">
      <c r="A26" s="6" t="s">
        <v>202</v>
      </c>
      <c r="C26" s="12" t="n">
        <f aca="false">C12/(C17/12)</f>
        <v>0.00929032258064516</v>
      </c>
      <c r="G26" s="3"/>
    </row>
    <row r="27" customFormat="false" ht="15" hidden="false" customHeight="false" outlineLevel="0" collapsed="false">
      <c r="A27" s="11" t="s">
        <v>203</v>
      </c>
      <c r="C27" s="22" t="n">
        <f aca="false">C25-C26</f>
        <v>0.137709677419355</v>
      </c>
      <c r="G27" s="3"/>
    </row>
    <row r="28" customFormat="false" ht="15" hidden="false" customHeight="false" outlineLevel="0" collapsed="false">
      <c r="A28" s="6" t="s">
        <v>204</v>
      </c>
      <c r="C28" s="7" t="n">
        <v>0.035</v>
      </c>
      <c r="G28" s="3"/>
    </row>
    <row r="29" customFormat="false" ht="15" hidden="false" customHeight="false" outlineLevel="0" collapsed="false">
      <c r="A29" s="6" t="s">
        <v>205</v>
      </c>
      <c r="C29" s="8" t="n">
        <v>0.0525</v>
      </c>
      <c r="G29" s="3"/>
    </row>
    <row r="30" customFormat="false" ht="15" hidden="false" customHeight="false" outlineLevel="0" collapsed="false">
      <c r="A30" s="6" t="s">
        <v>206</v>
      </c>
      <c r="C30" s="12" t="n">
        <f aca="false">C28+C29</f>
        <v>0.0875</v>
      </c>
      <c r="G30" s="3"/>
    </row>
    <row r="31" customFormat="false" ht="15" hidden="false" customHeight="false" outlineLevel="0" collapsed="false">
      <c r="A31" s="6" t="s">
        <v>207</v>
      </c>
      <c r="C31" s="12" t="n">
        <f aca="false">C30*'Stress testing'!C6</f>
        <v>0.077</v>
      </c>
      <c r="G31" s="3"/>
    </row>
    <row r="32" customFormat="false" ht="15" hidden="false" customHeight="false" outlineLevel="0" collapsed="false">
      <c r="A32" s="11" t="s">
        <v>17</v>
      </c>
      <c r="C32" s="22" t="n">
        <f aca="false">C27-C31</f>
        <v>0.0607096774193548</v>
      </c>
      <c r="G32" s="3"/>
    </row>
    <row r="33" customFormat="false" ht="15" hidden="false" customHeight="false" outlineLevel="0" collapsed="false">
      <c r="A33" s="6" t="s">
        <v>208</v>
      </c>
      <c r="C33" s="8" t="n">
        <v>0.061</v>
      </c>
      <c r="G33" s="3"/>
    </row>
    <row r="34" customFormat="false" ht="15" hidden="false" customHeight="false" outlineLevel="0" collapsed="false">
      <c r="A34" s="11" t="s">
        <v>209</v>
      </c>
      <c r="C34" s="22" t="n">
        <f aca="false">C33+C31+C26+C24</f>
        <v>0.158290322580645</v>
      </c>
      <c r="G34" s="3"/>
    </row>
    <row r="35" customFormat="false" ht="15" hidden="false" customHeight="false" outlineLevel="0" collapsed="false">
      <c r="G35" s="3"/>
    </row>
    <row r="36" customFormat="false" ht="15" hidden="false" customHeight="false" outlineLevel="0" collapsed="false">
      <c r="A36" s="5" t="s">
        <v>210</v>
      </c>
      <c r="G36" s="3"/>
    </row>
    <row r="37" customFormat="false" ht="15" hidden="false" customHeight="false" outlineLevel="0" collapsed="false">
      <c r="A37" s="6" t="s">
        <v>102</v>
      </c>
      <c r="C37" s="37" t="n">
        <f aca="false">'Stress testing'!C14</f>
        <v>0.12</v>
      </c>
      <c r="G37" s="3"/>
    </row>
    <row r="38" customFormat="false" ht="15" hidden="false" customHeight="false" outlineLevel="0" collapsed="false">
      <c r="A38" s="6" t="s">
        <v>112</v>
      </c>
      <c r="C38" s="12" t="n">
        <f aca="false">C12</f>
        <v>0.024</v>
      </c>
      <c r="G38" s="3"/>
    </row>
    <row r="39" customFormat="false" ht="15" hidden="false" customHeight="false" outlineLevel="0" collapsed="false">
      <c r="A39" s="11" t="s">
        <v>211</v>
      </c>
      <c r="C39" s="23" t="str">
        <f aca="false">IF(C38&lt;=C37,"yes","no")</f>
        <v>yes</v>
      </c>
      <c r="G39" s="3"/>
    </row>
    <row r="40" customFormat="false" ht="15" hidden="false" customHeight="false" outlineLevel="0" collapsed="false">
      <c r="A40" s="6" t="s">
        <v>212</v>
      </c>
      <c r="C40" s="12" t="n">
        <f aca="false">C12*C7</f>
        <v>0.0072</v>
      </c>
      <c r="G40" s="3"/>
    </row>
    <row r="41" customFormat="false" ht="15" hidden="false" customHeight="false" outlineLevel="0" collapsed="false">
      <c r="A41" s="6" t="s">
        <v>213</v>
      </c>
      <c r="C41" s="12" t="n">
        <f aca="false">C37-C40</f>
        <v>0.1128</v>
      </c>
      <c r="G41" s="3"/>
    </row>
    <row r="42" customFormat="false" ht="15" hidden="false" customHeight="false" outlineLevel="0" collapsed="false">
      <c r="A42" s="11" t="s">
        <v>214</v>
      </c>
      <c r="C42" s="42" t="n">
        <f aca="false">C37/C38</f>
        <v>5</v>
      </c>
      <c r="G42" s="3"/>
    </row>
    <row r="43" customFormat="false" ht="15" hidden="false" customHeight="false" outlineLevel="0" collapsed="false">
      <c r="A43" s="11" t="s">
        <v>215</v>
      </c>
      <c r="C43" s="23" t="str">
        <f aca="false">IF(C41&gt;='Trigger grid'!C32,"yes","no — the structure trips inside the first year")</f>
        <v>yes</v>
      </c>
      <c r="G43" s="3"/>
    </row>
    <row r="44" customFormat="false" ht="15" hidden="false" customHeight="false" outlineLevel="0" collapsed="false">
      <c r="A44" s="6" t="s">
        <v>216</v>
      </c>
      <c r="C44" s="13" t="str">
        <f aca="false">IF(AND(C39="yes",C41&gt;='Trigger grid'!C32),"net loss below the enhancement, with acceptable timing","the case does not hold on these numbers")</f>
        <v>net loss below the enhancement, with acceptable timing</v>
      </c>
      <c r="G44" s="3"/>
    </row>
  </sheetData>
  <mergeCells count="1">
    <mergeCell ref="G5:G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56"/>
    <col collapsed="false" customWidth="true" hidden="false" outlineLevel="0" max="4" min="3" style="0" width="16"/>
    <col collapsed="false" customWidth="true" hidden="false" outlineLevel="0" max="6" min="5" style="0" width="13"/>
    <col collapsed="false" customWidth="true" hidden="false" outlineLevel="0" max="7" min="7" style="0" width="3"/>
    <col collapsed="false" customWidth="true" hidden="false" outlineLevel="0" max="8" min="8" style="0" width="46"/>
  </cols>
  <sheetData>
    <row r="1" customFormat="false" ht="17.35" hidden="false" customHeight="false" outlineLevel="0" collapsed="false">
      <c r="A1" s="1" t="s">
        <v>217</v>
      </c>
    </row>
    <row r="2" customFormat="false" ht="15" hidden="false" customHeight="false" outlineLevel="0" collapsed="false">
      <c r="A2" s="2" t="s">
        <v>218</v>
      </c>
    </row>
    <row r="4" customFormat="false" ht="27.75" hidden="false" customHeight="true" outlineLevel="0" collapsed="false">
      <c r="A4" s="9" t="s">
        <v>219</v>
      </c>
      <c r="B4" s="10" t="s">
        <v>220</v>
      </c>
      <c r="C4" s="10" t="s">
        <v>221</v>
      </c>
      <c r="D4" s="10" t="s">
        <v>222</v>
      </c>
      <c r="E4" s="10" t="s">
        <v>223</v>
      </c>
      <c r="F4" s="10" t="s">
        <v>66</v>
      </c>
      <c r="H4" s="5" t="s">
        <v>224</v>
      </c>
    </row>
    <row r="5" customFormat="false" ht="15" hidden="false" customHeight="true" outlineLevel="0" collapsed="false">
      <c r="A5" s="61" t="s">
        <v>225</v>
      </c>
      <c r="B5" s="14" t="s">
        <v>226</v>
      </c>
      <c r="C5" s="62" t="n">
        <v>0.04</v>
      </c>
      <c r="D5" s="63" t="n">
        <f aca="false">'Trigger grid'!C14</f>
        <v>0.04</v>
      </c>
      <c r="E5" s="64" t="n">
        <f aca="false">D5-C5</f>
        <v>0</v>
      </c>
      <c r="F5" s="65" t="str">
        <f aca="false">IF(ABS(E5)&lt;=0.0005,"reproduced",IF(ABS(E5)&lt;=0.0005*5,"rounding","CHECK"))</f>
        <v>reproduced</v>
      </c>
      <c r="H5" s="3" t="s">
        <v>227</v>
      </c>
    </row>
    <row r="6" customFormat="false" ht="15" hidden="false" customHeight="false" outlineLevel="0" collapsed="false">
      <c r="A6" s="66" t="s">
        <v>225</v>
      </c>
      <c r="B6" s="19" t="s">
        <v>228</v>
      </c>
      <c r="C6" s="67" t="n">
        <v>0.032</v>
      </c>
      <c r="D6" s="68" t="n">
        <f aca="false">'Trigger grid'!C13</f>
        <v>0.0325</v>
      </c>
      <c r="E6" s="69" t="n">
        <f aca="false">D6-C6</f>
        <v>0.0005</v>
      </c>
      <c r="F6" s="70" t="str">
        <f aca="false">IF(ABS(E6)&lt;=0.0005,"reproduced",IF(ABS(E6)&lt;=0.0005*5,"rounding","CHECK"))</f>
        <v>reproduced</v>
      </c>
      <c r="H6" s="3"/>
    </row>
    <row r="7" customFormat="false" ht="15" hidden="false" customHeight="false" outlineLevel="0" collapsed="false">
      <c r="A7" s="61" t="s">
        <v>225</v>
      </c>
      <c r="B7" s="14" t="s">
        <v>229</v>
      </c>
      <c r="C7" s="62" t="n">
        <v>0.045</v>
      </c>
      <c r="D7" s="63" t="n">
        <f aca="false">'Trigger grid'!D13</f>
        <v>0.045</v>
      </c>
      <c r="E7" s="64" t="n">
        <f aca="false">D7-C7</f>
        <v>0</v>
      </c>
      <c r="F7" s="65" t="str">
        <f aca="false">IF(ABS(E7)&lt;=0.0005,"reproduced",IF(ABS(E7)&lt;=0.0005*5,"rounding","CHECK"))</f>
        <v>reproduced</v>
      </c>
      <c r="H7" s="3"/>
    </row>
    <row r="8" customFormat="false" ht="15" hidden="false" customHeight="false" outlineLevel="0" collapsed="false">
      <c r="A8" s="66" t="s">
        <v>225</v>
      </c>
      <c r="B8" s="19" t="s">
        <v>230</v>
      </c>
      <c r="C8" s="67" t="n">
        <v>0.045</v>
      </c>
      <c r="D8" s="68" t="n">
        <f aca="false">'Trigger grid'!E14</f>
        <v>0.045</v>
      </c>
      <c r="E8" s="69" t="n">
        <f aca="false">D8-C8</f>
        <v>0</v>
      </c>
      <c r="F8" s="70" t="str">
        <f aca="false">IF(ABS(E8)&lt;=0.0005,"reproduced",IF(ABS(E8)&lt;=0.0005*5,"rounding","CHECK"))</f>
        <v>reproduced</v>
      </c>
      <c r="H8" s="3"/>
    </row>
    <row r="9" customFormat="false" ht="15" hidden="false" customHeight="false" outlineLevel="0" collapsed="false">
      <c r="A9" s="61" t="s">
        <v>225</v>
      </c>
      <c r="B9" s="14" t="s">
        <v>231</v>
      </c>
      <c r="C9" s="62" t="n">
        <v>0.06</v>
      </c>
      <c r="D9" s="63" t="n">
        <f aca="false">'Trigger grid'!E15</f>
        <v>0.06</v>
      </c>
      <c r="E9" s="64" t="n">
        <f aca="false">D9-C9</f>
        <v>0</v>
      </c>
      <c r="F9" s="65" t="str">
        <f aca="false">IF(ABS(E9)&lt;=0.0005,"reproduced",IF(ABS(E9)&lt;=0.0005*5,"rounding","CHECK"))</f>
        <v>reproduced</v>
      </c>
      <c r="H9" s="3"/>
    </row>
    <row r="10" customFormat="false" ht="15" hidden="false" customHeight="false" outlineLevel="0" collapsed="false">
      <c r="A10" s="66" t="s">
        <v>232</v>
      </c>
      <c r="B10" s="19" t="s">
        <v>233</v>
      </c>
      <c r="C10" s="71" t="n">
        <v>1</v>
      </c>
      <c r="D10" s="72" t="n">
        <f aca="false">IF('Trigger grid'!C37="yes",1,0)</f>
        <v>1</v>
      </c>
      <c r="E10" s="73" t="n">
        <f aca="false">D10-C10</f>
        <v>0</v>
      </c>
      <c r="F10" s="70" t="str">
        <f aca="false">IF(ABS(E10)&lt;=0.0001,"reproduced",IF(ABS(E10)&lt;=0.0001*5,"rounding","CHECK"))</f>
        <v>reproduced</v>
      </c>
      <c r="H10" s="3"/>
    </row>
    <row r="11" customFormat="false" ht="15" hidden="false" customHeight="false" outlineLevel="0" collapsed="false">
      <c r="A11" s="61" t="s">
        <v>234</v>
      </c>
      <c r="B11" s="14" t="s">
        <v>235</v>
      </c>
      <c r="C11" s="74" t="n">
        <v>0.024615</v>
      </c>
      <c r="D11" s="75" t="n">
        <f aca="false">'Trigger grid'!C34</f>
        <v>0.0246153846153846</v>
      </c>
      <c r="E11" s="76" t="n">
        <f aca="false">D11-C11</f>
        <v>3.84615384613901E-007</v>
      </c>
      <c r="F11" s="65" t="str">
        <f aca="false">IF(ABS(E11)&lt;=0.000005,"reproduced",IF(ABS(E11)&lt;=0.000005*5,"rounding","CHECK"))</f>
        <v>reproduced</v>
      </c>
      <c r="H11" s="3"/>
    </row>
    <row r="12" customFormat="false" ht="15" hidden="false" customHeight="false" outlineLevel="0" collapsed="false">
      <c r="A12" s="66" t="s">
        <v>234</v>
      </c>
      <c r="B12" s="19" t="s">
        <v>236</v>
      </c>
      <c r="C12" s="77" t="n">
        <v>0.025</v>
      </c>
      <c r="D12" s="78" t="n">
        <f aca="false">'Trigger grid'!C35</f>
        <v>0.025</v>
      </c>
      <c r="E12" s="79" t="n">
        <f aca="false">D12-C12</f>
        <v>0</v>
      </c>
      <c r="F12" s="70" t="str">
        <f aca="false">IF(ABS(E12)&lt;=0.000005,"reproduced",IF(ABS(E12)&lt;=0.000005*5,"rounding","CHECK"))</f>
        <v>reproduced</v>
      </c>
      <c r="H12" s="3"/>
    </row>
    <row r="13" customFormat="false" ht="15" hidden="false" customHeight="false" outlineLevel="0" collapsed="false">
      <c r="A13" s="61" t="s">
        <v>234</v>
      </c>
      <c r="B13" s="14" t="s">
        <v>237</v>
      </c>
      <c r="C13" s="62" t="n">
        <v>0.035</v>
      </c>
      <c r="D13" s="63" t="n">
        <f aca="false">'Trigger grid'!C38</f>
        <v>0.035</v>
      </c>
      <c r="E13" s="64" t="n">
        <f aca="false">D13-C13</f>
        <v>0</v>
      </c>
      <c r="F13" s="65" t="str">
        <f aca="false">IF(ABS(E13)&lt;=0.0005,"reproduced",IF(ABS(E13)&lt;=0.0005*5,"rounding","CHECK"))</f>
        <v>reproduced</v>
      </c>
      <c r="H13" s="3"/>
    </row>
    <row r="14" customFormat="false" ht="15" hidden="false" customHeight="false" outlineLevel="0" collapsed="false">
      <c r="A14" s="66" t="s">
        <v>234</v>
      </c>
      <c r="B14" s="19" t="s">
        <v>238</v>
      </c>
      <c r="C14" s="67" t="n">
        <v>0.03</v>
      </c>
      <c r="D14" s="68" t="n">
        <f aca="false">'Trigger grid'!C39</f>
        <v>0.03</v>
      </c>
      <c r="E14" s="69" t="n">
        <f aca="false">D14-C14</f>
        <v>0</v>
      </c>
      <c r="F14" s="70" t="str">
        <f aca="false">IF(ABS(E14)&lt;=0.0005,"reproduced",IF(ABS(E14)&lt;=0.0005*5,"rounding","CHECK"))</f>
        <v>reproduced</v>
      </c>
      <c r="H14" s="3"/>
    </row>
    <row r="15" customFormat="false" ht="15" hidden="false" customHeight="false" outlineLevel="0" collapsed="false">
      <c r="A15" s="61" t="s">
        <v>232</v>
      </c>
      <c r="B15" s="14" t="s">
        <v>239</v>
      </c>
      <c r="C15" s="80" t="n">
        <v>1</v>
      </c>
      <c r="D15" s="81" t="n">
        <f aca="false">IF('Stress testing'!C27='Trigger grid'!C32,1,0)</f>
        <v>1</v>
      </c>
      <c r="E15" s="82" t="n">
        <f aca="false">D15-C15</f>
        <v>0</v>
      </c>
      <c r="F15" s="65" t="str">
        <f aca="false">IF(ABS(E15)&lt;=0.0001,"reproduced",IF(ABS(E15)&lt;=0.0001*5,"rounding","CHECK"))</f>
        <v>reproduced</v>
      </c>
      <c r="H15" s="3"/>
    </row>
    <row r="16" customFormat="false" ht="15" hidden="false" customHeight="false" outlineLevel="0" collapsed="false">
      <c r="A16" s="66" t="s">
        <v>232</v>
      </c>
      <c r="B16" s="19" t="s">
        <v>240</v>
      </c>
      <c r="C16" s="67" t="n">
        <v>0.06</v>
      </c>
      <c r="D16" s="68" t="n">
        <f aca="false">'Stress testing'!C27</f>
        <v>0.06</v>
      </c>
      <c r="E16" s="69" t="n">
        <f aca="false">D16-C16</f>
        <v>0</v>
      </c>
      <c r="F16" s="70" t="str">
        <f aca="false">IF(ABS(E16)&lt;=0.0005,"reproduced",IF(ABS(E16)&lt;=0.0005*5,"rounding","CHECK"))</f>
        <v>reproduced</v>
      </c>
      <c r="H16" s="3"/>
    </row>
    <row r="17" customFormat="false" ht="15" hidden="false" customHeight="false" outlineLevel="0" collapsed="false">
      <c r="A17" s="61" t="s">
        <v>232</v>
      </c>
      <c r="B17" s="14" t="s">
        <v>241</v>
      </c>
      <c r="C17" s="62" t="n">
        <v>0.075</v>
      </c>
      <c r="D17" s="63" t="n">
        <f aca="false">'Stress testing'!C28</f>
        <v>0.075</v>
      </c>
      <c r="E17" s="64" t="n">
        <f aca="false">D17-C17</f>
        <v>0</v>
      </c>
      <c r="F17" s="65" t="str">
        <f aca="false">IF(ABS(E17)&lt;=0.0005,"reproduced",IF(ABS(E17)&lt;=0.0005*5,"rounding","CHECK"))</f>
        <v>reproduced</v>
      </c>
      <c r="H17" s="3"/>
    </row>
    <row r="18" customFormat="false" ht="15" hidden="false" customHeight="false" outlineLevel="0" collapsed="false">
      <c r="A18" s="66" t="s">
        <v>232</v>
      </c>
      <c r="B18" s="19" t="s">
        <v>242</v>
      </c>
      <c r="C18" s="83" t="n">
        <v>0.12</v>
      </c>
      <c r="D18" s="84" t="n">
        <f aca="false">'Stress testing'!C14</f>
        <v>0.12</v>
      </c>
      <c r="E18" s="85" t="n">
        <f aca="false">D18-C18</f>
        <v>0</v>
      </c>
      <c r="F18" s="70" t="str">
        <f aca="false">IF(ABS(E18)&lt;=0.0005,"reproduced",IF(ABS(E18)&lt;=0.0005*5,"rounding","CHECK"))</f>
        <v>reproduced</v>
      </c>
      <c r="H18" s="3"/>
    </row>
    <row r="19" customFormat="false" ht="15" hidden="false" customHeight="false" outlineLevel="0" collapsed="false">
      <c r="A19" s="61" t="s">
        <v>232</v>
      </c>
      <c r="B19" s="14" t="s">
        <v>243</v>
      </c>
      <c r="C19" s="86" t="n">
        <v>5</v>
      </c>
      <c r="D19" s="87" t="n">
        <f aca="false">'Stress testing'!D30</f>
        <v>5</v>
      </c>
      <c r="E19" s="88" t="n">
        <f aca="false">D19-C19</f>
        <v>0</v>
      </c>
      <c r="F19" s="65" t="str">
        <f aca="false">IF(ABS(E19)&lt;=0.05,"reproduced",IF(ABS(E19)&lt;=0.05*5,"rounding","CHECK"))</f>
        <v>reproduced</v>
      </c>
      <c r="H19" s="3"/>
    </row>
    <row r="20" customFormat="false" ht="15" hidden="false" customHeight="false" outlineLevel="0" collapsed="false">
      <c r="A20" s="66" t="s">
        <v>244</v>
      </c>
      <c r="B20" s="19" t="s">
        <v>245</v>
      </c>
      <c r="C20" s="71" t="n">
        <v>1</v>
      </c>
      <c r="D20" s="72" t="n">
        <f aca="false">IF('Stress testing'!C51="conservative",1,0)</f>
        <v>1</v>
      </c>
      <c r="E20" s="73" t="n">
        <f aca="false">D20-C20</f>
        <v>0</v>
      </c>
      <c r="F20" s="70" t="str">
        <f aca="false">IF(ABS(E20)&lt;=0.0001,"reproduced",IF(ABS(E20)&lt;=0.0001*5,"rounding","CHECK"))</f>
        <v>reproduced</v>
      </c>
      <c r="H20" s="3"/>
    </row>
    <row r="21" customFormat="false" ht="15" hidden="false" customHeight="false" outlineLevel="0" collapsed="false">
      <c r="A21" s="61" t="s">
        <v>246</v>
      </c>
      <c r="B21" s="14" t="s">
        <v>247</v>
      </c>
      <c r="C21" s="86" t="n">
        <v>3.5</v>
      </c>
      <c r="D21" s="87" t="n">
        <f aca="false">'Stress testing'!C20</f>
        <v>3.5</v>
      </c>
      <c r="E21" s="88" t="n">
        <f aca="false">D21-C21</f>
        <v>0</v>
      </c>
      <c r="F21" s="65" t="str">
        <f aca="false">IF(ABS(E21)&lt;=0.05,"reproduced",IF(ABS(E21)&lt;=0.05*5,"rounding","CHECK"))</f>
        <v>reproduced</v>
      </c>
      <c r="H21" s="3"/>
    </row>
    <row r="22" customFormat="false" ht="15" hidden="false" customHeight="false" outlineLevel="0" collapsed="false">
      <c r="A22" s="66" t="s">
        <v>246</v>
      </c>
      <c r="B22" s="19" t="s">
        <v>248</v>
      </c>
      <c r="C22" s="71" t="n">
        <v>1</v>
      </c>
      <c r="D22" s="72" t="n">
        <f aca="false">IF('Stress testing'!C22="below the Appendix G guidance",1,0)</f>
        <v>1</v>
      </c>
      <c r="E22" s="73" t="n">
        <f aca="false">D22-C22</f>
        <v>0</v>
      </c>
      <c r="F22" s="70" t="str">
        <f aca="false">IF(ABS(E22)&lt;=0.0001,"reproduced",IF(ABS(E22)&lt;=0.0001*5,"rounding","CHECK"))</f>
        <v>reproduced</v>
      </c>
      <c r="H22" s="3"/>
    </row>
    <row r="23" customFormat="false" ht="15" hidden="false" customHeight="false" outlineLevel="0" collapsed="false">
      <c r="A23" s="61" t="s">
        <v>246</v>
      </c>
      <c r="B23" s="14" t="s">
        <v>249</v>
      </c>
      <c r="C23" s="80" t="n">
        <v>1</v>
      </c>
      <c r="D23" s="81" t="n">
        <f aca="false">IF(0.024*4+0.015&lt;='Stress testing'!C14,1,0)</f>
        <v>1</v>
      </c>
      <c r="E23" s="82" t="n">
        <f aca="false">D23-C23</f>
        <v>0</v>
      </c>
      <c r="F23" s="65" t="str">
        <f aca="false">IF(ABS(E23)&lt;=0.0001,"reproduced",IF(ABS(E23)&lt;=0.0001*5,"rounding","CHECK"))</f>
        <v>reproduced</v>
      </c>
      <c r="H23" s="3"/>
    </row>
    <row r="24" customFormat="false" ht="15" hidden="false" customHeight="false" outlineLevel="0" collapsed="false">
      <c r="A24" s="66" t="s">
        <v>232</v>
      </c>
      <c r="B24" s="19" t="s">
        <v>250</v>
      </c>
      <c r="C24" s="67" t="n">
        <v>0.061</v>
      </c>
      <c r="D24" s="68" t="n">
        <f aca="false">'The four numbers'!C32</f>
        <v>0.0607096774193548</v>
      </c>
      <c r="E24" s="69" t="n">
        <f aca="false">D24-C24</f>
        <v>-0.000290322580645166</v>
      </c>
      <c r="F24" s="70" t="str">
        <f aca="false">IF(ABS(E24)&lt;=0.0005,"reproduced",IF(ABS(E24)&lt;=0.0005*5,"rounding","CHECK"))</f>
        <v>reproduced</v>
      </c>
      <c r="H24" s="3"/>
    </row>
    <row r="25" customFormat="false" ht="15" hidden="false" customHeight="false" outlineLevel="0" collapsed="false">
      <c r="A25" s="61" t="s">
        <v>234</v>
      </c>
      <c r="B25" s="14" t="s">
        <v>251</v>
      </c>
      <c r="C25" s="62" t="n">
        <v>0.1583</v>
      </c>
      <c r="D25" s="63" t="n">
        <f aca="false">'The four numbers'!C34</f>
        <v>0.158290322580645</v>
      </c>
      <c r="E25" s="64" t="n">
        <f aca="false">D25-C25</f>
        <v>-9.67741935481437E-006</v>
      </c>
      <c r="F25" s="65" t="str">
        <f aca="false">IF(ABS(E25)&lt;=0.0005,"reproduced",IF(ABS(E25)&lt;=0.0005*5,"rounding","CHECK"))</f>
        <v>reproduced</v>
      </c>
      <c r="H25" s="3"/>
    </row>
    <row r="26" customFormat="false" ht="15" hidden="false" customHeight="false" outlineLevel="0" collapsed="false">
      <c r="A26" s="66" t="s">
        <v>232</v>
      </c>
      <c r="B26" s="19" t="s">
        <v>252</v>
      </c>
      <c r="C26" s="67" t="n">
        <v>0.0875</v>
      </c>
      <c r="D26" s="68" t="n">
        <f aca="false">'The four numbers'!C30</f>
        <v>0.0875</v>
      </c>
      <c r="E26" s="69" t="n">
        <f aca="false">D26-C26</f>
        <v>0</v>
      </c>
      <c r="F26" s="70" t="str">
        <f aca="false">IF(ABS(E26)&lt;=0.0005,"reproduced",IF(ABS(E26)&lt;=0.0005*5,"rounding","CHECK"))</f>
        <v>reproduced</v>
      </c>
      <c r="H26" s="3"/>
    </row>
    <row r="27" customFormat="false" ht="15" hidden="false" customHeight="false" outlineLevel="0" collapsed="false">
      <c r="A27" s="61" t="s">
        <v>253</v>
      </c>
      <c r="B27" s="14" t="s">
        <v>254</v>
      </c>
      <c r="C27" s="80" t="n">
        <v>1</v>
      </c>
      <c r="D27" s="81" t="n">
        <f aca="false">IF('The four numbers'!C44="net loss below the enhancement, with acceptable timing",1,0)</f>
        <v>1</v>
      </c>
      <c r="E27" s="82" t="n">
        <f aca="false">D27-C27</f>
        <v>0</v>
      </c>
      <c r="F27" s="65" t="str">
        <f aca="false">IF(ABS(E27)&lt;=0.0001,"reproduced",IF(ABS(E27)&lt;=0.0001*5,"rounding","CHECK"))</f>
        <v>reproduced</v>
      </c>
    </row>
    <row r="28" customFormat="false" ht="15" hidden="false" customHeight="false" outlineLevel="0" collapsed="false">
      <c r="A28" s="66" t="s">
        <v>255</v>
      </c>
      <c r="B28" s="19" t="s">
        <v>256</v>
      </c>
      <c r="C28" s="71" t="n">
        <v>1</v>
      </c>
      <c r="D28" s="72" t="n">
        <f aca="false">IF('Lead and lag'!B11="yes — roughly a year",1,0)</f>
        <v>1</v>
      </c>
      <c r="E28" s="73" t="n">
        <f aca="false">D28-C28</f>
        <v>0</v>
      </c>
      <c r="F28" s="70" t="str">
        <f aca="false">IF(ABS(E28)&lt;=0.0001,"reproduced",IF(ABS(E28)&lt;=0.0001*5,"rounding","CHECK"))</f>
        <v>reproduced</v>
      </c>
    </row>
    <row r="29" customFormat="false" ht="15" hidden="false" customHeight="false" outlineLevel="0" collapsed="false">
      <c r="A29" s="61" t="s">
        <v>255</v>
      </c>
      <c r="B29" s="14" t="s">
        <v>257</v>
      </c>
      <c r="C29" s="80" t="n">
        <v>12</v>
      </c>
      <c r="D29" s="81" t="n">
        <f aca="false">'Lead and lag'!B8</f>
        <v>12</v>
      </c>
      <c r="E29" s="82" t="n">
        <f aca="false">D29-C29</f>
        <v>0</v>
      </c>
      <c r="F29" s="65" t="str">
        <f aca="false">IF(ABS(E29)&lt;=0.0001,"reproduced",IF(ABS(E29)&lt;=0.0001*5,"rounding","CHECK"))</f>
        <v>reproduced</v>
      </c>
    </row>
    <row r="31" customFormat="false" ht="15" hidden="false" customHeight="false" outlineLevel="0" collapsed="false">
      <c r="A31" s="13" t="s">
        <v>258</v>
      </c>
      <c r="C31" s="36" t="n">
        <f aca="false">COUNTIF(F5:F29,"reproduced")</f>
        <v>25</v>
      </c>
    </row>
    <row r="32" customFormat="false" ht="15" hidden="false" customHeight="false" outlineLevel="0" collapsed="false">
      <c r="A32" s="13" t="s">
        <v>259</v>
      </c>
      <c r="C32" s="36" t="n">
        <f aca="false">COUNTIF(F5:F29,"rounding")</f>
        <v>0</v>
      </c>
    </row>
    <row r="33" customFormat="false" ht="15" hidden="false" customHeight="false" outlineLevel="0" collapsed="false">
      <c r="A33" s="13" t="s">
        <v>260</v>
      </c>
      <c r="C33" s="36" t="n">
        <f aca="false">COUNTIF(F5:F29,"CHECK")</f>
        <v>0</v>
      </c>
    </row>
    <row r="34" customFormat="false" ht="15" hidden="false" customHeight="false" outlineLevel="0" collapsed="false">
      <c r="A34" s="23" t="s">
        <v>261</v>
      </c>
      <c r="C34" s="23" t="str">
        <f aca="false">IF(AND(C31=25,C33=0),"ALL OK","SOME FAIL")</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2026-08-20T06:10:33Z</dcterms:created>
  <dc:creator>openpyxl</dc:creator>
  <dc:description/>
  <dc:language>en-US</dc:language>
  <cp:lastModifiedBy/>
  <dcterms:modified xsi:type="dcterms:W3CDTF">2026-09-24T00:48:29Z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