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The Inputs" sheetId="2" state="visible" r:id="rId4"/>
    <sheet name="2. The Bucket Basis" sheetId="3" state="visible" r:id="rId5"/>
    <sheet name="3. The Waterfall" sheetId="4" state="visible" r:id="rId6"/>
    <sheet name="4. What Moves It" sheetId="5" state="visible" r:id="rId7"/>
    <sheet name="5. Ordinary Conditions" sheetId="6" state="visible" r:id="rId8"/>
    <sheet name="6. The One Line" sheetId="7" state="visible" r:id="rId9"/>
    <sheet name="7. 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<sst xmlns="http://schemas.openxmlformats.org/spreadsheetml/2006/main" count="285" uniqueCount="247">
  <si>
    <t xml:space="preserve">The Reverse Stress Test, Computed</t>
  </si>
  <si>
    <t xml:space="preserve">A companion to Appendix L, and to Chapters 10, 11 and 21</t>
  </si>
  <si>
    <t xml:space="preserve">This book asks for one number three separate times. Chapter 10 says the gate threshold must be derived from what proportion of the portfolio can be realised within the dealing cycle without material discount. Chapter 11 says the reverse stress test produces "a single number, and it is the most useful number the exercise produces". Chapter 11 says again that comparing that level to the gate threshold is "the single most informative liquidity metric a board can be given, and it takes one line".</t>
  </si>
  <si>
    <t xml:space="preserve">The line is never written. Chapter 11 contains two percentages in three thousand words, both inside a conditional clause. Chapter 10 — the calibration chapter — contains no calibration number at all: its only digits are two dates. Chapter 21 states a reverse stress level of "approximately 19 per cent" as a result, with no chain behind it.</t>
  </si>
  <si>
    <t xml:space="preserve">This file writes the line, on Chapter 21's own Fund IV. And the first thing to say is that the book comes out well.</t>
  </si>
  <si>
    <t xml:space="preserve">What the arithmetic confirms</t>
  </si>
  <si>
    <t xml:space="preserve">The reverse stress level computes to 22.5 per cent of net asset value, plus or minus 3.8 points. Chapter 21's "approximately 19 per cent" sits inside that interval. The book's number is corroborated by an independent waterfall built from its own inputs, and that is worth stating as plainly as a correction would be.</t>
  </si>
  <si>
    <t xml:space="preserve">Chapter 11 also asks for the gate to sit "meaningfully below" the reverse level without ever saying what that means. Measured: the 4 per cent gate is 0.18 times the reverse level, and 4.8 standard deviations below it. Meaningfully below is satisfied, and comfortably.</t>
  </si>
  <si>
    <t xml:space="preserve">And Chapter 11's claim that ignoring contractual cash flows "understates the fund's liquidity materially" survives its own test: removing interest, amortisation and prepayments takes 3.4 points off the answer, a sixth of it.</t>
  </si>
  <si>
    <t xml:space="preserve">What it corrects</t>
  </si>
  <si>
    <t xml:space="preserve">One. The bucket percentages at Chapter 21 are given as "11 per cent, 9 per cent, 24 per cent, 56 per cent" without saying whether that is of net asset value or of gross assets. On a fund levered at 140 per cent the difference is 40 per cent on every line. Only one reading is coherent: read as a share of net asset value the buckets sum to 310 and 124 of assets vanish. They are shares of GROSS ASSETS, and the book should say so.</t>
  </si>
  <si>
    <t xml:space="preserve">Two. Chapter 21 says the profile "supports redemptions of roughly 8 per cent of net asset value per quarter in ordinary conditions". No reading of its own grid produces that. Counting nothing at all from the six-month bucket still gives 23.3 per cent. The chapter now calls the 8 per cent an operating figure, a policy; sheet 5 shows the four readings.</t>
  </si>
  <si>
    <t xml:space="preserve">What it adds — three mechanics the book never mentions</t>
  </si>
  <si>
    <t xml:space="preserve">One. The credit facility's release price. A disposal repays the facility before it reaches the redemption queue. At a 50 per cent advance rate the reverse level is 22.5 per cent; with no release price it is 34.2. No asset, no investor and no redemption assumption changes between those two numbers.</t>
  </si>
  <si>
    <t xml:space="preserve">Two. The borrowing base. A markdown is a cash event only if it takes the base below what is drawn. Fund IV draws 124 against a base of 193: after the quarter's disposals it draws 87.7 against 136.2, and the lender calls nothing. The call arrives below an advance rate of 35.9 per cent, or at a markdown of half the long book. The headroom under the base is the number to report.</t>
  </si>
  <si>
    <t xml:space="preserve">Three. Undrawn borrower commitments. Chapter 11 calls them "one of the most commonly omitted items in credit fund liquidity models and one of the most damaging", and then never quantifies them. At a 45 per cent stressed draw rate they are 5.5 per cent of net asset value — against a gate the book reduces to 4 per cent. A gate cannot protect against an outflow larger than the gate.</t>
  </si>
  <si>
    <t xml:space="preserve">The sheets</t>
  </si>
  <si>
    <t xml:space="preserve">1. The Inputs — Fund IV as the book describes it, plus what the book leaves unstated</t>
  </si>
  <si>
    <t xml:space="preserve">2. The Bucket Basis — why only one reading of Chapter 21 is coherent</t>
  </si>
  <si>
    <t xml:space="preserve">3. The Waterfall — the severe scenario, line by line</t>
  </si>
  <si>
    <t xml:space="preserve">4. What Moves It — the advance rate, the undrawn book, the contractual flows</t>
  </si>
  <si>
    <t xml:space="preserve">5. Ordinary Conditions — the four readings of "roughly 8 per cent"</t>
  </si>
  <si>
    <t xml:space="preserve">6. The One Line — reverse level, gate, and the gap, with its error band</t>
  </si>
  <si>
    <t xml:space="preserve">7. Checks — every figure in the appendix, recomputed here</t>
  </si>
  <si>
    <t xml:space="preserve">Conventions</t>
  </si>
  <si>
    <t xml:space="preserve">Amber cells are inputs. Grey cells are formulas. Nothing is locked or protected.</t>
  </si>
  <si>
    <t xml:space="preserve">⚠ Every figure here is an illustrative calibration for the book's invented fund. None is a regulatory threshold, and nothing in this file should be read as stating what a supervisor requires. The regulatory figures the book states are checked separately and are correct.</t>
  </si>
  <si>
    <t xml:space="preserve">Revised 24 September 2026</t>
  </si>
  <si>
    <t xml:space="preserve">Sheet 3 charged a borrowing-base call of 16.5 on the markdown as if the facility were drawn to its limit. At the 50 per cent advance rate of sheet 1 the base is 193 against 124 drawn, and 136.2 against 87.7 after the quarter: no call. The reverse level is 22.5 per cent, not 17.2; with the band, 14.9 to 30.1, and Chapter 21's 19 is still inside it. Rows 29 to 40 of sheet 3 show the facility.</t>
  </si>
  <si>
    <t xml:space="preserve">Sheet 6 took the prepayment half-range from the 12 per cent row under a "0 to 6 per cent" label: 0.84 point, not 1.7. The band is 3.8 points, not 4.8. Sheet 5 deducted the operating buffer twice: ordinary capacity is 23.3 and 39.2 per cent, not 21.8 and 37.7. Its 2 per cent discount is now an input (sheet 1, row 28), and the release price a switch (row 29).</t>
  </si>
  <si>
    <t xml:space="preserve">This sheet said removing the contractual flows moved the answer by 0.9 of a point: it is 3.4. Seven checks added, thirty-two in all.</t>
  </si>
  <si>
    <t xml:space="preserve">Fund IV, as Chapter 21 describes it</t>
  </si>
  <si>
    <t xml:space="preserve">Rows 5 to 12 are the book's own figures. Rows 13 to 29 are added here, because the book does not state them.</t>
  </si>
  <si>
    <t xml:space="preserve">Value</t>
  </si>
  <si>
    <t xml:space="preserve">Where it comes from</t>
  </si>
  <si>
    <t xml:space="preserve">Net asset value</t>
  </si>
  <si>
    <t xml:space="preserve">Chapter 21 — Fund IV</t>
  </si>
  <si>
    <t xml:space="preserve">Commitment-method leverage</t>
  </si>
  <si>
    <t xml:space="preserve">Chapter 21</t>
  </si>
  <si>
    <t xml:space="preserve">Bucket 1: cash and short-dated</t>
  </si>
  <si>
    <t xml:space="preserve">Chapter 21 §657</t>
  </si>
  <si>
    <t xml:space="preserve">Bucket 2: liquid syndicated loans, within a month</t>
  </si>
  <si>
    <t xml:space="preserve">Bucket 3: realisable within six months</t>
  </si>
  <si>
    <t xml:space="preserve">Bucket 4: twelve months or more</t>
  </si>
  <si>
    <t xml:space="preserve">Discount on bucket 3, ordinary</t>
  </si>
  <si>
    <t xml:space="preserve">Chapter 21 says 3-8 per cent; midpoint</t>
  </si>
  <si>
    <t xml:space="preserve">Gate threshold, as amended</t>
  </si>
  <si>
    <t xml:space="preserve">Chapter 21 §659, reduced from 5 per cent</t>
  </si>
  <si>
    <t xml:space="preserve">Stressed discount, bucket 2</t>
  </si>
  <si>
    <t xml:space="preserve">ADDED</t>
  </si>
  <si>
    <t xml:space="preserve">Stressed discount, bucket 3</t>
  </si>
  <si>
    <t xml:space="preserve">ADDED — Chapter 21's secondary bids, 12 points below carrying, plus 2 points for selling inside the notice period</t>
  </si>
  <si>
    <t xml:space="preserve">Share of bucket 3 realisable inside 90 days, stressed</t>
  </si>
  <si>
    <t xml:space="preserve">Facility advance rate on collateral</t>
  </si>
  <si>
    <t xml:space="preserve">ADDED — the book never mentions a facility term. Sets the borrowing base, and the release price on disposals</t>
  </si>
  <si>
    <t xml:space="preserve">Stressed markdown on bucket 4</t>
  </si>
  <si>
    <t xml:space="preserve">Undrawn borrower commitments</t>
  </si>
  <si>
    <t xml:space="preserve">ADDED — Chapter 11 says these get omitted</t>
  </si>
  <si>
    <t xml:space="preserve">Stressed draw rate on them, per quarter</t>
  </si>
  <si>
    <t xml:space="preserve">Ordinary draw rate</t>
  </si>
  <si>
    <t xml:space="preserve">Loan book cash coupon</t>
  </si>
  <si>
    <t xml:space="preserve">Non-accrual share, stressed</t>
  </si>
  <si>
    <t xml:space="preserve">Scheduled amortisation, per quarter</t>
  </si>
  <si>
    <t xml:space="preserve">Prepayments, per year — ordinary / stressed</t>
  </si>
  <si>
    <t xml:space="preserve">  stressed</t>
  </si>
  <si>
    <t xml:space="preserve">Operating cash buffer, share of NAV</t>
  </si>
  <si>
    <t xml:space="preserve">Fees and facility interest, per quarter</t>
  </si>
  <si>
    <t xml:space="preserve">Ordinary discount, bucket 2</t>
  </si>
  <si>
    <t xml:space="preserve">ADDED — hard-coded on sheet 5 in the first edition</t>
  </si>
  <si>
    <t xml:space="preserve">Release price on disposals: 1 = the lender takes its advance rate, 0 = nothing</t>
  </si>
  <si>
    <t xml:space="preserve">ADDED — a term of the facility</t>
  </si>
  <si>
    <t xml:space="preserve">Eleven of the seventeen added rows are terms of the credit facility or of the loan documents. That is the point of this file: the answer the book asks for depends mostly on things the book never writes down.</t>
  </si>
  <si>
    <t xml:space="preserve">Per cent of what?</t>
  </si>
  <si>
    <t xml:space="preserve">Chapter 21 gives four bucket percentages and never says whether they are shares of net asset value or of gross assets.</t>
  </si>
  <si>
    <t xml:space="preserve">Leverage</t>
  </si>
  <si>
    <t xml:space="preserve">GROSS ASSETS</t>
  </si>
  <si>
    <t xml:space="preserve">Debt</t>
  </si>
  <si>
    <t xml:space="preserve">Bucket</t>
  </si>
  <si>
    <t xml:space="preserve">Share</t>
  </si>
  <si>
    <t xml:space="preserve">Read as % of NAV</t>
  </si>
  <si>
    <t xml:space="preserve">Read as % of gross assets</t>
  </si>
  <si>
    <t xml:space="preserve">Cash and short-dated</t>
  </si>
  <si>
    <t xml:space="preserve">Liquid syndicated</t>
  </si>
  <si>
    <t xml:space="preserve">Within six months</t>
  </si>
  <si>
    <t xml:space="preserve">Twelve months or more</t>
  </si>
  <si>
    <t xml:space="preserve">TOTAL</t>
  </si>
  <si>
    <t xml:space="preserve">Assets unaccounted for</t>
  </si>
  <si>
    <t xml:space="preserve">Read as shares of net asset value the four buckets sum to 310 and 124 of assets simply disappear — the fund is levered, so its assets exceed its net asset value by exactly that amount. Read as shares of gross assets they close to 434 with nothing left over. There is only one coherent reading, and the book does not state it.</t>
  </si>
  <si>
    <t xml:space="preserve">This matters beyond tidiness. Every figure downstream — the disposal proceeds, the reverse stress level, the gate comparison — moves by forty per cent between the two readings. An example a reader cannot resolve is an example a reader cannot use.</t>
  </si>
  <si>
    <t xml:space="preserve">The severe scenario, line by line</t>
  </si>
  <si>
    <t xml:space="preserve">Chapter 21's own severe scenario: 15 per cent redemptions, 200 basis points of spread widening, secondary bids twelve points below carrying value.</t>
  </si>
  <si>
    <t xml:space="preserve">Sources</t>
  </si>
  <si>
    <t xml:space="preserve">What it is</t>
  </si>
  <si>
    <t xml:space="preserve">bucket 1</t>
  </si>
  <si>
    <t xml:space="preserve">less the operating buffer</t>
  </si>
  <si>
    <t xml:space="preserve">Interest received</t>
  </si>
  <si>
    <t xml:space="preserve">net of non-accruals</t>
  </si>
  <si>
    <t xml:space="preserve">Scheduled amortisation</t>
  </si>
  <si>
    <t xml:space="preserve">Prepayments</t>
  </si>
  <si>
    <t xml:space="preserve">at the stressed rate</t>
  </si>
  <si>
    <t xml:space="preserve">Disposal of bucket 2</t>
  </si>
  <si>
    <t xml:space="preserve">net of the stressed discount</t>
  </si>
  <si>
    <t xml:space="preserve">Disposal of bucket 3, the part realisable in 90 days</t>
  </si>
  <si>
    <t xml:space="preserve">less repayment of the facility on those disposals</t>
  </si>
  <si>
    <t xml:space="preserve">the release price: the advance rate, if row 29 of sheet 1 is 1</t>
  </si>
  <si>
    <t xml:space="preserve">GROSS SOURCES</t>
  </si>
  <si>
    <t xml:space="preserve">Uses other than redemptions</t>
  </si>
  <si>
    <t xml:space="preserve">Stressed drawdowns by borrowers</t>
  </si>
  <si>
    <t xml:space="preserve">the item Chapter 11 says gets omitted</t>
  </si>
  <si>
    <t xml:space="preserve">Borrowing-base call on the markdown</t>
  </si>
  <si>
    <t xml:space="preserve">only on the part drawn above the borrowing base (rows 29 to 40)</t>
  </si>
  <si>
    <t xml:space="preserve">Fees and facility interest</t>
  </si>
  <si>
    <t xml:space="preserve">Distribution</t>
  </si>
  <si>
    <t xml:space="preserve">suspended under stress</t>
  </si>
  <si>
    <t xml:space="preserve">TOTAL USES</t>
  </si>
  <si>
    <t xml:space="preserve">CASH AVAILABLE TO REDEEMING INVESTORS</t>
  </si>
  <si>
    <t xml:space="preserve">REVERSE STRESS LEVEL, as a share of net asset value</t>
  </si>
  <si>
    <t xml:space="preserve">Chapter 21 states</t>
  </si>
  <si>
    <t xml:space="preserve">Difference</t>
  </si>
  <si>
    <t xml:space="preserve">Twenty-two and a half per cent against the book's approximately nineteen, and the next sheet puts a band round it that holds the nineteen. The first edition printed 17.2: it charged a borrowing-base call of 16.5 on the markdown as if the facility were drawn to its limit. It is not. 124 is drawn against a base of 193 (rows 30 to 32); after the release price on the disposals, 87.7 is drawn against 136.2. No call. A markdown becomes a cash event only once the base falls below what is drawn: here, at an advance rate under 35.9 per cent (row 38), or a markdown of half the long book (row 39).</t>
  </si>
  <si>
    <t xml:space="preserve">The facility, before and after the quarter</t>
  </si>
  <si>
    <t xml:space="preserve">Drawn before the stress: the debt, gross assets less net asset value</t>
  </si>
  <si>
    <t xml:space="preserve">Borrowing base before the stress: advance rate on the loan book</t>
  </si>
  <si>
    <t xml:space="preserve">Headroom before the stress</t>
  </si>
  <si>
    <t xml:space="preserve">Drawn after the release price on disposals</t>
  </si>
  <si>
    <t xml:space="preserve">Collateral left, at the stressed marks</t>
  </si>
  <si>
    <t xml:space="preserve">Borrowing base after the stress</t>
  </si>
  <si>
    <t xml:space="preserve">BORROWING-BASE CALL: what is drawn above the base</t>
  </si>
  <si>
    <t xml:space="preserve">As first published: the advance rate times the markdown, whatever the headroom</t>
  </si>
  <si>
    <t xml:space="preserve">Advance rate below which this quarter triggers a call</t>
  </si>
  <si>
    <t xml:space="preserve">Markdown on the long book at which the call starts, at this advance rate</t>
  </si>
  <si>
    <t xml:space="preserve">Advance rate below which the fund is over its base before any stress</t>
  </si>
  <si>
    <t xml:space="preserve">Three terms the book never writes down</t>
  </si>
  <si>
    <t xml:space="preserve">Each row below re-runs the whole waterfall, the borrowing base included, with one input changed. Nothing about the assets, the investors or the redemption assumption moves.</t>
  </si>
  <si>
    <t xml:space="preserve">One: the facility's advance rate, as release price and as borrowing base</t>
  </si>
  <si>
    <t xml:space="preserve">Advance rate</t>
  </si>
  <si>
    <t xml:space="preserve">Reverse level</t>
  </si>
  <si>
    <t xml:space="preserve">none</t>
  </si>
  <si>
    <t xml:space="preserve">no release price: the lender takes nothing on a disposal</t>
  </si>
  <si>
    <t xml:space="preserve">just above the floor: the call bites</t>
  </si>
  <si>
    <t xml:space="preserve">the case on sheet 3</t>
  </si>
  <si>
    <t xml:space="preserve">From 34.2 per cent with no release price to 22.5 at 50 per cent: the facility's take on disposals is still the largest single term. But the advance rate does not work in one direction. Above 35.9 per cent it only sets the release price, and a higher rate lowers the level; below it the borrowing base bites and the call arrives (row 7). What decides whether a markdown is a cash event is the headroom under the base, a number no chapter asks for.</t>
  </si>
  <si>
    <t xml:space="preserve">Two: the undrawn borrower commitments</t>
  </si>
  <si>
    <t xml:space="preserve">Undrawn book</t>
  </si>
  <si>
    <t xml:space="preserve">Drawn under stress</t>
  </si>
  <si>
    <t xml:space="preserve">As a share of NAV</t>
  </si>
  <si>
    <t xml:space="preserve">The gate, for comparison</t>
  </si>
  <si>
    <t xml:space="preserve">Five and a half per cent of net asset value walking out of the door through the loan documents, against a gate the book has just reduced to four. A gate governs redemptions. It does nothing about a borrower drawing on a commitment the fund already signed. Take the undrawn book out and the level rises from 22.5 to 28.0 per cent.</t>
  </si>
  <si>
    <t xml:space="preserve">Three: the contractual cash flows</t>
  </si>
  <si>
    <t xml:space="preserve">Prepayment rate, per year</t>
  </si>
  <si>
    <t xml:space="preserve">no contractual flows at all</t>
  </si>
  <si>
    <t xml:space="preserve">interest, amortisation and prepayments all removed</t>
  </si>
  <si>
    <t xml:space="preserve">Chapter 11 says a model that ignores contractual flows "understates the fund's liquidity materially". It does: interest, amortisation and prepayments are 10.4 of the quarter, 3.4 points of the 22.5 (row 33). The first edition said 0.9 of a point and called the claim overstated; that was the prepayments alone, 0.8. The chapter is right.</t>
  </si>
  <si>
    <t xml:space="preserve">"Roughly 8 per cent of net asset value per quarter"</t>
  </si>
  <si>
    <t xml:space="preserve">Chapter 21 states it. This sheet looks for it in the chapter's own grid, four ways.</t>
  </si>
  <si>
    <t xml:space="preserve">Share of the six-month bucket counted</t>
  </si>
  <si>
    <t xml:space="preserve">Capacity, share of NAV</t>
  </si>
  <si>
    <t xml:space="preserve">cash and liquid loans only</t>
  </si>
  <si>
    <t xml:space="preserve">the whole bucket inside the quarter</t>
  </si>
  <si>
    <t xml:space="preserve">The LOWEST reading of the chapter's own grid</t>
  </si>
  <si>
    <t xml:space="preserve">Ratio</t>
  </si>
  <si>
    <t xml:space="preserve">Counting nothing at all from the six-month bucket — cash and liquid syndicated loans only, net of the facility's release price — the fund still supports 23.3 per cent. That is nearly three times the stated figure. There is no reading of the chapter's grid that reaches eight. (The first edition printed 21.8 and 37.7: it deducted the operating buffer twice.)</t>
  </si>
  <si>
    <t xml:space="preserve">So one of two things is true. Either the eight per cent embeds a constraint the chapter does not disclose — a self-imposed policy limit, a distribution agreement, an operational cap — in which case it should be named, because a reader cannot rebuild it. Or the figure needs revisiting. Flagged rather than repeated: a companion file that quietly reproduces a number it cannot derive is worse than one that says it could not.</t>
  </si>
  <si>
    <t xml:space="preserve">The line Chapter 11 asks for, written</t>
  </si>
  <si>
    <t xml:space="preserve">"The reverse stress level, the current gate threshold, and the gap between them… takes one line."</t>
  </si>
  <si>
    <t xml:space="preserve">Reading</t>
  </si>
  <si>
    <t xml:space="preserve">Reverse stress level</t>
  </si>
  <si>
    <t xml:space="preserve">the level at which the fund cannot pay without distressed sales</t>
  </si>
  <si>
    <t xml:space="preserve">Gate threshold</t>
  </si>
  <si>
    <t xml:space="preserve">Chapter 21, reduced from 5 per cent</t>
  </si>
  <si>
    <t xml:space="preserve">THE GAP</t>
  </si>
  <si>
    <t xml:space="preserve">what the board is actually being told</t>
  </si>
  <si>
    <t xml:space="preserve">And the error band, without which the gap cannot be read</t>
  </si>
  <si>
    <t xml:space="preserve">Input varied</t>
  </si>
  <si>
    <t xml:space="preserve">Range</t>
  </si>
  <si>
    <t xml:space="preserve">Half-range, in points</t>
  </si>
  <si>
    <t xml:space="preserve">Prepayment rate</t>
  </si>
  <si>
    <t xml:space="preserve">0 to 6 per cent a year</t>
  </si>
  <si>
    <t xml:space="preserve">40 to 60 per cent</t>
  </si>
  <si>
    <t xml:space="preserve">20 to 60</t>
  </si>
  <si>
    <t xml:space="preserve">Root sum of squares, in points</t>
  </si>
  <si>
    <t xml:space="preserve">REVERSE LEVEL, with band</t>
  </si>
  <si>
    <t xml:space="preserve">Two-sigma interval, low / high</t>
  </si>
  <si>
    <t xml:space="preserve">Chapter 21's figure</t>
  </si>
  <si>
    <t xml:space="preserve">The gate, as a multiple of the reverse level</t>
  </si>
  <si>
    <t xml:space="preserve">and in standard deviations below it</t>
  </si>
  <si>
    <t xml:space="preserve">That is the line, and it is three numbers rather than one: the level, the gate, and the band. Without the band the gap cannot be read — a gate four points below a level known to plus or minus four points is not the same statement as a gate four points below a level known to a quarter of a point. Here the gate is 4.8 standard deviations below, which is why Chapter 11's instruction to sit "meaningfully below" is satisfied and can be shown to be.</t>
  </si>
  <si>
    <t xml:space="preserve">Every figure in Appendix L, recomputed here</t>
  </si>
  <si>
    <t xml:space="preserve">Two of these check the file against the BOOK. One is designed to confirm the book rather than to correct it. Revised 24 September 2026: thirty-two controls.</t>
  </si>
  <si>
    <t xml:space="preserve">Figure</t>
  </si>
  <si>
    <t xml:space="preserve">Appendix L</t>
  </si>
  <si>
    <t xml:space="preserve">This file</t>
  </si>
  <si>
    <t xml:space="preserve">Status</t>
  </si>
  <si>
    <t xml:space="preserve">Note</t>
  </si>
  <si>
    <t xml:space="preserve">Gross assets</t>
  </si>
  <si>
    <t xml:space="preserve">tol 0.5</t>
  </si>
  <si>
    <t xml:space="preserve">Bucket 1 in money, gross-asset reading</t>
  </si>
  <si>
    <t xml:space="preserve">tol 0.05</t>
  </si>
  <si>
    <t xml:space="preserve">Bucket 3 in money, gross-asset reading</t>
  </si>
  <si>
    <t xml:space="preserve">Assets unaccounted for, NAV reading</t>
  </si>
  <si>
    <t xml:space="preserve">Assets unaccounted for, gross reading</t>
  </si>
  <si>
    <t xml:space="preserve">tol 0.01</t>
  </si>
  <si>
    <t xml:space="preserve">Gross sources, severe</t>
  </si>
  <si>
    <t xml:space="preserve">tol 0.3</t>
  </si>
  <si>
    <t xml:space="preserve">corrected 24 Sep 2026: 16.53 as first published, drawn as if at the limit of the base</t>
  </si>
  <si>
    <t xml:space="preserve">Stressed drawdowns</t>
  </si>
  <si>
    <t xml:space="preserve">Cash available to redeeming investors</t>
  </si>
  <si>
    <t xml:space="preserve">corrected: 53.21 as first published</t>
  </si>
  <si>
    <t xml:space="preserve">REVERSE STRESS LEVEL</t>
  </si>
  <si>
    <t xml:space="preserve">corrected: 17.16% as first published</t>
  </si>
  <si>
    <t xml:space="preserve">Reverse level with no release price</t>
  </si>
  <si>
    <t xml:space="preserve">no release price; 34.18% as first published</t>
  </si>
  <si>
    <t xml:space="preserve">Reverse level with no undrawn book</t>
  </si>
  <si>
    <t xml:space="preserve">corrected: 22.68% as first published</t>
  </si>
  <si>
    <t xml:space="preserve">Undrawn drawn under stress, share of NAV</t>
  </si>
  <si>
    <t xml:space="preserve">tol 0.001</t>
  </si>
  <si>
    <t xml:space="preserve">Ordinary capacity, cash and liquid only</t>
  </si>
  <si>
    <t xml:space="preserve">corrected: 21.79%, the buffer counted twice</t>
  </si>
  <si>
    <t xml:space="preserve">Ordinary capacity, whole bucket 3</t>
  </si>
  <si>
    <t xml:space="preserve">corrected: 37.74% as first published</t>
  </si>
  <si>
    <t xml:space="preserve">Error band, points</t>
  </si>
  <si>
    <t xml:space="preserve">corrected: 4.78, prepayments read at 12%</t>
  </si>
  <si>
    <t xml:space="preserve">The gap, reverse level less gate</t>
  </si>
  <si>
    <t xml:space="preserve">corrected: 13.16% as first published</t>
  </si>
  <si>
    <t xml:space="preserve">Gate as a multiple of the reverse level</t>
  </si>
  <si>
    <t xml:space="preserve">corrected: 0.233 as first published</t>
  </si>
  <si>
    <t xml:space="preserve">Gate, in standard deviations below</t>
  </si>
  <si>
    <t xml:space="preserve">corrected: 2.75 as first published</t>
  </si>
  <si>
    <t xml:space="preserve">Ties to the book: the four buckets sum to one</t>
  </si>
  <si>
    <t xml:space="preserve">Ties to the book: leverage times NAV is gross assets</t>
  </si>
  <si>
    <t xml:space="preserve">CONFIRMS THE BOOK: 19 per cent sits inside the two-sigma interval</t>
  </si>
  <si>
    <t xml:space="preserve">must be 1</t>
  </si>
  <si>
    <t xml:space="preserve">The undrawn outflow exceeds the gate</t>
  </si>
  <si>
    <t xml:space="preserve">must be 1 — the book does not say so</t>
  </si>
  <si>
    <t xml:space="preserve">No reading of the grid reaches 8 per cent</t>
  </si>
  <si>
    <t xml:space="preserve">must be 1 — flags §657</t>
  </si>
  <si>
    <t xml:space="preserve">Headroom under the borrowing base before the stress</t>
  </si>
  <si>
    <t xml:space="preserve">Drawn after the release price</t>
  </si>
  <si>
    <t xml:space="preserve">Advance rate below which the quarter calls</t>
  </si>
  <si>
    <t xml:space="preserve">tol 0.0005</t>
  </si>
  <si>
    <t xml:space="preserve">Markdown on the long book at which the call starts</t>
  </si>
  <si>
    <t xml:space="preserve">Prepayment half-range, 0 to 6 per cent, points</t>
  </si>
  <si>
    <t xml:space="preserve">tol 0.005</t>
  </si>
  <si>
    <t xml:space="preserve">Contractual flows removed: points off the level (0.9 as first published)</t>
  </si>
  <si>
    <t xml:space="preserve">Waterfall identity: sources less uses is the cash to redeemers</t>
  </si>
  <si>
    <t xml:space="preserve">tol 1e-09</t>
  </si>
  <si>
    <t xml:space="preserve">Checks passing</t>
  </si>
</sst>
</file>

<file path=xl/styles.xml><?xml version="1.0" encoding="utf-8"?>
<styleSheet xmlns="http://schemas.openxmlformats.org/spreadsheetml/2006/main">
  <numFmts count="10">
    <numFmt numFmtId="164" formatCode="General"/>
    <numFmt numFmtId="165" formatCode="#,##0.0"/>
    <numFmt numFmtId="166" formatCode="0.00\x"/>
    <numFmt numFmtId="167" formatCode="0.0%"/>
    <numFmt numFmtId="168" formatCode="#,##0.00"/>
    <numFmt numFmtId="169" formatCode="0"/>
    <numFmt numFmtId="170" formatCode="\+0.0%;\-0.0%"/>
    <numFmt numFmtId="171" formatCode="0.0"/>
    <numFmt numFmtId="172" formatCode="0.00%"/>
    <numFmt numFmtId="173" formatCode="0.00"/>
  </numFmts>
  <fonts count="15">
    <font>
      <sz val="11"/>
      <color theme="1"/>
      <name val="Calibri"/>
      <family val="2"/>
      <charset val="1"/>
    </font>
    <font>
      <sz val="10"/>
      <name val="Arial"/>
      <family val="0"/>
    </font>
    <font>
      <sz val="10"/>
      <name val="Arial"/>
      <family val="0"/>
    </font>
    <font>
      <sz val="10"/>
      <name val="Arial"/>
      <family val="0"/>
    </font>
    <font>
      <b val="true"/>
      <sz val="15"/>
      <color rgb="FF1F2733"/>
      <name val="Cambria"/>
      <family val="0"/>
      <charset val="1"/>
    </font>
    <font>
      <i val="true"/>
      <sz val="10"/>
      <color rgb="FF5A6470"/>
      <name val="Cambria"/>
      <family val="0"/>
      <charset val="1"/>
    </font>
    <font>
      <sz val="10.5"/>
      <color rgb="FF1F2733"/>
      <name val="Cambria"/>
      <family val="0"/>
      <charset val="1"/>
    </font>
    <font>
      <b val="true"/>
      <sz val="11.5"/>
      <color rgb="FF1F2733"/>
      <name val="Cambria"/>
      <family val="0"/>
      <charset val="1"/>
    </font>
    <font>
      <b val="true"/>
      <sz val="14"/>
      <color rgb="FF1F2733"/>
      <name val="Cambria"/>
      <family val="0"/>
      <charset val="1"/>
    </font>
    <font>
      <b val="true"/>
      <sz val="10"/>
      <color rgb="FFFFFFFF"/>
      <name val="Cambria"/>
      <family val="0"/>
      <charset val="1"/>
    </font>
    <font>
      <b val="true"/>
      <sz val="11"/>
      <color rgb="FF1B4E8C"/>
      <name val="Cambria"/>
      <family val="0"/>
      <charset val="1"/>
    </font>
    <font>
      <sz val="11"/>
      <color rgb="FF1F2733"/>
      <name val="Cambria"/>
      <family val="0"/>
      <charset val="1"/>
    </font>
    <font>
      <b val="true"/>
      <sz val="10.5"/>
      <color rgb="FF1F2733"/>
      <name val="Cambria"/>
      <family val="0"/>
      <charset val="1"/>
    </font>
    <font>
      <b val="true"/>
      <sz val="11"/>
      <color rgb="FF1F2733"/>
      <name val="Cambria"/>
      <family val="0"/>
      <charset val="1"/>
    </font>
    <font>
      <sz val="10.5"/>
      <color rgb="FF777777"/>
      <name val="Cambria"/>
      <family val="0"/>
      <charset val="1"/>
    </font>
  </fonts>
  <fills count="6">
    <fill>
      <patternFill patternType="none"/>
    </fill>
    <fill>
      <patternFill patternType="gray125"/>
    </fill>
    <fill>
      <patternFill patternType="solid">
        <fgColor rgb="FF1F2733"/>
        <bgColor rgb="FF333300"/>
      </patternFill>
    </fill>
    <fill>
      <patternFill patternType="solid">
        <fgColor rgb="FFFDF3DC"/>
        <bgColor rgb="FFFBF0E4"/>
      </patternFill>
    </fill>
    <fill>
      <patternFill patternType="solid">
        <fgColor rgb="FFF1F3F5"/>
        <bgColor rgb="FFFBF0E4"/>
      </patternFill>
    </fill>
    <fill>
      <patternFill patternType="solid">
        <fgColor rgb="FFFBF0E4"/>
        <bgColor rgb="FFFDF3DC"/>
      </patternFill>
    </fill>
  </fills>
  <borders count="2">
    <border diagonalUp="false" diagonalDown="false">
      <left/>
      <right/>
      <top/>
      <bottom/>
      <diagonal/>
    </border>
    <border diagonalUp="false" diagonalDown="false">
      <left style="thin">
        <color rgb="FFC9CFD6"/>
      </left>
      <right style="thin">
        <color rgb="FFC9CFD6"/>
      </right>
      <top style="thin">
        <color rgb="FFC9CFD6"/>
      </top>
      <bottom style="thin">
        <color rgb="FFC9CF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1" fillId="4"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10"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1" fillId="4" borderId="1" xfId="0" applyFont="tru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5" borderId="1" xfId="0" applyFont="true" applyBorder="true" applyAlignment="false" applyProtection="false">
      <alignment horizontal="general" vertical="bottom" textRotation="0" wrapText="false" indent="0" shrinkToFit="false"/>
      <protection locked="true" hidden="false"/>
    </xf>
    <xf numFmtId="167" fontId="11" fillId="4" borderId="1" xfId="0" applyFont="true" applyBorder="true" applyAlignment="false" applyProtection="false">
      <alignment horizontal="general" vertical="bottom" textRotation="0" wrapText="false" indent="0" shrinkToFit="false"/>
      <protection locked="true" hidden="false"/>
    </xf>
    <xf numFmtId="167" fontId="13" fillId="4" borderId="1" xfId="0" applyFont="true" applyBorder="true" applyAlignment="false" applyProtection="false">
      <alignment horizontal="general" vertical="bottom" textRotation="0" wrapText="false" indent="0" shrinkToFit="false"/>
      <protection locked="true" hidden="false"/>
    </xf>
    <xf numFmtId="165" fontId="13" fillId="4" borderId="1" xfId="0" applyFont="true" applyBorder="true" applyAlignment="false" applyProtection="false">
      <alignment horizontal="general" vertical="bottom" textRotation="0" wrapText="false" indent="0" shrinkToFit="false"/>
      <protection locked="true" hidden="false"/>
    </xf>
    <xf numFmtId="167" fontId="13" fillId="5" borderId="1" xfId="0" applyFont="true" applyBorder="true" applyAlignment="false" applyProtection="false">
      <alignment horizontal="general" vertical="bottom" textRotation="0" wrapText="false" indent="0" shrinkToFit="false"/>
      <protection locked="true" hidden="false"/>
    </xf>
    <xf numFmtId="170" fontId="13"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5" fontId="14" fillId="4"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7" fontId="11" fillId="4" borderId="0" xfId="0" applyFont="true" applyBorder="false" applyAlignment="false" applyProtection="false">
      <alignment horizontal="general" vertical="bottom" textRotation="0" wrapText="false" indent="0" shrinkToFit="false"/>
      <protection locked="true" hidden="false"/>
    </xf>
    <xf numFmtId="166" fontId="13" fillId="4" borderId="1" xfId="0" applyFont="true" applyBorder="true" applyAlignment="false" applyProtection="false">
      <alignment horizontal="general" vertical="bottom" textRotation="0" wrapText="false" indent="0" shrinkToFit="false"/>
      <protection locked="true" hidden="false"/>
    </xf>
    <xf numFmtId="171" fontId="11" fillId="4" borderId="1" xfId="0" applyFont="true" applyBorder="true" applyAlignment="false" applyProtection="false">
      <alignment horizontal="general" vertical="bottom" textRotation="0" wrapText="false" indent="0" shrinkToFit="false"/>
      <protection locked="true" hidden="false"/>
    </xf>
    <xf numFmtId="171" fontId="13" fillId="5" borderId="1" xfId="0" applyFont="true" applyBorder="true" applyAlignment="false" applyProtection="false">
      <alignment horizontal="general" vertical="bottom" textRotation="0" wrapText="false" indent="0" shrinkToFit="false"/>
      <protection locked="true" hidden="false"/>
    </xf>
    <xf numFmtId="166" fontId="13" fillId="5" borderId="1" xfId="0" applyFont="true" applyBorder="true" applyAlignment="false" applyProtection="false">
      <alignment horizontal="general" vertical="bottom" textRotation="0" wrapText="false" indent="0" shrinkToFit="false"/>
      <protection locked="true" hidden="false"/>
    </xf>
    <xf numFmtId="171" fontId="13" fillId="4"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72" fontId="11" fillId="4" borderId="1" xfId="0" applyFont="true" applyBorder="true" applyAlignment="false" applyProtection="false">
      <alignment horizontal="general" vertical="bottom" textRotation="0" wrapText="false" indent="0" shrinkToFit="false"/>
      <protection locked="true" hidden="false"/>
    </xf>
    <xf numFmtId="169" fontId="11" fillId="4" borderId="1" xfId="0" applyFont="true" applyBorder="true" applyAlignment="false" applyProtection="false">
      <alignment horizontal="general" vertical="bottom" textRotation="0" wrapText="false" indent="0" shrinkToFit="false"/>
      <protection locked="true" hidden="false"/>
    </xf>
    <xf numFmtId="168" fontId="11" fillId="4" borderId="1" xfId="0" applyFont="true" applyBorder="true" applyAlignment="false" applyProtection="false">
      <alignment horizontal="general" vertical="bottom" textRotation="0" wrapText="false" indent="0" shrinkToFit="false"/>
      <protection locked="true" hidden="false"/>
    </xf>
    <xf numFmtId="173" fontId="11" fillId="4" borderId="1" xfId="0" applyFont="true" applyBorder="true" applyAlignment="false" applyProtection="false">
      <alignment horizontal="general" vertical="bottom" textRotation="0" wrapText="false" indent="0" shrinkToFit="false"/>
      <protection locked="true" hidden="false"/>
    </xf>
    <xf numFmtId="169" fontId="13" fillId="4" borderId="1" xfId="0" applyFont="true" applyBorder="true" applyAlignment="false" applyProtection="false">
      <alignment horizontal="general" vertical="bottom" textRotation="0" wrapText="false" indent="0" shrinkToFit="false"/>
      <protection locked="true" hidden="false"/>
    </xf>
    <xf numFmtId="164" fontId="13"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77777"/>
      <rgbColor rgb="FF9999FF"/>
      <rgbColor rgb="FF993366"/>
      <rgbColor rgb="FFFDF3DC"/>
      <rgbColor rgb="FFF1F3F5"/>
      <rgbColor rgb="FF660066"/>
      <rgbColor rgb="FFFF8080"/>
      <rgbColor rgb="FF0066CC"/>
      <rgbColor rgb="FFC9CFD6"/>
      <rgbColor rgb="FF000080"/>
      <rgbColor rgb="FFFF00FF"/>
      <rgbColor rgb="FFFFFF00"/>
      <rgbColor rgb="FF00FFFF"/>
      <rgbColor rgb="FF800080"/>
      <rgbColor rgb="FF800000"/>
      <rgbColor rgb="FF008080"/>
      <rgbColor rgb="FF0000FF"/>
      <rgbColor rgb="FF00CCFF"/>
      <rgbColor rgb="FFCCFFFF"/>
      <rgbColor rgb="FFCCFFCC"/>
      <rgbColor rgb="FFFBF0E4"/>
      <rgbColor rgb="FF99CCFF"/>
      <rgbColor rgb="FFFF99CC"/>
      <rgbColor rgb="FFCC99FF"/>
      <rgbColor rgb="FFFFCC99"/>
      <rgbColor rgb="FF3366FF"/>
      <rgbColor rgb="FF33CCCC"/>
      <rgbColor rgb="FF99CC00"/>
      <rgbColor rgb="FFFFCC00"/>
      <rgbColor rgb="FFFF9900"/>
      <rgbColor rgb="FFFF6600"/>
      <rgbColor rgb="FF5A6470"/>
      <rgbColor rgb="FF969696"/>
      <rgbColor rgb="FF003366"/>
      <rgbColor rgb="FF339966"/>
      <rgbColor rgb="FF003300"/>
      <rgbColor rgb="FF333300"/>
      <rgbColor rgb="FF993300"/>
      <rgbColor rgb="FF993366"/>
      <rgbColor rgb="FF1B4E8C"/>
      <rgbColor rgb="FF1F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4"/>
  </cols>
  <sheetData>
    <row r="1" customFormat="false" ht="18.55" hidden="false" customHeight="false" outlineLevel="0" collapsed="false">
      <c r="A1" s="1" t="s">
        <v>0</v>
      </c>
    </row>
    <row r="2" customFormat="false" ht="15" hidden="false" customHeight="false" outlineLevel="0" collapsed="false">
      <c r="A2" s="2" t="s">
        <v>1</v>
      </c>
    </row>
    <row r="4" customFormat="false" ht="90" hidden="false" customHeight="true" outlineLevel="0" collapsed="false">
      <c r="A4" s="3" t="s">
        <v>2</v>
      </c>
    </row>
    <row r="6" customFormat="false" ht="60" hidden="false" customHeight="true" outlineLevel="0" collapsed="false">
      <c r="A6" s="3" t="s">
        <v>3</v>
      </c>
    </row>
    <row r="8" customFormat="false" ht="30" hidden="false" customHeight="true" outlineLevel="0" collapsed="false">
      <c r="A8" s="3" t="s">
        <v>4</v>
      </c>
    </row>
    <row r="10" customFormat="false" ht="15" hidden="false" customHeight="false" outlineLevel="0" collapsed="false">
      <c r="A10" s="4" t="s">
        <v>5</v>
      </c>
    </row>
    <row r="11" customFormat="false" ht="60" hidden="false" customHeight="true" outlineLevel="0" collapsed="false">
      <c r="A11" s="3" t="s">
        <v>6</v>
      </c>
    </row>
    <row r="12" customFormat="false" ht="45" hidden="false" customHeight="true" outlineLevel="0" collapsed="false">
      <c r="A12" s="3" t="s">
        <v>7</v>
      </c>
    </row>
    <row r="13" customFormat="false" ht="45" hidden="false" customHeight="true" outlineLevel="0" collapsed="false">
      <c r="A13" s="3" t="s">
        <v>8</v>
      </c>
    </row>
    <row r="15" customFormat="false" ht="15" hidden="false" customHeight="false" outlineLevel="0" collapsed="false">
      <c r="A15" s="4" t="s">
        <v>9</v>
      </c>
    </row>
    <row r="16" customFormat="false" ht="75" hidden="false" customHeight="true" outlineLevel="0" collapsed="false">
      <c r="A16" s="3" t="s">
        <v>10</v>
      </c>
    </row>
    <row r="17" customFormat="false" ht="60" hidden="false" customHeight="true" outlineLevel="0" collapsed="false">
      <c r="A17" s="3" t="s">
        <v>11</v>
      </c>
    </row>
    <row r="19" customFormat="false" ht="15" hidden="false" customHeight="false" outlineLevel="0" collapsed="false">
      <c r="A19" s="4" t="s">
        <v>12</v>
      </c>
    </row>
    <row r="20" customFormat="false" ht="75" hidden="false" customHeight="true" outlineLevel="0" collapsed="false">
      <c r="A20" s="3" t="s">
        <v>13</v>
      </c>
    </row>
    <row r="21" customFormat="false" ht="75" hidden="false" customHeight="true" outlineLevel="0" collapsed="false">
      <c r="A21" s="3" t="s">
        <v>14</v>
      </c>
    </row>
    <row r="22" customFormat="false" ht="75" hidden="false" customHeight="true" outlineLevel="0" collapsed="false">
      <c r="A22" s="3" t="s">
        <v>15</v>
      </c>
    </row>
    <row r="24" customFormat="false" ht="15" hidden="false" customHeight="false" outlineLevel="0" collapsed="false">
      <c r="A24" s="4" t="s">
        <v>16</v>
      </c>
    </row>
    <row r="25" customFormat="false" ht="15" hidden="false" customHeight="true" outlineLevel="0" collapsed="false">
      <c r="A25" s="3" t="s">
        <v>17</v>
      </c>
    </row>
    <row r="26" customFormat="false" ht="15" hidden="false" customHeight="true" outlineLevel="0" collapsed="false">
      <c r="A26" s="3" t="s">
        <v>18</v>
      </c>
    </row>
    <row r="27" customFormat="false" ht="15" hidden="false" customHeight="true" outlineLevel="0" collapsed="false">
      <c r="A27" s="3" t="s">
        <v>19</v>
      </c>
    </row>
    <row r="28" customFormat="false" ht="15" hidden="false" customHeight="true" outlineLevel="0" collapsed="false">
      <c r="A28" s="3" t="s">
        <v>20</v>
      </c>
    </row>
    <row r="29" customFormat="false" ht="15" hidden="false" customHeight="true" outlineLevel="0" collapsed="false">
      <c r="A29" s="3" t="s">
        <v>21</v>
      </c>
    </row>
    <row r="30" customFormat="false" ht="15" hidden="false" customHeight="true" outlineLevel="0" collapsed="false">
      <c r="A30" s="3" t="s">
        <v>22</v>
      </c>
    </row>
    <row r="31" customFormat="false" ht="15" hidden="false" customHeight="true" outlineLevel="0" collapsed="false">
      <c r="A31" s="3" t="s">
        <v>23</v>
      </c>
    </row>
    <row r="33" customFormat="false" ht="15" hidden="false" customHeight="false" outlineLevel="0" collapsed="false">
      <c r="A33" s="4" t="s">
        <v>24</v>
      </c>
    </row>
    <row r="34" customFormat="false" ht="15" hidden="false" customHeight="true" outlineLevel="0" collapsed="false">
      <c r="A34" s="3" t="s">
        <v>25</v>
      </c>
    </row>
    <row r="35" customFormat="false" ht="45" hidden="false" customHeight="true" outlineLevel="0" collapsed="false">
      <c r="A35" s="3" t="s">
        <v>26</v>
      </c>
    </row>
    <row r="37" customFormat="false" ht="15" hidden="false" customHeight="false" outlineLevel="0" collapsed="false">
      <c r="A37" s="4" t="s">
        <v>27</v>
      </c>
    </row>
    <row r="38" customFormat="false" ht="37.3" hidden="false" customHeight="false" outlineLevel="0" collapsed="false">
      <c r="A38" s="3" t="s">
        <v>28</v>
      </c>
    </row>
    <row r="39" customFormat="false" ht="37.3" hidden="false" customHeight="false" outlineLevel="0" collapsed="false">
      <c r="A39" s="3" t="s">
        <v>29</v>
      </c>
    </row>
    <row r="40" customFormat="false" ht="15" hidden="false" customHeight="false" outlineLevel="0" collapsed="false">
      <c r="A40" s="3"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5"/>
    <col collapsed="false" customWidth="true" hidden="false" outlineLevel="0" max="4" min="4" style="0" width="52"/>
  </cols>
  <sheetData>
    <row r="1" customFormat="false" ht="17.35" hidden="false" customHeight="false" outlineLevel="0" collapsed="false">
      <c r="A1" s="5" t="s">
        <v>31</v>
      </c>
    </row>
    <row r="2" customFormat="false" ht="15" hidden="false" customHeight="false" outlineLevel="0" collapsed="false">
      <c r="A2" s="2" t="s">
        <v>32</v>
      </c>
    </row>
    <row r="4" customFormat="false" ht="30" hidden="false" customHeight="true" outlineLevel="0" collapsed="false">
      <c r="A4" s="6"/>
      <c r="B4" s="6" t="s">
        <v>33</v>
      </c>
      <c r="C4" s="6"/>
      <c r="D4" s="6" t="s">
        <v>34</v>
      </c>
    </row>
    <row r="5" customFormat="false" ht="15" hidden="false" customHeight="false" outlineLevel="0" collapsed="false">
      <c r="A5" s="7" t="s">
        <v>35</v>
      </c>
      <c r="B5" s="8" t="n">
        <v>310</v>
      </c>
      <c r="D5" s="9" t="s">
        <v>36</v>
      </c>
    </row>
    <row r="6" customFormat="false" ht="15" hidden="false" customHeight="false" outlineLevel="0" collapsed="false">
      <c r="A6" s="7" t="s">
        <v>37</v>
      </c>
      <c r="B6" s="10" t="n">
        <v>1.4</v>
      </c>
      <c r="D6" s="9" t="s">
        <v>38</v>
      </c>
    </row>
    <row r="7" customFormat="false" ht="15" hidden="false" customHeight="false" outlineLevel="0" collapsed="false">
      <c r="A7" s="7" t="s">
        <v>39</v>
      </c>
      <c r="B7" s="11" t="n">
        <v>0.11</v>
      </c>
      <c r="D7" s="9" t="s">
        <v>40</v>
      </c>
    </row>
    <row r="8" customFormat="false" ht="15" hidden="false" customHeight="false" outlineLevel="0" collapsed="false">
      <c r="A8" s="7" t="s">
        <v>41</v>
      </c>
      <c r="B8" s="11" t="n">
        <v>0.09</v>
      </c>
      <c r="D8" s="9" t="s">
        <v>40</v>
      </c>
    </row>
    <row r="9" customFormat="false" ht="15" hidden="false" customHeight="false" outlineLevel="0" collapsed="false">
      <c r="A9" s="7" t="s">
        <v>42</v>
      </c>
      <c r="B9" s="11" t="n">
        <v>0.24</v>
      </c>
      <c r="D9" s="9" t="s">
        <v>40</v>
      </c>
    </row>
    <row r="10" customFormat="false" ht="15" hidden="false" customHeight="false" outlineLevel="0" collapsed="false">
      <c r="A10" s="7" t="s">
        <v>43</v>
      </c>
      <c r="B10" s="11" t="n">
        <v>0.56</v>
      </c>
      <c r="D10" s="9" t="s">
        <v>40</v>
      </c>
    </row>
    <row r="11" customFormat="false" ht="15" hidden="false" customHeight="false" outlineLevel="0" collapsed="false">
      <c r="A11" s="7" t="s">
        <v>44</v>
      </c>
      <c r="B11" s="11" t="n">
        <v>0.055</v>
      </c>
      <c r="D11" s="9" t="s">
        <v>45</v>
      </c>
    </row>
    <row r="12" customFormat="false" ht="15" hidden="false" customHeight="false" outlineLevel="0" collapsed="false">
      <c r="A12" s="7" t="s">
        <v>46</v>
      </c>
      <c r="B12" s="11" t="n">
        <v>0.04</v>
      </c>
      <c r="D12" s="9" t="s">
        <v>47</v>
      </c>
    </row>
    <row r="13" customFormat="false" ht="15" hidden="false" customHeight="false" outlineLevel="0" collapsed="false">
      <c r="A13" s="7" t="s">
        <v>48</v>
      </c>
      <c r="B13" s="11" t="n">
        <v>0.06</v>
      </c>
      <c r="D13" s="9" t="s">
        <v>49</v>
      </c>
    </row>
    <row r="14" customFormat="false" ht="15" hidden="false" customHeight="false" outlineLevel="0" collapsed="false">
      <c r="A14" s="7" t="s">
        <v>50</v>
      </c>
      <c r="B14" s="11" t="n">
        <v>0.14</v>
      </c>
      <c r="D14" s="9" t="s">
        <v>51</v>
      </c>
    </row>
    <row r="15" customFormat="false" ht="15" hidden="false" customHeight="false" outlineLevel="0" collapsed="false">
      <c r="A15" s="7" t="s">
        <v>52</v>
      </c>
      <c r="B15" s="11" t="n">
        <v>0.4</v>
      </c>
      <c r="D15" s="9" t="s">
        <v>49</v>
      </c>
    </row>
    <row r="16" customFormat="false" ht="15" hidden="false" customHeight="false" outlineLevel="0" collapsed="false">
      <c r="A16" s="7" t="s">
        <v>53</v>
      </c>
      <c r="B16" s="11" t="n">
        <v>0.5</v>
      </c>
      <c r="D16" s="9" t="s">
        <v>54</v>
      </c>
    </row>
    <row r="17" customFormat="false" ht="15" hidden="false" customHeight="false" outlineLevel="0" collapsed="false">
      <c r="A17" s="7" t="s">
        <v>55</v>
      </c>
      <c r="B17" s="11" t="n">
        <v>0.1</v>
      </c>
      <c r="D17" s="9" t="s">
        <v>49</v>
      </c>
    </row>
    <row r="18" customFormat="false" ht="15" hidden="false" customHeight="false" outlineLevel="0" collapsed="false">
      <c r="A18" s="7" t="s">
        <v>56</v>
      </c>
      <c r="B18" s="8" t="n">
        <v>38</v>
      </c>
      <c r="D18" s="9" t="s">
        <v>57</v>
      </c>
    </row>
    <row r="19" customFormat="false" ht="15" hidden="false" customHeight="false" outlineLevel="0" collapsed="false">
      <c r="A19" s="7" t="s">
        <v>58</v>
      </c>
      <c r="B19" s="11" t="n">
        <v>0.45</v>
      </c>
      <c r="D19" s="9" t="s">
        <v>49</v>
      </c>
    </row>
    <row r="20" customFormat="false" ht="15" hidden="false" customHeight="false" outlineLevel="0" collapsed="false">
      <c r="A20" s="7" t="s">
        <v>59</v>
      </c>
      <c r="B20" s="11" t="n">
        <v>0.15</v>
      </c>
      <c r="D20" s="9" t="s">
        <v>49</v>
      </c>
    </row>
    <row r="21" customFormat="false" ht="15" hidden="false" customHeight="false" outlineLevel="0" collapsed="false">
      <c r="A21" s="7" t="s">
        <v>60</v>
      </c>
      <c r="B21" s="11" t="n">
        <v>0.09</v>
      </c>
      <c r="D21" s="9" t="s">
        <v>49</v>
      </c>
    </row>
    <row r="22" customFormat="false" ht="15" hidden="false" customHeight="false" outlineLevel="0" collapsed="false">
      <c r="A22" s="7" t="s">
        <v>61</v>
      </c>
      <c r="B22" s="11" t="n">
        <v>0.06</v>
      </c>
      <c r="D22" s="9" t="s">
        <v>49</v>
      </c>
    </row>
    <row r="23" customFormat="false" ht="15" hidden="false" customHeight="false" outlineLevel="0" collapsed="false">
      <c r="A23" s="7" t="s">
        <v>62</v>
      </c>
      <c r="B23" s="12" t="n">
        <v>0.5</v>
      </c>
      <c r="D23" s="9" t="s">
        <v>49</v>
      </c>
    </row>
    <row r="24" customFormat="false" ht="15" hidden="false" customHeight="false" outlineLevel="0" collapsed="false">
      <c r="A24" s="7" t="s">
        <v>63</v>
      </c>
      <c r="B24" s="11" t="n">
        <v>0.12</v>
      </c>
      <c r="D24" s="9" t="s">
        <v>49</v>
      </c>
    </row>
    <row r="25" customFormat="false" ht="15" hidden="false" customHeight="false" outlineLevel="0" collapsed="false">
      <c r="A25" s="7" t="s">
        <v>64</v>
      </c>
      <c r="B25" s="11" t="n">
        <v>0.03</v>
      </c>
      <c r="D25" s="9" t="s">
        <v>49</v>
      </c>
    </row>
    <row r="26" customFormat="false" ht="15" hidden="false" customHeight="false" outlineLevel="0" collapsed="false">
      <c r="A26" s="7" t="s">
        <v>65</v>
      </c>
      <c r="B26" s="11" t="n">
        <v>0.015</v>
      </c>
      <c r="D26" s="9" t="s">
        <v>49</v>
      </c>
    </row>
    <row r="27" customFormat="false" ht="15" hidden="false" customHeight="false" outlineLevel="0" collapsed="false">
      <c r="A27" s="7" t="s">
        <v>66</v>
      </c>
      <c r="B27" s="12" t="n">
        <v>2.97</v>
      </c>
      <c r="D27" s="9" t="s">
        <v>49</v>
      </c>
    </row>
    <row r="28" customFormat="false" ht="15" hidden="false" customHeight="false" outlineLevel="0" collapsed="false">
      <c r="A28" s="7" t="s">
        <v>67</v>
      </c>
      <c r="B28" s="11" t="n">
        <v>0.02</v>
      </c>
      <c r="D28" s="9" t="s">
        <v>68</v>
      </c>
    </row>
    <row r="29" customFormat="false" ht="15" hidden="false" customHeight="false" outlineLevel="0" collapsed="false">
      <c r="A29" s="7" t="s">
        <v>69</v>
      </c>
      <c r="B29" s="13" t="n">
        <v>1</v>
      </c>
      <c r="D29" s="9" t="s">
        <v>70</v>
      </c>
    </row>
    <row r="31" customFormat="false" ht="31.5" hidden="false" customHeight="true" outlineLevel="0" collapsed="false">
      <c r="A31" s="14" t="s">
        <v>71</v>
      </c>
      <c r="B31" s="14"/>
      <c r="C31" s="14"/>
      <c r="D31" s="14"/>
    </row>
  </sheetData>
  <mergeCells count="1">
    <mergeCell ref="A31:D3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4" min="2" style="0" width="17"/>
    <col collapsed="false" customWidth="true" hidden="false" outlineLevel="0" max="5" min="5" style="0" width="44"/>
  </cols>
  <sheetData>
    <row r="1" customFormat="false" ht="17.35" hidden="false" customHeight="false" outlineLevel="0" collapsed="false">
      <c r="A1" s="5" t="s">
        <v>72</v>
      </c>
    </row>
    <row r="2" customFormat="false" ht="15" hidden="false" customHeight="false" outlineLevel="0" collapsed="false">
      <c r="A2" s="2" t="s">
        <v>73</v>
      </c>
    </row>
    <row r="4" customFormat="false" ht="30" hidden="false" customHeight="true" outlineLevel="0" collapsed="false">
      <c r="A4" s="6"/>
      <c r="B4" s="6" t="s">
        <v>33</v>
      </c>
      <c r="C4" s="6"/>
      <c r="D4" s="6"/>
      <c r="E4" s="6"/>
    </row>
    <row r="5" customFormat="false" ht="15" hidden="false" customHeight="false" outlineLevel="0" collapsed="false">
      <c r="A5" s="7" t="s">
        <v>35</v>
      </c>
      <c r="B5" s="15" t="n">
        <f aca="false">'1. The Inputs'!B5</f>
        <v>310</v>
      </c>
    </row>
    <row r="6" customFormat="false" ht="15" hidden="false" customHeight="false" outlineLevel="0" collapsed="false">
      <c r="A6" s="7" t="s">
        <v>74</v>
      </c>
      <c r="B6" s="16" t="n">
        <f aca="false">'1. The Inputs'!B6</f>
        <v>1.4</v>
      </c>
    </row>
    <row r="7" customFormat="false" ht="15" hidden="false" customHeight="false" outlineLevel="0" collapsed="false">
      <c r="A7" s="17" t="s">
        <v>75</v>
      </c>
      <c r="B7" s="18" t="n">
        <f aca="false">IFERROR(B5*B6,"")</f>
        <v>434</v>
      </c>
    </row>
    <row r="8" customFormat="false" ht="15" hidden="false" customHeight="false" outlineLevel="0" collapsed="false">
      <c r="A8" s="7" t="s">
        <v>76</v>
      </c>
      <c r="B8" s="15" t="n">
        <f aca="false">B7-B5</f>
        <v>124</v>
      </c>
    </row>
    <row r="11" customFormat="false" ht="30" hidden="false" customHeight="true" outlineLevel="0" collapsed="false">
      <c r="A11" s="6" t="s">
        <v>77</v>
      </c>
      <c r="B11" s="6" t="s">
        <v>78</v>
      </c>
      <c r="C11" s="6" t="s">
        <v>79</v>
      </c>
      <c r="D11" s="6" t="s">
        <v>80</v>
      </c>
      <c r="E11" s="6"/>
    </row>
    <row r="12" customFormat="false" ht="15" hidden="false" customHeight="false" outlineLevel="0" collapsed="false">
      <c r="A12" s="7" t="s">
        <v>81</v>
      </c>
      <c r="B12" s="19" t="n">
        <f aca="false">'1. The Inputs'!B7</f>
        <v>0.11</v>
      </c>
      <c r="C12" s="15" t="n">
        <f aca="false">IFERROR(B12*$B$5,"")</f>
        <v>34.1</v>
      </c>
      <c r="D12" s="15" t="n">
        <f aca="false">IFERROR(B12*$B$7,"")</f>
        <v>47.74</v>
      </c>
    </row>
    <row r="13" customFormat="false" ht="15" hidden="false" customHeight="false" outlineLevel="0" collapsed="false">
      <c r="A13" s="7" t="s">
        <v>82</v>
      </c>
      <c r="B13" s="19" t="n">
        <f aca="false">'1. The Inputs'!B8</f>
        <v>0.09</v>
      </c>
      <c r="C13" s="15" t="n">
        <f aca="false">IFERROR(B13*$B$5,"")</f>
        <v>27.9</v>
      </c>
      <c r="D13" s="15" t="n">
        <f aca="false">IFERROR(B13*$B$7,"")</f>
        <v>39.06</v>
      </c>
    </row>
    <row r="14" customFormat="false" ht="15" hidden="false" customHeight="false" outlineLevel="0" collapsed="false">
      <c r="A14" s="7" t="s">
        <v>83</v>
      </c>
      <c r="B14" s="19" t="n">
        <f aca="false">'1. The Inputs'!B9</f>
        <v>0.24</v>
      </c>
      <c r="C14" s="15" t="n">
        <f aca="false">IFERROR(B14*$B$5,"")</f>
        <v>74.4</v>
      </c>
      <c r="D14" s="15" t="n">
        <f aca="false">IFERROR(B14*$B$7,"")</f>
        <v>104.16</v>
      </c>
    </row>
    <row r="15" customFormat="false" ht="15" hidden="false" customHeight="false" outlineLevel="0" collapsed="false">
      <c r="A15" s="7" t="s">
        <v>84</v>
      </c>
      <c r="B15" s="19" t="n">
        <f aca="false">'1. The Inputs'!B10</f>
        <v>0.56</v>
      </c>
      <c r="C15" s="15" t="n">
        <f aca="false">IFERROR(B15*$B$5,"")</f>
        <v>173.6</v>
      </c>
      <c r="D15" s="15" t="n">
        <f aca="false">IFERROR(B15*$B$7,"")</f>
        <v>243.04</v>
      </c>
    </row>
    <row r="16" customFormat="false" ht="15" hidden="false" customHeight="false" outlineLevel="0" collapsed="false">
      <c r="A16" s="17" t="s">
        <v>85</v>
      </c>
      <c r="B16" s="20" t="n">
        <f aca="false">SUM(B12:B15)</f>
        <v>1</v>
      </c>
      <c r="C16" s="21" t="n">
        <f aca="false">SUM(C12:C15)</f>
        <v>310</v>
      </c>
      <c r="D16" s="21" t="n">
        <f aca="false">SUM(D12:D15)</f>
        <v>434</v>
      </c>
    </row>
    <row r="17" customFormat="false" ht="15" hidden="false" customHeight="false" outlineLevel="0" collapsed="false">
      <c r="A17" s="17" t="s">
        <v>86</v>
      </c>
      <c r="C17" s="18" t="n">
        <f aca="false">IFERROR($B$7-C16,"")</f>
        <v>124</v>
      </c>
      <c r="D17" s="18" t="n">
        <f aca="false">IFERROR($B$7-D16,"")</f>
        <v>0</v>
      </c>
      <c r="E17" s="9" t="str">
        <f aca="false">IF(ISERROR(C17),"",IF(ABS(D17)&lt;0.01,"the gross-asset reading closes; the NAV reading does not","CHECK"))</f>
        <v>the gross-asset reading closes; the NAV reading does not</v>
      </c>
    </row>
    <row r="19" customFormat="false" ht="43.5" hidden="false" customHeight="true" outlineLevel="0" collapsed="false">
      <c r="A19" s="14" t="s">
        <v>87</v>
      </c>
      <c r="B19" s="14"/>
      <c r="C19" s="14"/>
      <c r="D19" s="14"/>
      <c r="E19" s="14"/>
    </row>
    <row r="21" customFormat="false" ht="36" hidden="false" customHeight="true" outlineLevel="0" collapsed="false">
      <c r="A21" s="14" t="s">
        <v>88</v>
      </c>
      <c r="B21" s="14"/>
      <c r="C21" s="14"/>
      <c r="D21" s="14"/>
      <c r="E21" s="14"/>
    </row>
  </sheetData>
  <mergeCells count="2">
    <mergeCell ref="A19:E19"/>
    <mergeCell ref="A21:E2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3" min="2" style="0" width="16"/>
    <col collapsed="false" customWidth="true" hidden="false" outlineLevel="0" max="4" min="4" style="0" width="50"/>
  </cols>
  <sheetData>
    <row r="1" customFormat="false" ht="17.35" hidden="false" customHeight="false" outlineLevel="0" collapsed="false">
      <c r="A1" s="5" t="s">
        <v>89</v>
      </c>
    </row>
    <row r="2" customFormat="false" ht="15" hidden="false" customHeight="false" outlineLevel="0" collapsed="false">
      <c r="A2" s="2" t="s">
        <v>90</v>
      </c>
    </row>
    <row r="4" customFormat="false" ht="30" hidden="false" customHeight="true" outlineLevel="0" collapsed="false">
      <c r="A4" s="6" t="s">
        <v>91</v>
      </c>
      <c r="B4" s="6" t="s">
        <v>33</v>
      </c>
      <c r="C4" s="6"/>
      <c r="D4" s="6" t="s">
        <v>92</v>
      </c>
    </row>
    <row r="5" customFormat="false" ht="15" hidden="false" customHeight="false" outlineLevel="0" collapsed="false">
      <c r="A5" s="7" t="s">
        <v>81</v>
      </c>
      <c r="B5" s="15" t="n">
        <f aca="false">'2. The Bucket Basis'!D12</f>
        <v>47.74</v>
      </c>
      <c r="D5" s="9" t="s">
        <v>93</v>
      </c>
    </row>
    <row r="6" customFormat="false" ht="15" hidden="false" customHeight="false" outlineLevel="0" collapsed="false">
      <c r="A6" s="7" t="s">
        <v>94</v>
      </c>
      <c r="B6" s="15" t="n">
        <f aca="false">-'1. The Inputs'!B5*'1. The Inputs'!B26</f>
        <v>-4.65</v>
      </c>
      <c r="D6" s="9"/>
    </row>
    <row r="7" customFormat="false" ht="15" hidden="false" customHeight="false" outlineLevel="0" collapsed="false">
      <c r="A7" s="7" t="s">
        <v>95</v>
      </c>
      <c r="B7" s="15" t="n">
        <f aca="false">IFERROR(('2. The Bucket Basis'!D14+'2. The Bucket Basis'!D15)*'1. The Inputs'!B21/4*(1-'1. The Inputs'!B22),"")</f>
        <v>7.34328</v>
      </c>
      <c r="D7" s="9" t="s">
        <v>96</v>
      </c>
    </row>
    <row r="8" customFormat="false" ht="15" hidden="false" customHeight="false" outlineLevel="0" collapsed="false">
      <c r="A8" s="7" t="s">
        <v>97</v>
      </c>
      <c r="B8" s="15" t="n">
        <f aca="false">'1. The Inputs'!B23</f>
        <v>0.5</v>
      </c>
      <c r="D8" s="9"/>
    </row>
    <row r="9" customFormat="false" ht="15" hidden="false" customHeight="false" outlineLevel="0" collapsed="false">
      <c r="A9" s="7" t="s">
        <v>98</v>
      </c>
      <c r="B9" s="15" t="n">
        <f aca="false">IFERROR(('2. The Bucket Basis'!D14+'2. The Bucket Basis'!D15)*'1. The Inputs'!B25/4,"")</f>
        <v>2.604</v>
      </c>
      <c r="D9" s="9" t="s">
        <v>99</v>
      </c>
    </row>
    <row r="10" customFormat="false" ht="15" hidden="false" customHeight="false" outlineLevel="0" collapsed="false">
      <c r="A10" s="7" t="s">
        <v>100</v>
      </c>
      <c r="B10" s="15" t="n">
        <f aca="false">IFERROR('2. The Bucket Basis'!D13*(1-'1. The Inputs'!B13),"")</f>
        <v>36.7164</v>
      </c>
      <c r="D10" s="9" t="s">
        <v>101</v>
      </c>
    </row>
    <row r="11" customFormat="false" ht="15" hidden="false" customHeight="false" outlineLevel="0" collapsed="false">
      <c r="A11" s="7" t="s">
        <v>102</v>
      </c>
      <c r="B11" s="15" t="n">
        <f aca="false">IFERROR('2. The Bucket Basis'!D14*'1. The Inputs'!B15*(1-'1. The Inputs'!B14),"")</f>
        <v>35.83104</v>
      </c>
      <c r="D11" s="9"/>
    </row>
    <row r="12" customFormat="false" ht="15" hidden="false" customHeight="false" outlineLevel="0" collapsed="false">
      <c r="A12" s="7" t="s">
        <v>103</v>
      </c>
      <c r="B12" s="15" t="n">
        <f aca="false">IFERROR(-(B10+B11)*'1. The Inputs'!B16*'1. The Inputs'!B29,"")</f>
        <v>-36.27372</v>
      </c>
      <c r="D12" s="9" t="s">
        <v>104</v>
      </c>
    </row>
    <row r="13" customFormat="false" ht="15" hidden="false" customHeight="false" outlineLevel="0" collapsed="false">
      <c r="A13" s="17" t="s">
        <v>105</v>
      </c>
      <c r="B13" s="18" t="n">
        <f aca="false">SUM(B5:B12)</f>
        <v>89.811</v>
      </c>
      <c r="D13" s="9"/>
    </row>
    <row r="15" customFormat="false" ht="30" hidden="false" customHeight="true" outlineLevel="0" collapsed="false">
      <c r="A15" s="6" t="s">
        <v>106</v>
      </c>
      <c r="B15" s="6" t="s">
        <v>33</v>
      </c>
      <c r="C15" s="6"/>
      <c r="D15" s="6"/>
    </row>
    <row r="16" customFormat="false" ht="15" hidden="false" customHeight="false" outlineLevel="0" collapsed="false">
      <c r="A16" s="7" t="s">
        <v>107</v>
      </c>
      <c r="B16" s="15" t="n">
        <f aca="false">IFERROR('1. The Inputs'!B18*'1. The Inputs'!B19,"")</f>
        <v>17.1</v>
      </c>
      <c r="D16" s="9" t="s">
        <v>108</v>
      </c>
    </row>
    <row r="17" customFormat="false" ht="15" hidden="false" customHeight="false" outlineLevel="0" collapsed="false">
      <c r="A17" s="7" t="s">
        <v>109</v>
      </c>
      <c r="B17" s="15" t="n">
        <f aca="false">B36</f>
        <v>0</v>
      </c>
      <c r="D17" s="9" t="s">
        <v>110</v>
      </c>
    </row>
    <row r="18" customFormat="false" ht="15" hidden="false" customHeight="false" outlineLevel="0" collapsed="false">
      <c r="A18" s="7" t="s">
        <v>111</v>
      </c>
      <c r="B18" s="15" t="n">
        <f aca="false">'1. The Inputs'!B27</f>
        <v>2.97</v>
      </c>
      <c r="D18" s="9"/>
    </row>
    <row r="19" customFormat="false" ht="15" hidden="false" customHeight="false" outlineLevel="0" collapsed="false">
      <c r="A19" s="7" t="s">
        <v>112</v>
      </c>
      <c r="B19" s="15" t="n">
        <f aca="false">0</f>
        <v>0</v>
      </c>
      <c r="D19" s="9" t="s">
        <v>113</v>
      </c>
    </row>
    <row r="20" customFormat="false" ht="15" hidden="false" customHeight="false" outlineLevel="0" collapsed="false">
      <c r="A20" s="17" t="s">
        <v>114</v>
      </c>
      <c r="B20" s="18" t="n">
        <f aca="false">SUM(B16:B19)</f>
        <v>20.07</v>
      </c>
      <c r="D20" s="9"/>
    </row>
    <row r="22" customFormat="false" ht="15" hidden="false" customHeight="false" outlineLevel="0" collapsed="false">
      <c r="A22" s="17" t="s">
        <v>115</v>
      </c>
      <c r="B22" s="18" t="n">
        <f aca="false">B13-B20</f>
        <v>69.741</v>
      </c>
    </row>
    <row r="23" customFormat="false" ht="15" hidden="false" customHeight="false" outlineLevel="0" collapsed="false">
      <c r="A23" s="17" t="s">
        <v>116</v>
      </c>
      <c r="B23" s="22" t="n">
        <f aca="false">IFERROR(B22/'1. The Inputs'!B5,"")</f>
        <v>0.224970967741936</v>
      </c>
    </row>
    <row r="24" customFormat="false" ht="15" hidden="false" customHeight="false" outlineLevel="0" collapsed="false">
      <c r="A24" s="17" t="s">
        <v>117</v>
      </c>
      <c r="B24" s="20" t="n">
        <v>0.19</v>
      </c>
    </row>
    <row r="25" customFormat="false" ht="15" hidden="false" customHeight="false" outlineLevel="0" collapsed="false">
      <c r="A25" s="17" t="s">
        <v>118</v>
      </c>
      <c r="B25" s="23" t="n">
        <f aca="false">IFERROR(B23-B24,"")</f>
        <v>0.0349709677419355</v>
      </c>
    </row>
    <row r="27" customFormat="false" ht="43.5" hidden="false" customHeight="true" outlineLevel="0" collapsed="false">
      <c r="A27" s="14" t="s">
        <v>119</v>
      </c>
      <c r="B27" s="14"/>
      <c r="C27" s="14"/>
      <c r="D27" s="14"/>
    </row>
    <row r="29" customFormat="false" ht="15" hidden="false" customHeight="false" outlineLevel="0" collapsed="false">
      <c r="A29" s="6" t="s">
        <v>120</v>
      </c>
      <c r="B29" s="6" t="s">
        <v>33</v>
      </c>
    </row>
    <row r="30" customFormat="false" ht="15" hidden="false" customHeight="false" outlineLevel="0" collapsed="false">
      <c r="A30" s="7" t="s">
        <v>121</v>
      </c>
      <c r="B30" s="15" t="n">
        <f aca="false">'2. The Bucket Basis'!B8</f>
        <v>124</v>
      </c>
    </row>
    <row r="31" customFormat="false" ht="15" hidden="false" customHeight="false" outlineLevel="0" collapsed="false">
      <c r="A31" s="7" t="s">
        <v>122</v>
      </c>
      <c r="B31" s="15" t="n">
        <f aca="false">IFERROR('1. The Inputs'!B16*('2. The Bucket Basis'!D13+'2. The Bucket Basis'!D14+'2. The Bucket Basis'!D15),"")</f>
        <v>193.13</v>
      </c>
    </row>
    <row r="32" customFormat="false" ht="15" hidden="false" customHeight="false" outlineLevel="0" collapsed="false">
      <c r="A32" s="7" t="s">
        <v>123</v>
      </c>
      <c r="B32" s="15" t="n">
        <f aca="false">IFERROR(B31-B30,"")</f>
        <v>69.13</v>
      </c>
    </row>
    <row r="33" customFormat="false" ht="15" hidden="false" customHeight="false" outlineLevel="0" collapsed="false">
      <c r="A33" s="7" t="s">
        <v>124</v>
      </c>
      <c r="B33" s="15" t="n">
        <f aca="false">IFERROR(B30+B12,"")</f>
        <v>87.72628</v>
      </c>
    </row>
    <row r="34" customFormat="false" ht="15" hidden="false" customHeight="false" outlineLevel="0" collapsed="false">
      <c r="A34" s="7" t="s">
        <v>125</v>
      </c>
      <c r="B34" s="15" t="n">
        <f aca="false">IFERROR('2. The Bucket Basis'!D14*(1-'1. The Inputs'!B15)*(1-'1. The Inputs'!B14)+'2. The Bucket Basis'!D15*(1-'1. The Inputs'!B17),"")</f>
        <v>272.48256</v>
      </c>
    </row>
    <row r="35" customFormat="false" ht="15" hidden="false" customHeight="false" outlineLevel="0" collapsed="false">
      <c r="A35" s="7" t="s">
        <v>126</v>
      </c>
      <c r="B35" s="15" t="n">
        <f aca="false">IFERROR('1. The Inputs'!B16*B34,"")</f>
        <v>136.24128</v>
      </c>
    </row>
    <row r="36" customFormat="false" ht="15" hidden="false" customHeight="false" outlineLevel="0" collapsed="false">
      <c r="A36" s="17" t="s">
        <v>127</v>
      </c>
      <c r="B36" s="18" t="n">
        <f aca="false">IFERROR(MAX(0,B33-B35),"")</f>
        <v>0</v>
      </c>
    </row>
    <row r="37" customFormat="false" ht="15" hidden="false" customHeight="false" outlineLevel="0" collapsed="false">
      <c r="A37" s="24" t="s">
        <v>128</v>
      </c>
      <c r="B37" s="25" t="n">
        <f aca="false">IFERROR(('2. The Bucket Basis'!D14*(1-'1. The Inputs'!B15)*'1. The Inputs'!B14+'2. The Bucket Basis'!D15*'1. The Inputs'!B17)*'1. The Inputs'!B16,"")</f>
        <v>16.52672</v>
      </c>
    </row>
    <row r="38" customFormat="false" ht="15" hidden="false" customHeight="false" outlineLevel="0" collapsed="false">
      <c r="A38" s="7" t="s">
        <v>129</v>
      </c>
      <c r="B38" s="19" t="n">
        <f aca="false">IFERROR(B30/((B10+B11)*'1. The Inputs'!B29+B34),"")</f>
        <v>0.359389038634322</v>
      </c>
    </row>
    <row r="39" customFormat="false" ht="15" hidden="false" customHeight="false" outlineLevel="0" collapsed="false">
      <c r="A39" s="7" t="s">
        <v>130</v>
      </c>
      <c r="B39" s="19" t="n">
        <f aca="false">IFERROR(1-(B33/'1. The Inputs'!B16-'2. The Bucket Basis'!D14*(1-'1. The Inputs'!B15)*(1-'1. The Inputs'!B14))/'2. The Bucket Basis'!D15,"")</f>
        <v>0.499234693877551</v>
      </c>
    </row>
    <row r="40" customFormat="false" ht="15" hidden="false" customHeight="false" outlineLevel="0" collapsed="false">
      <c r="A40" s="7" t="s">
        <v>131</v>
      </c>
      <c r="B40" s="19" t="n">
        <f aca="false">IFERROR(B30/('2. The Bucket Basis'!D13+'2. The Bucket Basis'!D14+'2. The Bucket Basis'!D15),"")</f>
        <v>0.321027287319422</v>
      </c>
    </row>
  </sheetData>
  <mergeCells count="1">
    <mergeCell ref="A27:D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5" t="s">
        <v>132</v>
      </c>
    </row>
    <row r="2" customFormat="false" ht="15" hidden="false" customHeight="false" outlineLevel="0" collapsed="false">
      <c r="A2" s="2" t="s">
        <v>133</v>
      </c>
    </row>
    <row r="4" customFormat="false" ht="15" hidden="false" customHeight="false" outlineLevel="0" collapsed="false">
      <c r="A4" s="4" t="s">
        <v>134</v>
      </c>
    </row>
    <row r="5" customFormat="false" ht="30" hidden="false" customHeight="true" outlineLevel="0" collapsed="false">
      <c r="A5" s="6" t="s">
        <v>135</v>
      </c>
      <c r="B5" s="6" t="s">
        <v>136</v>
      </c>
      <c r="C5" s="6"/>
      <c r="D5" s="6"/>
      <c r="E5" s="6"/>
    </row>
    <row r="6" customFormat="false" ht="15" hidden="false" customHeight="false" outlineLevel="0" collapsed="false">
      <c r="A6" s="11" t="s">
        <v>137</v>
      </c>
      <c r="B6"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Inputs'!B14))*'1. The Inputs'!B16*0-('1. The Inputs'!B18*'1. The Inputs'!B19+MAX(0,'2. The Bucket Basis'!B8-('2. The Bucket Basis'!D13*(1-'1. The Inputs'!B13)+'2. The Bucket Basis'!D14*'1. The Inputs'!B15*(1-'1. The Inputs'!B14))*'1. The Inputs'!B16*0-'1. The Inputs'!B16*('2. The Bucket Basis'!D14*(1-'1. The Inputs'!B15)*(1-'1. The Inputs'!B14)+'2. The Bucket Basis'!D15*(1-'1. The Inputs'!B17)))+'1. The Inputs'!B27))/'1. The Inputs'!B5,"")</f>
        <v>0.341982967741936</v>
      </c>
      <c r="C6" s="9" t="s">
        <v>138</v>
      </c>
    </row>
    <row r="7" customFormat="false" ht="15" hidden="false" customHeight="false" outlineLevel="0" collapsed="false">
      <c r="A7" s="11" t="n">
        <v>0.33</v>
      </c>
      <c r="B7"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Inputs'!B14))*$A$7*'1. The Inputs'!B29-('1. The Inputs'!B18*'1. The Inputs'!B19+MAX(0,'2. The Bucket Basis'!B8-('2. The Bucket Basis'!D13*(1-'1. The Inputs'!B13)+'2. The Bucket Basis'!D14*'1. The Inputs'!B15*(1-'1. The Inputs'!B14))*$A$7*'1. The Inputs'!B29-$A$7*('2. The Bucket Basis'!D14*(1-'1. The Inputs'!B15)*(1-'1. The Inputs'!B14)+'2. The Bucket Basis'!D15*(1-'1. The Inputs'!B17)))+'1. The Inputs'!B27))/'1. The Inputs'!B5,"")</f>
        <v>0.232045047741936</v>
      </c>
      <c r="C7" s="26" t="s">
        <v>139</v>
      </c>
    </row>
    <row r="8" customFormat="false" ht="15" hidden="false" customHeight="false" outlineLevel="0" collapsed="false">
      <c r="A8" s="11" t="n">
        <v>0.4</v>
      </c>
      <c r="B8"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Inputs'!B14))*$A$8*'1. The Inputs'!B29-('1. The Inputs'!B18*'1. The Inputs'!B19+MAX(0,'2. The Bucket Basis'!B8-('2. The Bucket Basis'!D13*(1-'1. The Inputs'!B13)+'2. The Bucket Basis'!D14*'1. The Inputs'!B15*(1-'1. The Inputs'!B14))*$A$8*'1. The Inputs'!B29-$A$8*('2. The Bucket Basis'!D14*(1-'1. The Inputs'!B15)*(1-'1. The Inputs'!B14)+'2. The Bucket Basis'!D15*(1-'1. The Inputs'!B17)))+'1. The Inputs'!B27))/'1. The Inputs'!B5,"")</f>
        <v>0.248373367741936</v>
      </c>
    </row>
    <row r="9" customFormat="false" ht="15" hidden="false" customHeight="false" outlineLevel="0" collapsed="false">
      <c r="A9" s="11" t="n">
        <v>0.5</v>
      </c>
      <c r="B9" s="22"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Inputs'!B14))*$A$9*'1. The Inputs'!B29-('1. The Inputs'!B18*'1. The Inputs'!B19+MAX(0,'2. The Bucket Basis'!B8-('2. The Bucket Basis'!D13*(1-'1. The Inputs'!B13)+'2. The Bucket Basis'!D14*'1. The Inputs'!B15*(1-'1. The Inputs'!B14))*$A$9*'1. The Inputs'!B29-$A$9*('2. The Bucket Basis'!D14*(1-'1. The Inputs'!B15)*(1-'1. The Inputs'!B14)+'2. The Bucket Basis'!D15*(1-'1. The Inputs'!B17)))+'1. The Inputs'!B27))/'1. The Inputs'!B5,"")</f>
        <v>0.224970967741936</v>
      </c>
      <c r="C9" s="9" t="s">
        <v>140</v>
      </c>
    </row>
    <row r="10" customFormat="false" ht="15" hidden="false" customHeight="false" outlineLevel="0" collapsed="false">
      <c r="A10" s="11" t="n">
        <v>0.6</v>
      </c>
      <c r="B10"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Inputs'!B14))*$A$10*'1. The Inputs'!B29-('1. The Inputs'!B18*'1. The Inputs'!B19+MAX(0,'2. The Bucket Basis'!B8-('2. The Bucket Basis'!D13*(1-'1. The Inputs'!B13)+'2. The Bucket Basis'!D14*'1. The Inputs'!B15*(1-'1. The Inputs'!B14))*$A$10*'1. The Inputs'!B29-$A$10*('2. The Bucket Basis'!D14*(1-'1. The Inputs'!B15)*(1-'1. The Inputs'!B14)+'2. The Bucket Basis'!D15*(1-'1. The Inputs'!B17)))+'1. The Inputs'!B27))/'1. The Inputs'!B5,"")</f>
        <v>0.201568567741936</v>
      </c>
    </row>
    <row r="12" customFormat="false" ht="39.75" hidden="false" customHeight="true" outlineLevel="0" collapsed="false">
      <c r="A12" s="14" t="s">
        <v>141</v>
      </c>
      <c r="B12" s="14"/>
      <c r="C12" s="14"/>
      <c r="D12" s="14"/>
      <c r="E12" s="14"/>
    </row>
    <row r="15" customFormat="false" ht="15" hidden="false" customHeight="false" outlineLevel="0" collapsed="false">
      <c r="A15" s="4" t="s">
        <v>142</v>
      </c>
    </row>
    <row r="16" customFormat="false" ht="30" hidden="false" customHeight="true" outlineLevel="0" collapsed="false">
      <c r="A16" s="6" t="s">
        <v>143</v>
      </c>
      <c r="B16" s="6" t="s">
        <v>136</v>
      </c>
      <c r="C16" s="6" t="s">
        <v>144</v>
      </c>
      <c r="D16" s="6" t="s">
        <v>145</v>
      </c>
      <c r="E16" s="6"/>
    </row>
    <row r="17" customFormat="false" ht="15" hidden="false" customHeight="false" outlineLevel="0" collapsed="false">
      <c r="A17" s="8" t="n">
        <v>0</v>
      </c>
      <c r="B17"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Inputs'!B14))*'1. The Inputs'!B16*'1. The Inputs'!B29-($A$17*'1.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0.280132258064516</v>
      </c>
      <c r="C17" s="15" t="n">
        <f aca="false">IFERROR(A17*'1. The Inputs'!B19,"")</f>
        <v>0</v>
      </c>
      <c r="D17" s="19" t="n">
        <f aca="false">IFERROR(C17/'1. The Inputs'!B5,"")</f>
        <v>0</v>
      </c>
    </row>
    <row r="18" customFormat="false" ht="15" hidden="false" customHeight="false" outlineLevel="0" collapsed="false">
      <c r="A18" s="8" t="n">
        <v>20</v>
      </c>
      <c r="B18"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Inputs'!B14))*'1. The Inputs'!B16*'1. The Inputs'!B29-($A$18*'1.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0.2511</v>
      </c>
      <c r="C18" s="15" t="n">
        <f aca="false">IFERROR(A18*'1. The Inputs'!B19,"")</f>
        <v>9</v>
      </c>
      <c r="D18" s="19" t="n">
        <f aca="false">IFERROR(C18/'1. The Inputs'!B5,"")</f>
        <v>0.0290322580645161</v>
      </c>
    </row>
    <row r="19" customFormat="false" ht="15" hidden="false" customHeight="false" outlineLevel="0" collapsed="false">
      <c r="A19" s="8" t="n">
        <v>38</v>
      </c>
      <c r="B19" s="22"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Inputs'!B14))*'1. The Inputs'!B16*'1. The Inputs'!B29-($A$19*'1.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0.224970967741936</v>
      </c>
      <c r="C19" s="15" t="n">
        <f aca="false">IFERROR(A19*'1. The Inputs'!B19,"")</f>
        <v>17.1</v>
      </c>
      <c r="D19" s="19" t="n">
        <f aca="false">IFERROR(C19/'1. The Inputs'!B5,"")</f>
        <v>0.0551612903225807</v>
      </c>
    </row>
    <row r="20" customFormat="false" ht="15" hidden="false" customHeight="false" outlineLevel="0" collapsed="false">
      <c r="A20" s="8" t="n">
        <v>60</v>
      </c>
      <c r="B20" s="19" t="n">
        <f aca="false">IFERROR(('2. The Bucket Basis'!D12-'1. The Inputs'!B5*'1. The Inputs'!B26+('2. The Bucket Basis'!D14+'2. The Bucket Basis'!D15)*'1. The Inputs'!B21/4*(1-'1. The Inputs'!B22)+'1. The Inputs'!B23+('2. The Bucket Basis'!D14+'2. The Bucket Basis'!D15)*'1. The Inputs'!B25/4+('2. The Bucket Basis'!D13*(1-'1. The Inputs'!B13)+'2. The Bucket Basis'!D14*'1. The Inputs'!B15*(1-'1. The Inputs'!B14))-('2. The Bucket Basis'!D13*(1-'1. The Inputs'!B13)+'2. The Bucket Basis'!D14*'1. The Inputs'!B15*(1-'1. The Inputs'!B14))*'1. The Inputs'!B16*'1. The Inputs'!B29-($A$20*'1.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0.193035483870968</v>
      </c>
      <c r="C20" s="15" t="n">
        <f aca="false">IFERROR(A20*'1. The Inputs'!B19,"")</f>
        <v>27</v>
      </c>
      <c r="D20" s="19" t="n">
        <f aca="false">IFERROR(C20/'1. The Inputs'!B5,"")</f>
        <v>0.0870967741935484</v>
      </c>
    </row>
    <row r="22" customFormat="false" ht="15" hidden="false" customHeight="false" outlineLevel="0" collapsed="false">
      <c r="A22" s="17" t="s">
        <v>146</v>
      </c>
      <c r="D22" s="22" t="n">
        <f aca="false">'1. The Inputs'!B12</f>
        <v>0.04</v>
      </c>
      <c r="E22" s="9" t="str">
        <f aca="false">IF(ISERROR(D19),"",IF(D19&gt;D22,"the outflow is LARGER than the gate",""))</f>
        <v>the outflow is LARGER than the gate</v>
      </c>
    </row>
    <row r="24" customFormat="false" ht="36" hidden="false" customHeight="true" outlineLevel="0" collapsed="false">
      <c r="A24" s="14" t="s">
        <v>147</v>
      </c>
      <c r="B24" s="14"/>
      <c r="C24" s="14"/>
      <c r="D24" s="14"/>
      <c r="E24" s="14"/>
    </row>
    <row r="27" customFormat="false" ht="15" hidden="false" customHeight="false" outlineLevel="0" collapsed="false">
      <c r="A27" s="4" t="s">
        <v>148</v>
      </c>
    </row>
    <row r="28" customFormat="false" ht="30" hidden="false" customHeight="true" outlineLevel="0" collapsed="false">
      <c r="A28" s="6" t="s">
        <v>149</v>
      </c>
      <c r="B28" s="6" t="s">
        <v>136</v>
      </c>
      <c r="C28" s="6"/>
      <c r="D28" s="6"/>
    </row>
    <row r="29" customFormat="false" ht="15" hidden="false" customHeight="false" outlineLevel="0" collapsed="false">
      <c r="A29" s="11" t="n">
        <v>0</v>
      </c>
      <c r="B29" s="19" t="n">
        <f aca="false">IFERROR(('2. The Bucket Basis'!D12-'1. The Inputs'!B5*'1. The Inputs'!B26+('2. The Bucket Basis'!D14+'2. The Bucket Basis'!D15)*'1. The Inputs'!B21/4*(1-'1. The Inputs'!B22)+'1. The Inputs'!B23+('2. The Bucket Basis'!D14+'2. The Bucket Basis'!D15)*$A$29/4+('2. The Bucket Basis'!D13*(1-'1. The Inputs'!B13)+'2. The Bucket Basis'!D14*'1. The Inputs'!B15*(1-'1. The Inputs'!B14))-('2. The Bucket Basis'!D13*(1-'1. The Inputs'!B13)+'2. The Bucket Basis'!D14*'1. The Inputs'!B15*(1-'1. The Inputs'!B14))*'1. The Inputs'!B16*'1. The Inputs'!B29-('1. The Inputs'!B18*'1.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0.216570967741936</v>
      </c>
    </row>
    <row r="30" customFormat="false" ht="15" hidden="false" customHeight="false" outlineLevel="0" collapsed="false">
      <c r="A30" s="11" t="n">
        <v>0.03</v>
      </c>
      <c r="B30" s="22" t="n">
        <f aca="false">IFERROR(('2. The Bucket Basis'!D12-'1. The Inputs'!B5*'1. The Inputs'!B26+('2. The Bucket Basis'!D14+'2. The Bucket Basis'!D15)*'1. The Inputs'!B21/4*(1-'1. The Inputs'!B22)+'1. The Inputs'!B23+('2. The Bucket Basis'!D14+'2. The Bucket Basis'!D15)*$A$30/4+('2. The Bucket Basis'!D13*(1-'1. The Inputs'!B13)+'2. The Bucket Basis'!D14*'1. The Inputs'!B15*(1-'1. The Inputs'!B14))-('2. The Bucket Basis'!D13*(1-'1. The Inputs'!B13)+'2. The Bucket Basis'!D14*'1. The Inputs'!B15*(1-'1. The Inputs'!B14))*'1. The Inputs'!B16*'1. The Inputs'!B29-('1. The Inputs'!B18*'1.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0.224970967741936</v>
      </c>
    </row>
    <row r="31" customFormat="false" ht="15" hidden="false" customHeight="false" outlineLevel="0" collapsed="false">
      <c r="A31" s="11" t="n">
        <v>0.06</v>
      </c>
      <c r="B31" s="19" t="n">
        <f aca="false">IFERROR(('2. The Bucket Basis'!D12-'1. The Inputs'!B5*'1. The Inputs'!B26+('2. The Bucket Basis'!D14+'2. The Bucket Basis'!D15)*'1. The Inputs'!B21/4*(1-'1. The Inputs'!B22)+'1. The Inputs'!B23+('2. The Bucket Basis'!D14+'2. The Bucket Basis'!D15)*$A$31/4+('2. The Bucket Basis'!D13*(1-'1. The Inputs'!B13)+'2. The Bucket Basis'!D14*'1. The Inputs'!B15*(1-'1. The Inputs'!B14))-('2. The Bucket Basis'!D13*(1-'1. The Inputs'!B13)+'2. The Bucket Basis'!D14*'1. The Inputs'!B15*(1-'1. The Inputs'!B14))*'1. The Inputs'!B16*'1. The Inputs'!B29-('1. The Inputs'!B18*'1.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0.233370967741935</v>
      </c>
    </row>
    <row r="32" customFormat="false" ht="15" hidden="false" customHeight="false" outlineLevel="0" collapsed="false">
      <c r="A32" s="11" t="n">
        <v>0.12</v>
      </c>
      <c r="B32" s="19" t="n">
        <f aca="false">IFERROR(('2. The Bucket Basis'!D12-'1. The Inputs'!B5*'1. The Inputs'!B26+('2. The Bucket Basis'!D14+'2. The Bucket Basis'!D15)*'1. The Inputs'!B21/4*(1-'1. The Inputs'!B22)+'1. The Inputs'!B23+('2. The Bucket Basis'!D14+'2. The Bucket Basis'!D15)*$A$32/4+('2. The Bucket Basis'!D13*(1-'1. The Inputs'!B13)+'2. The Bucket Basis'!D14*'1. The Inputs'!B15*(1-'1. The Inputs'!B14))-('2. The Bucket Basis'!D13*(1-'1. The Inputs'!B13)+'2. The Bucket Basis'!D14*'1. The Inputs'!B15*(1-'1. The Inputs'!B14))*'1. The Inputs'!B16*'1. The Inputs'!B29-('1. The Inputs'!B18*'1.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0.250170967741936</v>
      </c>
    </row>
    <row r="33" customFormat="false" ht="15" hidden="false" customHeight="false" outlineLevel="0" collapsed="false">
      <c r="A33" s="11" t="s">
        <v>150</v>
      </c>
      <c r="B33" s="27" t="n">
        <f aca="false">IFERROR(('2. The Bucket Basis'!D12-'1. The Inputs'!B5*'1. The Inputs'!B26+('2. The Bucket Basis'!D14+'2. The Bucket Basis'!D15)*0+0+('2. The Bucket Basis'!D14+'2. The Bucket Basis'!D15)*0/4+('2. The Bucket Basis'!D13*(1-'1. The Inputs'!B13)+'2. The Bucket Basis'!D14*'1. The Inputs'!B15*(1-'1. The Inputs'!B14))-('2. The Bucket Basis'!D13*(1-'1. The Inputs'!B13)+'2. The Bucket Basis'!D14*'1. The Inputs'!B15*(1-'1. The Inputs'!B14))*'1. The Inputs'!B16*'1. The Inputs'!B29-('1. The Inputs'!B18*'1. The Inputs'!B19+MAX(0,'2. The Bucket Basis'!B8-('2. The Bucket Basis'!D13*(1-'1. The Inputs'!B13)+'2. The Bucket Basis'!D14*'1. The Inputs'!B15*(1-'1. The Inputs'!B14))*'1. The Inputs'!B16*'1. The Inputs'!B29-'1. The Inputs'!B16*('2. The Bucket Basis'!D14*(1-'1. The Inputs'!B15)*(1-'1. The Inputs'!B14)+'2. The Bucket Basis'!D15*(1-'1. The Inputs'!B17)))+'1. The Inputs'!B27))/'1. The Inputs'!B5,"")</f>
        <v>0.191270064516129</v>
      </c>
      <c r="C33" s="26" t="s">
        <v>151</v>
      </c>
    </row>
    <row r="34" customFormat="false" ht="39.75" hidden="false" customHeight="true" outlineLevel="0" collapsed="false">
      <c r="A34" s="14" t="s">
        <v>152</v>
      </c>
      <c r="B34" s="14"/>
      <c r="C34" s="14"/>
      <c r="D34" s="14"/>
    </row>
  </sheetData>
  <mergeCells count="3">
    <mergeCell ref="A12:E12"/>
    <mergeCell ref="A24:E24"/>
    <mergeCell ref="A34:D3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4" min="2" style="0" width="16"/>
    <col collapsed="false" customWidth="true" hidden="false" outlineLevel="0" max="5" min="5" style="0" width="44"/>
  </cols>
  <sheetData>
    <row r="1" customFormat="false" ht="17.35" hidden="false" customHeight="false" outlineLevel="0" collapsed="false">
      <c r="A1" s="5" t="s">
        <v>153</v>
      </c>
    </row>
    <row r="2" customFormat="false" ht="15" hidden="false" customHeight="false" outlineLevel="0" collapsed="false">
      <c r="A2" s="2" t="s">
        <v>154</v>
      </c>
    </row>
    <row r="4" customFormat="false" ht="30" hidden="false" customHeight="true" outlineLevel="0" collapsed="false">
      <c r="A4" s="6" t="s">
        <v>155</v>
      </c>
      <c r="B4" s="6" t="s">
        <v>156</v>
      </c>
      <c r="C4" s="6"/>
      <c r="D4" s="6"/>
      <c r="E4" s="6"/>
    </row>
    <row r="5" customFormat="false" ht="15" hidden="false" customHeight="false" outlineLevel="0" collapsed="false">
      <c r="A5" s="11" t="n">
        <v>0</v>
      </c>
      <c r="B5" s="22" t="n">
        <f aca="false">IFERROR((('2. The Bucket Basis'!D12-'1. The Inputs'!B5*'1. The Inputs'!B26+('2. The Bucket Basis'!D14+'2. The Bucket Basis'!D15)*'1. The Inputs'!B21/4+'1. The Inputs'!B23+('2. The Bucket Basis'!D14+'2. The Bucket Basis'!D15)*'1. The Inputs'!B24/4+'2. The Bucket Basis'!D13*(1-'1. The Inputs'!B28)+'2. The Bucket Basis'!D14*$A$5*(1-'1. The Inputs'!B11)-('2. The Bucket Basis'!D13*(1-'1. The Inputs'!B28)+'2. The Bucket Basis'!D14*$A$5*(1-'1. The Inputs'!B11))*'1. The Inputs'!B16*'1. The Inputs'!B29)-('1. The Inputs'!B18*'1. The Inputs'!B20+'1. The Inputs'!B27))/'1. The Inputs'!B5,"")</f>
        <v>0.233185161290323</v>
      </c>
      <c r="C5" s="9" t="s">
        <v>157</v>
      </c>
    </row>
    <row r="6" customFormat="false" ht="15" hidden="false" customHeight="false" outlineLevel="0" collapsed="false">
      <c r="A6" s="11" t="n">
        <v>0.2</v>
      </c>
      <c r="B6" s="19" t="n">
        <f aca="false">IFERROR((('2. The Bucket Basis'!D12-'1. The Inputs'!B5*'1. The Inputs'!B26+('2. The Bucket Basis'!D14+'2. The Bucket Basis'!D15)*'1. The Inputs'!B21/4+'1. The Inputs'!B23+('2. The Bucket Basis'!D14+'2. The Bucket Basis'!D15)*'1. The Inputs'!B24/4+'2. The Bucket Basis'!D13*(1-'1. The Inputs'!B28)+'2. The Bucket Basis'!D14*$A$6*(1-'1. The Inputs'!B11)-('2. The Bucket Basis'!D13*(1-'1. The Inputs'!B28)+'2. The Bucket Basis'!D14*$A$6*(1-'1. The Inputs'!B11))*'1. The Inputs'!B16*'1. The Inputs'!B29)-('1. The Inputs'!B18*'1. The Inputs'!B20+'1. The Inputs'!B27))/'1. The Inputs'!B5,"")</f>
        <v>0.264937161290323</v>
      </c>
    </row>
    <row r="7" customFormat="false" ht="15" hidden="false" customHeight="false" outlineLevel="0" collapsed="false">
      <c r="A7" s="11" t="n">
        <v>0.4</v>
      </c>
      <c r="B7" s="19" t="n">
        <f aca="false">IFERROR((('2. The Bucket Basis'!D12-'1. The Inputs'!B5*'1. The Inputs'!B26+('2. The Bucket Basis'!D14+'2. The Bucket Basis'!D15)*'1. The Inputs'!B21/4+'1. The Inputs'!B23+('2. The Bucket Basis'!D14+'2. The Bucket Basis'!D15)*'1. The Inputs'!B24/4+'2. The Bucket Basis'!D13*(1-'1. The Inputs'!B28)+'2. The Bucket Basis'!D14*$A$7*(1-'1. The Inputs'!B11)-('2. The Bucket Basis'!D13*(1-'1. The Inputs'!B28)+'2. The Bucket Basis'!D14*$A$7*(1-'1. The Inputs'!B11))*'1. The Inputs'!B16*'1. The Inputs'!B29)-('1. The Inputs'!B18*'1. The Inputs'!B20+'1. The Inputs'!B27))/'1. The Inputs'!B5,"")</f>
        <v>0.296689161290323</v>
      </c>
    </row>
    <row r="8" customFormat="false" ht="15" hidden="false" customHeight="false" outlineLevel="0" collapsed="false">
      <c r="A8" s="11" t="n">
        <v>1</v>
      </c>
      <c r="B8" s="19" t="n">
        <f aca="false">IFERROR((('2. The Bucket Basis'!D12-'1. The Inputs'!B5*'1. The Inputs'!B26+('2. The Bucket Basis'!D14+'2. The Bucket Basis'!D15)*'1. The Inputs'!B21/4+'1. The Inputs'!B23+('2. The Bucket Basis'!D14+'2. The Bucket Basis'!D15)*'1. The Inputs'!B24/4+'2. The Bucket Basis'!D13*(1-'1. The Inputs'!B28)+'2. The Bucket Basis'!D14*$A$8*(1-'1. The Inputs'!B11)-('2. The Bucket Basis'!D13*(1-'1. The Inputs'!B28)+'2. The Bucket Basis'!D14*$A$8*(1-'1. The Inputs'!B11))*'1. The Inputs'!B16*'1. The Inputs'!B29)-('1. The Inputs'!B18*'1. The Inputs'!B20+'1. The Inputs'!B27))/'1. The Inputs'!B5,"")</f>
        <v>0.391945161290323</v>
      </c>
      <c r="C8" s="9" t="s">
        <v>158</v>
      </c>
    </row>
    <row r="10" customFormat="false" ht="15" hidden="false" customHeight="false" outlineLevel="0" collapsed="false">
      <c r="A10" s="17" t="s">
        <v>117</v>
      </c>
      <c r="B10" s="20" t="n">
        <v>0.08</v>
      </c>
    </row>
    <row r="11" customFormat="false" ht="15" hidden="false" customHeight="false" outlineLevel="0" collapsed="false">
      <c r="A11" s="17" t="s">
        <v>159</v>
      </c>
      <c r="B11" s="22" t="n">
        <f aca="false">B5</f>
        <v>0.233185161290323</v>
      </c>
    </row>
    <row r="12" customFormat="false" ht="15" hidden="false" customHeight="false" outlineLevel="0" collapsed="false">
      <c r="A12" s="17" t="s">
        <v>160</v>
      </c>
      <c r="B12" s="28" t="n">
        <f aca="false">IFERROR(B11/B10,"")</f>
        <v>2.91481451612903</v>
      </c>
    </row>
    <row r="14" customFormat="false" ht="39.75" hidden="false" customHeight="true" outlineLevel="0" collapsed="false">
      <c r="A14" s="14" t="s">
        <v>161</v>
      </c>
      <c r="B14" s="14"/>
      <c r="C14" s="14"/>
      <c r="D14" s="14"/>
      <c r="E14" s="14"/>
    </row>
    <row r="16" customFormat="false" ht="43.5" hidden="false" customHeight="true" outlineLevel="0" collapsed="false">
      <c r="A16" s="14" t="s">
        <v>162</v>
      </c>
      <c r="B16" s="14"/>
      <c r="C16" s="14"/>
      <c r="D16" s="14"/>
      <c r="E16" s="14"/>
    </row>
  </sheetData>
  <mergeCells count="2">
    <mergeCell ref="A14:E14"/>
    <mergeCell ref="A16:E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4"/>
    <col collapsed="false" customWidth="true" hidden="false" outlineLevel="0" max="3" min="2" style="0" width="16"/>
    <col collapsed="false" customWidth="true" hidden="false" outlineLevel="0" max="4" min="4" style="0" width="46"/>
  </cols>
  <sheetData>
    <row r="1" customFormat="false" ht="17.35" hidden="false" customHeight="false" outlineLevel="0" collapsed="false">
      <c r="A1" s="5" t="s">
        <v>163</v>
      </c>
    </row>
    <row r="2" customFormat="false" ht="15" hidden="false" customHeight="false" outlineLevel="0" collapsed="false">
      <c r="A2" s="2" t="s">
        <v>164</v>
      </c>
    </row>
    <row r="4" customFormat="false" ht="30" hidden="false" customHeight="true" outlineLevel="0" collapsed="false">
      <c r="A4" s="6"/>
      <c r="B4" s="6" t="s">
        <v>33</v>
      </c>
      <c r="C4" s="6"/>
      <c r="D4" s="6" t="s">
        <v>165</v>
      </c>
    </row>
    <row r="5" customFormat="false" ht="15" hidden="false" customHeight="false" outlineLevel="0" collapsed="false">
      <c r="A5" s="7" t="s">
        <v>166</v>
      </c>
      <c r="B5" s="19" t="n">
        <f aca="false">'3. The Waterfall'!B23</f>
        <v>0.224970967741936</v>
      </c>
      <c r="D5" s="9" t="s">
        <v>167</v>
      </c>
    </row>
    <row r="6" customFormat="false" ht="15" hidden="false" customHeight="false" outlineLevel="0" collapsed="false">
      <c r="A6" s="7" t="s">
        <v>168</v>
      </c>
      <c r="B6" s="19" t="n">
        <f aca="false">'1. The Inputs'!B12</f>
        <v>0.04</v>
      </c>
      <c r="D6" s="9" t="s">
        <v>169</v>
      </c>
    </row>
    <row r="7" customFormat="false" ht="15" hidden="false" customHeight="false" outlineLevel="0" collapsed="false">
      <c r="A7" s="17" t="s">
        <v>170</v>
      </c>
      <c r="B7" s="22" t="n">
        <f aca="false">IFERROR(B5-B6,"")</f>
        <v>0.184970967741936</v>
      </c>
      <c r="D7" s="9" t="s">
        <v>171</v>
      </c>
    </row>
    <row r="10" customFormat="false" ht="15" hidden="false" customHeight="false" outlineLevel="0" collapsed="false">
      <c r="A10" s="4" t="s">
        <v>172</v>
      </c>
    </row>
    <row r="11" customFormat="false" ht="30" hidden="false" customHeight="true" outlineLevel="0" collapsed="false">
      <c r="A11" s="6" t="s">
        <v>173</v>
      </c>
      <c r="B11" s="6" t="s">
        <v>174</v>
      </c>
      <c r="C11" s="6" t="s">
        <v>175</v>
      </c>
      <c r="D11" s="6"/>
    </row>
    <row r="12" customFormat="false" ht="15" hidden="false" customHeight="false" outlineLevel="0" collapsed="false">
      <c r="A12" s="7" t="s">
        <v>176</v>
      </c>
      <c r="B12" s="9" t="s">
        <v>177</v>
      </c>
      <c r="C12" s="29" t="n">
        <f aca="false">IFERROR(ABS('4. What Moves It'!B31-'4. What Moves It'!B29)/2*100,"")</f>
        <v>0.839999999999999</v>
      </c>
    </row>
    <row r="13" customFormat="false" ht="15" hidden="false" customHeight="false" outlineLevel="0" collapsed="false">
      <c r="A13" s="7" t="s">
        <v>135</v>
      </c>
      <c r="B13" s="9" t="s">
        <v>178</v>
      </c>
      <c r="C13" s="29" t="n">
        <f aca="false">IFERROR(ABS('4. What Moves It'!B10-'4. What Moves It'!B8)/2*100,"")</f>
        <v>2.34024</v>
      </c>
    </row>
    <row r="14" customFormat="false" ht="15" hidden="false" customHeight="false" outlineLevel="0" collapsed="false">
      <c r="A14" s="7" t="s">
        <v>143</v>
      </c>
      <c r="B14" s="9" t="s">
        <v>179</v>
      </c>
      <c r="C14" s="29" t="n">
        <f aca="false">IFERROR(ABS('4. What Moves It'!B20-'4. What Moves It'!B18)/2*100,"")</f>
        <v>2.90322580645161</v>
      </c>
    </row>
    <row r="15" customFormat="false" ht="15" hidden="false" customHeight="false" outlineLevel="0" collapsed="false">
      <c r="A15" s="17" t="s">
        <v>180</v>
      </c>
      <c r="C15" s="30" t="n">
        <f aca="false">IFERROR(SQRT(SUMPRODUCT(C12:C14,C12:C14)),"")</f>
        <v>3.82243944894443</v>
      </c>
    </row>
    <row r="17" customFormat="false" ht="15" hidden="false" customHeight="false" outlineLevel="0" collapsed="false">
      <c r="A17" s="17" t="s">
        <v>181</v>
      </c>
      <c r="B17" s="22" t="n">
        <f aca="false">B5</f>
        <v>0.224970967741936</v>
      </c>
      <c r="C17" s="20" t="n">
        <f aca="false">IFERROR(C15/100,"")</f>
        <v>0.0382243944894443</v>
      </c>
    </row>
    <row r="18" customFormat="false" ht="15" hidden="false" customHeight="false" outlineLevel="0" collapsed="false">
      <c r="A18" s="17" t="s">
        <v>182</v>
      </c>
      <c r="B18" s="20" t="n">
        <f aca="false">IFERROR(B5-2*C15/100,"")</f>
        <v>0.148522178763047</v>
      </c>
      <c r="C18" s="20" t="n">
        <f aca="false">IFERROR(B5+2*C15/100,"")</f>
        <v>0.301419756720824</v>
      </c>
    </row>
    <row r="19" customFormat="false" ht="15" hidden="false" customHeight="false" outlineLevel="0" collapsed="false">
      <c r="A19" s="17" t="s">
        <v>183</v>
      </c>
      <c r="B19" s="20" t="n">
        <v>0.19</v>
      </c>
      <c r="D19" s="9" t="str">
        <f aca="false">IF(ISERROR(B18),"",IF(AND(B19&gt;=B18,B19&lt;=C18),"inside the interval — the book is corroborated","outside"))</f>
        <v>inside the interval — the book is corroborated</v>
      </c>
    </row>
    <row r="21" customFormat="false" ht="15" hidden="false" customHeight="false" outlineLevel="0" collapsed="false">
      <c r="A21" s="17" t="s">
        <v>184</v>
      </c>
      <c r="B21" s="31" t="n">
        <f aca="false">IFERROR(B6/B5,"")</f>
        <v>0.17780071980614</v>
      </c>
    </row>
    <row r="22" customFormat="false" ht="15" hidden="false" customHeight="false" outlineLevel="0" collapsed="false">
      <c r="A22" s="17" t="s">
        <v>185</v>
      </c>
      <c r="B22" s="32" t="n">
        <f aca="false">IFERROR((B5-B6)/(C15/100),"")</f>
        <v>4.83908169671636</v>
      </c>
      <c r="D22" s="9" t="str">
        <f aca="false">IF(ISERROR(B22),"",IF(B22&gt;2,"""meaningfully below"" is satisfied",""))</f>
        <v>"meaningfully below" is satisfied</v>
      </c>
    </row>
    <row r="24" customFormat="false" ht="51.75" hidden="false" customHeight="true" outlineLevel="0" collapsed="false">
      <c r="A24" s="14" t="s">
        <v>186</v>
      </c>
      <c r="B24" s="14"/>
      <c r="C24" s="14"/>
      <c r="D24" s="14"/>
    </row>
  </sheetData>
  <mergeCells count="1">
    <mergeCell ref="A24:D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15"/>
    <col collapsed="false" customWidth="true" hidden="false" outlineLevel="0" max="5" min="4" style="0" width="20"/>
  </cols>
  <sheetData>
    <row r="1" customFormat="false" ht="17.35" hidden="false" customHeight="false" outlineLevel="0" collapsed="false">
      <c r="A1" s="5" t="s">
        <v>187</v>
      </c>
    </row>
    <row r="2" customFormat="false" ht="15" hidden="false" customHeight="false" outlineLevel="0" collapsed="false">
      <c r="A2" s="2" t="s">
        <v>188</v>
      </c>
    </row>
    <row r="4" customFormat="false" ht="30" hidden="false" customHeight="true" outlineLevel="0" collapsed="false">
      <c r="A4" s="6" t="s">
        <v>189</v>
      </c>
      <c r="B4" s="6" t="s">
        <v>190</v>
      </c>
      <c r="C4" s="6" t="s">
        <v>191</v>
      </c>
      <c r="D4" s="6" t="s">
        <v>192</v>
      </c>
      <c r="E4" s="6" t="s">
        <v>193</v>
      </c>
    </row>
    <row r="5" customFormat="false" ht="15" hidden="false" customHeight="false" outlineLevel="0" collapsed="false">
      <c r="A5" s="7" t="s">
        <v>194</v>
      </c>
      <c r="B5" s="15" t="n">
        <v>434</v>
      </c>
      <c r="C5" s="15" t="n">
        <f aca="false">'2. The Bucket Basis'!B7</f>
        <v>434</v>
      </c>
      <c r="D5" s="33" t="str">
        <f aca="false">IF(ISERROR(C5),"CHECK",IF(ABS(C5-B5)&lt;=0.5,"OK","CHECK"))</f>
        <v>OK</v>
      </c>
      <c r="E5" s="9" t="s">
        <v>195</v>
      </c>
    </row>
    <row r="6" customFormat="false" ht="15" hidden="false" customHeight="false" outlineLevel="0" collapsed="false">
      <c r="A6" s="7" t="s">
        <v>76</v>
      </c>
      <c r="B6" s="15" t="n">
        <v>124</v>
      </c>
      <c r="C6" s="15" t="n">
        <f aca="false">'2. The Bucket Basis'!B8</f>
        <v>124</v>
      </c>
      <c r="D6" s="33" t="str">
        <f aca="false">IF(ISERROR(C6),"CHECK",IF(ABS(C6-B6)&lt;=0.5,"OK","CHECK"))</f>
        <v>OK</v>
      </c>
      <c r="E6" s="9" t="s">
        <v>195</v>
      </c>
    </row>
    <row r="7" customFormat="false" ht="15" hidden="false" customHeight="false" outlineLevel="0" collapsed="false">
      <c r="A7" s="7" t="s">
        <v>196</v>
      </c>
      <c r="B7" s="15" t="n">
        <v>47.74</v>
      </c>
      <c r="C7" s="15" t="n">
        <f aca="false">'2. The Bucket Basis'!D12</f>
        <v>47.74</v>
      </c>
      <c r="D7" s="33" t="str">
        <f aca="false">IF(ISERROR(C7),"CHECK",IF(ABS(C7-B7)&lt;=0.05,"OK","CHECK"))</f>
        <v>OK</v>
      </c>
      <c r="E7" s="9" t="s">
        <v>197</v>
      </c>
    </row>
    <row r="8" customFormat="false" ht="15" hidden="false" customHeight="false" outlineLevel="0" collapsed="false">
      <c r="A8" s="7" t="s">
        <v>198</v>
      </c>
      <c r="B8" s="15" t="n">
        <v>104.16</v>
      </c>
      <c r="C8" s="15" t="n">
        <f aca="false">'2. The Bucket Basis'!D14</f>
        <v>104.16</v>
      </c>
      <c r="D8" s="33" t="str">
        <f aca="false">IF(ISERROR(C8),"CHECK",IF(ABS(C8-B8)&lt;=0.05,"OK","CHECK"))</f>
        <v>OK</v>
      </c>
      <c r="E8" s="9" t="s">
        <v>197</v>
      </c>
    </row>
    <row r="9" customFormat="false" ht="15" hidden="false" customHeight="false" outlineLevel="0" collapsed="false">
      <c r="A9" s="7" t="s">
        <v>199</v>
      </c>
      <c r="B9" s="15" t="n">
        <v>124</v>
      </c>
      <c r="C9" s="15" t="n">
        <f aca="false">'2. The Bucket Basis'!C17</f>
        <v>124</v>
      </c>
      <c r="D9" s="33" t="str">
        <f aca="false">IF(ISERROR(C9),"CHECK",IF(ABS(C9-B9)&lt;=0.5,"OK","CHECK"))</f>
        <v>OK</v>
      </c>
      <c r="E9" s="9" t="s">
        <v>195</v>
      </c>
    </row>
    <row r="10" customFormat="false" ht="15" hidden="false" customHeight="false" outlineLevel="0" collapsed="false">
      <c r="A10" s="7" t="s">
        <v>200</v>
      </c>
      <c r="B10" s="15" t="n">
        <v>0</v>
      </c>
      <c r="C10" s="15" t="n">
        <f aca="false">'2. The Bucket Basis'!D17</f>
        <v>0</v>
      </c>
      <c r="D10" s="33" t="str">
        <f aca="false">IF(ISERROR(C10),"CHECK",IF(ABS(C10-B10)&lt;=0.01,"OK","CHECK"))</f>
        <v>OK</v>
      </c>
      <c r="E10" s="9" t="s">
        <v>201</v>
      </c>
    </row>
    <row r="11" customFormat="false" ht="15" hidden="false" customHeight="false" outlineLevel="0" collapsed="false">
      <c r="A11" s="7" t="s">
        <v>202</v>
      </c>
      <c r="B11" s="15" t="n">
        <v>89.81</v>
      </c>
      <c r="C11" s="15" t="n">
        <f aca="false">'3. The Waterfall'!B13</f>
        <v>89.811</v>
      </c>
      <c r="D11" s="33" t="str">
        <f aca="false">IF(ISERROR(C11),"CHECK",IF(ABS(C11-B11)&lt;=0.3,"OK","CHECK"))</f>
        <v>OK</v>
      </c>
      <c r="E11" s="9" t="s">
        <v>203</v>
      </c>
    </row>
    <row r="12" customFormat="false" ht="15" hidden="false" customHeight="false" outlineLevel="0" collapsed="false">
      <c r="A12" s="7" t="s">
        <v>109</v>
      </c>
      <c r="B12" s="15" t="n">
        <v>0</v>
      </c>
      <c r="C12" s="15" t="n">
        <f aca="false">'3. The Waterfall'!B17</f>
        <v>0</v>
      </c>
      <c r="D12" s="33" t="str">
        <f aca="false">IF(ISERROR(C12),"CHECK",IF(ABS(C12-B12)&lt;=0.1,"OK","CHECK"))</f>
        <v>OK</v>
      </c>
      <c r="E12" s="9" t="s">
        <v>204</v>
      </c>
    </row>
    <row r="13" customFormat="false" ht="15" hidden="false" customHeight="false" outlineLevel="0" collapsed="false">
      <c r="A13" s="7" t="s">
        <v>205</v>
      </c>
      <c r="B13" s="15" t="n">
        <v>17.1</v>
      </c>
      <c r="C13" s="15" t="n">
        <f aca="false">'3. The Waterfall'!B16</f>
        <v>17.1</v>
      </c>
      <c r="D13" s="33" t="str">
        <f aca="false">IF(ISERROR(C13),"CHECK",IF(ABS(C13-B13)&lt;=0.05,"OK","CHECK"))</f>
        <v>OK</v>
      </c>
      <c r="E13" s="9" t="s">
        <v>197</v>
      </c>
    </row>
    <row r="14" customFormat="false" ht="15" hidden="false" customHeight="false" outlineLevel="0" collapsed="false">
      <c r="A14" s="7" t="s">
        <v>206</v>
      </c>
      <c r="B14" s="15" t="n">
        <v>69.74</v>
      </c>
      <c r="C14" s="15" t="n">
        <f aca="false">'3. The Waterfall'!B22</f>
        <v>69.741</v>
      </c>
      <c r="D14" s="33" t="str">
        <f aca="false">IF(ISERROR(C14),"CHECK",IF(ABS(C14-B14)&lt;=0.3,"OK","CHECK"))</f>
        <v>OK</v>
      </c>
      <c r="E14" s="9" t="s">
        <v>207</v>
      </c>
    </row>
    <row r="15" customFormat="false" ht="15" hidden="false" customHeight="false" outlineLevel="0" collapsed="false">
      <c r="A15" s="7" t="s">
        <v>208</v>
      </c>
      <c r="B15" s="34" t="n">
        <v>0.225</v>
      </c>
      <c r="C15" s="34" t="n">
        <f aca="false">'3. The Waterfall'!B23</f>
        <v>0.224970967741936</v>
      </c>
      <c r="D15" s="33" t="str">
        <f aca="false">IF(ISERROR(C15),"CHECK",IF(ABS(C15-B15)&lt;=0.002,"OK","CHECK"))</f>
        <v>OK</v>
      </c>
      <c r="E15" s="9" t="s">
        <v>209</v>
      </c>
    </row>
    <row r="16" customFormat="false" ht="15" hidden="false" customHeight="false" outlineLevel="0" collapsed="false">
      <c r="A16" s="7" t="s">
        <v>210</v>
      </c>
      <c r="B16" s="34" t="n">
        <v>0.342</v>
      </c>
      <c r="C16" s="34" t="n">
        <f aca="false">'4. What Moves It'!B6</f>
        <v>0.341982967741936</v>
      </c>
      <c r="D16" s="33" t="str">
        <f aca="false">IF(ISERROR(C16),"CHECK",IF(ABS(C16-B16)&lt;=0.003,"OK","CHECK"))</f>
        <v>OK</v>
      </c>
      <c r="E16" s="9" t="s">
        <v>211</v>
      </c>
    </row>
    <row r="17" customFormat="false" ht="15" hidden="false" customHeight="false" outlineLevel="0" collapsed="false">
      <c r="A17" s="7" t="s">
        <v>212</v>
      </c>
      <c r="B17" s="34" t="n">
        <v>0.2801</v>
      </c>
      <c r="C17" s="34" t="n">
        <f aca="false">'4. What Moves It'!B17</f>
        <v>0.280132258064516</v>
      </c>
      <c r="D17" s="33" t="str">
        <f aca="false">IF(ISERROR(C17),"CHECK",IF(ABS(C17-B17)&lt;=0.003,"OK","CHECK"))</f>
        <v>OK</v>
      </c>
      <c r="E17" s="9" t="s">
        <v>213</v>
      </c>
    </row>
    <row r="18" customFormat="false" ht="15" hidden="false" customHeight="false" outlineLevel="0" collapsed="false">
      <c r="A18" s="7" t="s">
        <v>214</v>
      </c>
      <c r="B18" s="34" t="n">
        <v>0.0552</v>
      </c>
      <c r="C18" s="34" t="n">
        <f aca="false">'4. What Moves It'!D19</f>
        <v>0.0551612903225807</v>
      </c>
      <c r="D18" s="33" t="str">
        <f aca="false">IF(ISERROR(C18),"CHECK",IF(ABS(C18-B18)&lt;=0.001,"OK","CHECK"))</f>
        <v>OK</v>
      </c>
      <c r="E18" s="9" t="s">
        <v>215</v>
      </c>
    </row>
    <row r="19" customFormat="false" ht="15" hidden="false" customHeight="false" outlineLevel="0" collapsed="false">
      <c r="A19" s="7" t="s">
        <v>216</v>
      </c>
      <c r="B19" s="34" t="n">
        <v>0.2332</v>
      </c>
      <c r="C19" s="34" t="n">
        <f aca="false">'5. Ordinary Conditions'!B5</f>
        <v>0.233185161290323</v>
      </c>
      <c r="D19" s="33" t="str">
        <f aca="false">IF(ISERROR(C19),"CHECK",IF(ABS(C19-B19)&lt;=0.003,"OK","CHECK"))</f>
        <v>OK</v>
      </c>
      <c r="E19" s="9" t="s">
        <v>217</v>
      </c>
    </row>
    <row r="20" customFormat="false" ht="15" hidden="false" customHeight="false" outlineLevel="0" collapsed="false">
      <c r="A20" s="7" t="s">
        <v>218</v>
      </c>
      <c r="B20" s="34" t="n">
        <v>0.3919</v>
      </c>
      <c r="C20" s="34" t="n">
        <f aca="false">'5. Ordinary Conditions'!B8</f>
        <v>0.391945161290323</v>
      </c>
      <c r="D20" s="33" t="str">
        <f aca="false">IF(ISERROR(C20),"CHECK",IF(ABS(C20-B20)&lt;=0.003,"OK","CHECK"))</f>
        <v>OK</v>
      </c>
      <c r="E20" s="9" t="s">
        <v>219</v>
      </c>
    </row>
    <row r="21" customFormat="false" ht="15" hidden="false" customHeight="false" outlineLevel="0" collapsed="false">
      <c r="A21" s="7" t="s">
        <v>220</v>
      </c>
      <c r="B21" s="29" t="n">
        <v>3.82</v>
      </c>
      <c r="C21" s="29" t="n">
        <f aca="false">'6. The One Line'!C15</f>
        <v>3.82243944894443</v>
      </c>
      <c r="D21" s="33" t="str">
        <f aca="false">IF(ISERROR(C21),"CHECK",IF(ABS(C21-B21)&lt;=0.3,"OK","CHECK"))</f>
        <v>OK</v>
      </c>
      <c r="E21" s="9" t="s">
        <v>221</v>
      </c>
    </row>
    <row r="22" customFormat="false" ht="15" hidden="false" customHeight="false" outlineLevel="0" collapsed="false">
      <c r="A22" s="7" t="s">
        <v>222</v>
      </c>
      <c r="B22" s="34" t="n">
        <v>0.185</v>
      </c>
      <c r="C22" s="34" t="n">
        <f aca="false">'6. The One Line'!B7</f>
        <v>0.184970967741936</v>
      </c>
      <c r="D22" s="33" t="str">
        <f aca="false">IF(ISERROR(C22),"CHECK",IF(ABS(C22-B22)&lt;=0.002,"OK","CHECK"))</f>
        <v>OK</v>
      </c>
      <c r="E22" s="9" t="s">
        <v>223</v>
      </c>
    </row>
    <row r="23" customFormat="false" ht="15" hidden="false" customHeight="false" outlineLevel="0" collapsed="false">
      <c r="A23" s="7" t="s">
        <v>224</v>
      </c>
      <c r="B23" s="16" t="n">
        <v>0.178</v>
      </c>
      <c r="C23" s="16" t="n">
        <f aca="false">'6. The One Line'!B21</f>
        <v>0.17780071980614</v>
      </c>
      <c r="D23" s="33" t="str">
        <f aca="false">IF(ISERROR(C23),"CHECK",IF(ABS(C23-B23)&lt;=0.005,"OK","CHECK"))</f>
        <v>OK</v>
      </c>
      <c r="E23" s="9" t="s">
        <v>225</v>
      </c>
    </row>
    <row r="24" customFormat="false" ht="15" hidden="false" customHeight="false" outlineLevel="0" collapsed="false">
      <c r="A24" s="7" t="s">
        <v>226</v>
      </c>
      <c r="B24" s="29" t="n">
        <v>4.84</v>
      </c>
      <c r="C24" s="29" t="n">
        <f aca="false">'6. The One Line'!B22</f>
        <v>4.83908169671636</v>
      </c>
      <c r="D24" s="33" t="str">
        <f aca="false">IF(ISERROR(C24),"CHECK",IF(ABS(C24-B24)&lt;=0.2,"OK","CHECK"))</f>
        <v>OK</v>
      </c>
      <c r="E24" s="9" t="s">
        <v>227</v>
      </c>
    </row>
    <row r="25" customFormat="false" ht="15" hidden="false" customHeight="false" outlineLevel="0" collapsed="false">
      <c r="A25" s="17" t="s">
        <v>228</v>
      </c>
      <c r="B25" s="19" t="n">
        <v>1</v>
      </c>
      <c r="C25" s="19" t="n">
        <f aca="false">'2. The Bucket Basis'!B16</f>
        <v>1</v>
      </c>
      <c r="D25" s="33" t="str">
        <f aca="false">IF(ISERROR(C25),"CHECK",IF(ABS(C25-1)&lt;0.0001,"OK","CHECK"))</f>
        <v>OK</v>
      </c>
      <c r="E25" s="9" t="s">
        <v>40</v>
      </c>
    </row>
    <row r="26" customFormat="false" ht="15" hidden="false" customHeight="false" outlineLevel="0" collapsed="false">
      <c r="A26" s="17" t="s">
        <v>229</v>
      </c>
      <c r="B26" s="15" t="n">
        <v>434</v>
      </c>
      <c r="C26" s="15" t="n">
        <f aca="false">IFERROR('1. The Inputs'!B5*'1. The Inputs'!B6,"")</f>
        <v>434</v>
      </c>
      <c r="D26" s="33" t="str">
        <f aca="false">IF(ISERROR(C26),"CHECK",IF(ABS(C26-B26)&lt;0.5,"OK","CHECK"))</f>
        <v>OK</v>
      </c>
      <c r="E26" s="9" t="s">
        <v>36</v>
      </c>
    </row>
    <row r="27" customFormat="false" ht="15" hidden="false" customHeight="false" outlineLevel="0" collapsed="false">
      <c r="A27" s="17" t="s">
        <v>230</v>
      </c>
      <c r="C27" s="35" t="n">
        <f aca="false">IFERROR(IF(AND(0.19&gt;='6. The One Line'!B18,0.19&lt;='6. The One Line'!C18),1,0),"")</f>
        <v>1</v>
      </c>
      <c r="D27" s="33" t="str">
        <f aca="false">IF(ISERROR(C27),"CHECK",IF(C27=1,"OK","CHECK"))</f>
        <v>OK</v>
      </c>
      <c r="E27" s="9" t="s">
        <v>231</v>
      </c>
    </row>
    <row r="28" customFormat="false" ht="15" hidden="false" customHeight="false" outlineLevel="0" collapsed="false">
      <c r="A28" s="17" t="s">
        <v>232</v>
      </c>
      <c r="C28" s="35" t="n">
        <f aca="false">IFERROR(IF('4. What Moves It'!D19&gt;'1. The Inputs'!B12,1,0),"")</f>
        <v>1</v>
      </c>
      <c r="D28" s="33" t="str">
        <f aca="false">IF(ISERROR(C28),"CHECK",IF(C28=1,"OK","CHECK"))</f>
        <v>OK</v>
      </c>
      <c r="E28" s="9" t="s">
        <v>233</v>
      </c>
    </row>
    <row r="29" customFormat="false" ht="15" hidden="false" customHeight="false" outlineLevel="0" collapsed="false">
      <c r="A29" s="17" t="s">
        <v>234</v>
      </c>
      <c r="C29" s="35" t="n">
        <f aca="false">IFERROR(IF('5. Ordinary Conditions'!B5&gt;0.08,1,0),"")</f>
        <v>1</v>
      </c>
      <c r="D29" s="33" t="str">
        <f aca="false">IF(ISERROR(C29),"CHECK",IF(C29=1,"OK","CHECK"))</f>
        <v>OK</v>
      </c>
      <c r="E29" s="9" t="s">
        <v>235</v>
      </c>
    </row>
    <row r="30" customFormat="false" ht="15" hidden="false" customHeight="false" outlineLevel="0" collapsed="false">
      <c r="A30" s="17" t="s">
        <v>236</v>
      </c>
      <c r="B30" s="36" t="n">
        <v>69.13</v>
      </c>
      <c r="C30" s="36" t="n">
        <f aca="false">'3. The Waterfall'!B32</f>
        <v>69.13</v>
      </c>
      <c r="D30" s="33" t="str">
        <f aca="false">IF(ISERROR(C30),"CHECK",IF(ABS(C30-B30)&lt;=0.01,"OK","CHECK"))</f>
        <v>OK</v>
      </c>
      <c r="E30" s="9" t="s">
        <v>201</v>
      </c>
    </row>
    <row r="31" customFormat="false" ht="15" hidden="false" customHeight="false" outlineLevel="0" collapsed="false">
      <c r="A31" s="17" t="s">
        <v>237</v>
      </c>
      <c r="B31" s="36" t="n">
        <v>87.73</v>
      </c>
      <c r="C31" s="36" t="n">
        <f aca="false">'3. The Waterfall'!B33</f>
        <v>87.72628</v>
      </c>
      <c r="D31" s="33" t="str">
        <f aca="false">IF(ISERROR(C31),"CHECK",IF(ABS(C31-B31)&lt;=0.01,"OK","CHECK"))</f>
        <v>OK</v>
      </c>
      <c r="E31" s="9" t="s">
        <v>201</v>
      </c>
    </row>
    <row r="32" customFormat="false" ht="15" hidden="false" customHeight="false" outlineLevel="0" collapsed="false">
      <c r="A32" s="17" t="s">
        <v>238</v>
      </c>
      <c r="B32" s="34" t="n">
        <v>0.3594</v>
      </c>
      <c r="C32" s="34" t="n">
        <f aca="false">'3. The Waterfall'!B38</f>
        <v>0.359389038634322</v>
      </c>
      <c r="D32" s="33" t="str">
        <f aca="false">IF(ISERROR(C32),"CHECK",IF(ABS(C32-B32)&lt;=0.0005,"OK","CHECK"))</f>
        <v>OK</v>
      </c>
      <c r="E32" s="9" t="s">
        <v>239</v>
      </c>
    </row>
    <row r="33" customFormat="false" ht="15" hidden="false" customHeight="false" outlineLevel="0" collapsed="false">
      <c r="A33" s="17" t="s">
        <v>240</v>
      </c>
      <c r="B33" s="34" t="n">
        <v>0.4992</v>
      </c>
      <c r="C33" s="34" t="n">
        <f aca="false">'3. The Waterfall'!B39</f>
        <v>0.499234693877551</v>
      </c>
      <c r="D33" s="33" t="str">
        <f aca="false">IF(ISERROR(C33),"CHECK",IF(ABS(C33-B33)&lt;=0.0005,"OK","CHECK"))</f>
        <v>OK</v>
      </c>
      <c r="E33" s="9" t="s">
        <v>239</v>
      </c>
    </row>
    <row r="34" customFormat="false" ht="15" hidden="false" customHeight="false" outlineLevel="0" collapsed="false">
      <c r="A34" s="17" t="s">
        <v>241</v>
      </c>
      <c r="B34" s="37" t="n">
        <v>0.84</v>
      </c>
      <c r="C34" s="37" t="n">
        <f aca="false">'6. The One Line'!C12</f>
        <v>0.839999999999999</v>
      </c>
      <c r="D34" s="33" t="str">
        <f aca="false">IF(ISERROR(C34),"CHECK",IF(ABS(C34-B34)&lt;=0.005,"OK","CHECK"))</f>
        <v>OK</v>
      </c>
      <c r="E34" s="9" t="s">
        <v>242</v>
      </c>
    </row>
    <row r="35" customFormat="false" ht="15" hidden="false" customHeight="false" outlineLevel="0" collapsed="false">
      <c r="A35" s="17" t="s">
        <v>243</v>
      </c>
      <c r="B35" s="37" t="n">
        <v>3.37</v>
      </c>
      <c r="C35" s="37" t="n">
        <f aca="false">('3. The Waterfall'!B23-'4. What Moves It'!B33)*100</f>
        <v>3.37009032258065</v>
      </c>
      <c r="D35" s="33" t="str">
        <f aca="false">IF(ISERROR(C35),"CHECK",IF(ABS(C35-B35)&lt;=0.01,"OK","CHECK"))</f>
        <v>OK</v>
      </c>
      <c r="E35" s="9" t="s">
        <v>201</v>
      </c>
    </row>
    <row r="36" customFormat="false" ht="15" hidden="false" customHeight="false" outlineLevel="0" collapsed="false">
      <c r="A36" s="17" t="s">
        <v>244</v>
      </c>
      <c r="B36" s="37" t="n">
        <v>0</v>
      </c>
      <c r="C36" s="37" t="n">
        <f aca="false">'3. The Waterfall'!B13-'3. The Waterfall'!B20-'3. The Waterfall'!B22</f>
        <v>0</v>
      </c>
      <c r="D36" s="33" t="str">
        <f aca="false">IF(ISERROR(C36),"CHECK",IF(ABS(C36-B36)&lt;=0.000000001,"OK","CHECK"))</f>
        <v>OK</v>
      </c>
      <c r="E36" s="9" t="s">
        <v>245</v>
      </c>
    </row>
    <row r="38" customFormat="false" ht="15" hidden="false" customHeight="false" outlineLevel="0" collapsed="false">
      <c r="A38" s="17" t="s">
        <v>246</v>
      </c>
      <c r="B38" s="38" t="n">
        <f aca="false">COUNTA(D5:D36)</f>
        <v>32</v>
      </c>
      <c r="C38" s="38" t="n">
        <f aca="false">COUNTIF(D5:D36,"OK")</f>
        <v>32</v>
      </c>
      <c r="D38" s="39" t="str">
        <f aca="false">IF(C38=B38,"ALL PASS","SOME FAIL")</f>
        <v>ALL PASS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2026-08-22T11:39:02Z</dcterms:created>
  <dc:creator>openpyxl</dc:creator>
  <dc:description/>
  <dc:language>en-US</dc:language>
  <cp:lastModifiedBy/>
  <dcterms:modified xsi:type="dcterms:W3CDTF">2026-09-24T00:43:17Z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