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Engine" sheetId="3" state="visible" r:id="rId5"/>
    <sheet name="Smoothing" sheetId="4" state="visible" r:id="rId6"/>
    <sheet name="Smoothing Range" sheetId="5" state="visible" r:id="rId7"/>
    <sheet name="Fees" sheetId="6" state="visible" r:id="rId8"/>
    <sheet name="The Exit" sheetId="7" state="visible" r:id="rId9"/>
    <sheet name="Fees and Exit Detail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<sst xmlns="http://schemas.openxmlformats.org/spreadsheetml/2006/main" count="618" uniqueCount="365">
  <si>
    <t xml:space="preserve">Smoothing, Fees and the Exit</t>
  </si>
  <si>
    <t xml:space="preserve">Companion workbook 4 to Alternative Investments, by Julian R. Sterling</t>
  </si>
  <si>
    <t xml:space="preserve">What this workbook is</t>
  </si>
  <si>
    <t xml:space="preserve">Three things the reported figures do not tell you: what the risk statistics are worth once the valuations are unsmoothed, what the whole fee load came to in money, and what an early exit from the residual would cost.</t>
  </si>
  <si>
    <t xml:space="preserve">The experiment to run first</t>
  </si>
  <si>
    <t xml:space="preserve">On the Inputs sheet, move the smoothing coefficient from 0.0000 to 0.6000 and watch the beta on the Smoothing sheet. The portfolio volatility barely moves, so the diversification case survives; the beta moves by a factor of ten, and the beta is what the allocation model is solved on.</t>
  </si>
  <si>
    <t xml:space="preserve">On the coefficient</t>
  </si>
  <si>
    <t xml:space="preserve">It is the only judgement in the calculation. The measured value from ten annual observations is shown beside the one in use, and ten observations cannot pin it down. That is a reason to present a range in a risk report, not a reason to skip the exercise.</t>
  </si>
  <si>
    <t xml:space="preserve">The Checks sheet reproduces every figure the book prints from this workbook's own formulas. If a check ever reads FAIL, the workbook is wrong, not the book.</t>
  </si>
  <si>
    <t xml:space="preserve">Revised 24 September 2026</t>
  </si>
  <si>
    <t xml:space="preserve">Every check now passes to half a unit of the last printed digit. The printed 5.4849, 7.6174 and 81.9603 are at the measured coefficient before rounding (0.524485); at the 0.5245 typed on the Inputs sheet the model gives 5.4851, 7.6178 and 81.9591. New sheets: Smoothing Range (the table across coefficients 0.00 to 0.60, the variant that leaves Year 1 out, and a roll-forward showing the reported series is a series of marks, not the fund's path) and Fees and Exit Detail (94.49 per cent of the management fee falls in the first five years, not two thirds; shares on the unrounded 169.0625; the foundation keeps 349.00 after its own layer; a 30 per cent discount costs 0.3286 points, not 0.3285).</t>
  </si>
  <si>
    <t xml:space="preserve">Thornbury — inputs</t>
  </si>
  <si>
    <t xml:space="preserve">Blue cells on a yellow fill are inputs. Everything else in this workbook is a formula.</t>
  </si>
  <si>
    <t xml:space="preserve">The foundation and the programme</t>
  </si>
  <si>
    <t xml:space="preserve">Total assets of the foundation</t>
  </si>
  <si>
    <t xml:space="preserve">Target allocation to alternatives</t>
  </si>
  <si>
    <t xml:space="preserve">Capital set aside for the sleeve</t>
  </si>
  <si>
    <t xml:space="preserve">Commitment to the programme</t>
  </si>
  <si>
    <t xml:space="preserve">Residual net asset value, end of Year 10</t>
  </si>
  <si>
    <t xml:space="preserve">Fees and the benchmark</t>
  </si>
  <si>
    <t xml:space="preserve">Management fee rate</t>
  </si>
  <si>
    <t xml:space="preserve">Carried interest</t>
  </si>
  <si>
    <t xml:space="preserve">Advisory and administration layer</t>
  </si>
  <si>
    <t xml:space="preserve">Beta for the leverage-matched index</t>
  </si>
  <si>
    <t xml:space="preserve">Funding rate for the levered index</t>
  </si>
  <si>
    <t xml:space="preserve">Smoothing coefficient</t>
  </si>
  <si>
    <t xml:space="preserve">Ten years, per cent and millions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</si>
  <si>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</si>
  <si>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</si>
  <si>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</si>
  <si>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</si>
  <si>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</si>
  <si>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</si>
  <si>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</si>
  <si>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</si>
  <si>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</si>
  <si>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</si>
  <si>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Listed index return, %</t>
  </si>
  <si>
    <t xml:space="preserve">Cash return, %</t>
  </si>
  <si>
    <t xml:space="preserve">Capital calls</t>
  </si>
  <si>
    <t xml:space="preserve">Distributions</t>
  </si>
  <si>
    <t xml:space="preserve">Reported sleeve return, %</t>
  </si>
  <si>
    <t xml:space="preserve">Move a call or a distribution to another year and every number in this workbook moves.</t>
  </si>
  <si>
    <t xml:space="preserve">The engine</t>
  </si>
  <si>
    <t xml:space="preserve">The fund's flows, the sleeve on both idle policies, and the capital actually at work.</t>
  </si>
  <si>
    <t xml:space="preserve">Fund net flow (distributions less calls)</t>
  </si>
  <si>
    <t xml:space="preserve">Net capital at work, cumulative</t>
  </si>
  <si>
    <t xml:space="preserve">The sleeve, uncalled commitment held in CASH</t>
  </si>
  <si>
    <t xml:space="preserve">Balance after the flows</t>
  </si>
  <si>
    <t xml:space="preserve">Return earned on the balance</t>
  </si>
  <si>
    <t xml:space="preserve">Balance</t>
  </si>
  <si>
    <t xml:space="preserve">The sleeve, uncalled commitment held in the LISTED INDEX</t>
  </si>
  <si>
    <t xml:space="preserve">Compounding factors to the end of Year 10</t>
  </si>
  <si>
    <t xml:space="preserve">At the index</t>
  </si>
  <si>
    <t xml:space="preserve">At the leverage-matched index</t>
  </si>
  <si>
    <t xml:space="preserve">Totals</t>
  </si>
  <si>
    <t xml:space="preserve">Capital called</t>
  </si>
  <si>
    <t xml:space="preserve">Distributed</t>
  </si>
  <si>
    <t xml:space="preserve">Uncalled commitment</t>
  </si>
  <si>
    <t xml:space="preserve">Terminal value, cash policy</t>
  </si>
  <si>
    <t xml:space="preserve">Terminal value, index policy</t>
  </si>
  <si>
    <t xml:space="preserve">Peak net capital at work</t>
  </si>
  <si>
    <t xml:space="preserve">What the reported risk figures are worth</t>
  </si>
  <si>
    <t xml:space="preserve">Valuations are produced, not observed. Measure the persistence, then reverse it.</t>
  </si>
  <si>
    <t xml:space="preserve">Unsmoothed at the coefficient below, %</t>
  </si>
  <si>
    <t xml:space="preserve">The statistics</t>
  </si>
  <si>
    <t xml:space="preserve">Measured first-order autocorrelation</t>
  </si>
  <si>
    <t xml:space="preserve">Coefficient used below (an input)</t>
  </si>
  <si>
    <t xml:space="preserve">Reported</t>
  </si>
  <si>
    <t xml:space="preserve">Unsmoothed</t>
  </si>
  <si>
    <t xml:space="preserve">Factor</t>
  </si>
  <si>
    <t xml:space="preserve">Volatility of the sleeve</t>
  </si>
  <si>
    <t xml:space="preserve">Correlation with the index</t>
  </si>
  <si>
    <t xml:space="preserve">Beta to the index</t>
  </si>
  <si>
    <t xml:space="preserve">What it does to the portfolio</t>
  </si>
  <si>
    <t xml:space="preserve">Volatility of the listed index</t>
  </si>
  <si>
    <t xml:space="preserve">Portfolio volatility on the reported figures</t>
  </si>
  <si>
    <t xml:space="preserve">Portfolio volatility after unsmoothing</t>
  </si>
  <si>
    <t xml:space="preserve">Risk reduction claimed</t>
  </si>
  <si>
    <t xml:space="preserve">Risk reduction after unsmoothing</t>
  </si>
  <si>
    <t xml:space="preserve">Share of the claimed reduction that survives</t>
  </si>
  <si>
    <t xml:space="preserve">The diversification is largely real. The beta is not: it enters the allocation model at a</t>
  </si>
  <si>
    <t xml:space="preserve">small fraction of a defensible estimate, and the model is solved on the beta.</t>
  </si>
  <si>
    <t xml:space="preserve">The smoothing coefficient across its range, and what the reported series is</t>
  </si>
  <si>
    <t xml:space="preserve">Chapter 13 and Appendix A. The coefficients in column B of the table are steps, not inputs.</t>
  </si>
  <si>
    <t xml:space="preserve">At the measured coefficient, unrounded (the figures the book prints)</t>
  </si>
  <si>
    <t xml:space="preserve">Measured first-order autocorrelation, unrounded</t>
  </si>
  <si>
    <t xml:space="preserve">Unsmoothed return, per cent (Year 1 kept as reported, as the model does)</t>
  </si>
  <si>
    <t xml:space="preserve">Volatility</t>
  </si>
  <si>
    <t xml:space="preserve">Beta</t>
  </si>
  <si>
    <t xml:space="preserve">  factor on the reported beta</t>
  </si>
  <si>
    <t xml:space="preserve">  factor on the reported volatility</t>
  </si>
  <si>
    <t xml:space="preserve">Portfolio volatility, 70/30</t>
  </si>
  <si>
    <t xml:space="preserve">Risk reduction</t>
  </si>
  <si>
    <t xml:space="preserve">  share of the claimed reduction that survives</t>
  </si>
  <si>
    <t xml:space="preserve">Variance of the 70/30 portfolio on the reported figures, per cent squared</t>
  </si>
  <si>
    <t xml:space="preserve">revised: Chapter 13 prints 54.5643</t>
  </si>
  <si>
    <t xml:space="preserve">At the 0.5245 typed on the Inputs sheet the same lines give 5.4851, 0.3098, 0.1639, 7.9250 and 81.9591: the book printed the unrounded coefficient's figures.</t>
  </si>
  <si>
    <t xml:space="preserve">Variant, Year 1 left out of the unsmoothed series: volatility</t>
  </si>
  <si>
    <t xml:space="preserve">new: Chapter 13 says the first year drops out; the model keeps it</t>
  </si>
  <si>
    <t xml:space="preserve">  correlation</t>
  </si>
  <si>
    <t xml:space="preserve">  beta</t>
  </si>
  <si>
    <t xml:space="preserve">The two worked years (Chapter 13, at the 0.5245 on the Inputs sheet)</t>
  </si>
  <si>
    <t xml:space="preserve">Year 2, unsmoothed</t>
  </si>
  <si>
    <t xml:space="preserve">Year 8, unsmoothed</t>
  </si>
  <si>
    <t xml:space="preserve">the book prints -1.9287, rounding 5.71705 first</t>
  </si>
  <si>
    <t xml:space="preserve">The coefficient across its range (Chapter 13 and Appendix A)</t>
  </si>
  <si>
    <t xml:space="preserve">Unsmoothed series</t>
  </si>
  <si>
    <t xml:space="preserve">Coefficient</t>
  </si>
  <si>
    <t xml:space="preserve">at the coefficient</t>
  </si>
  <si>
    <t xml:space="preserve">Statistics</t>
  </si>
  <si>
    <t xml:space="preserve">Correlation</t>
  </si>
  <si>
    <t xml:space="preserve">Portfolio vol.</t>
  </si>
  <si>
    <t xml:space="preserve">How much ten observations can say</t>
  </si>
  <si>
    <t xml:space="preserve">Rough standard error of the autocorrelation, one over the square root of n</t>
  </si>
  <si>
    <t xml:space="preserve">Two standard errors below the measured coefficient</t>
  </si>
  <si>
    <t xml:space="preserve">Two standard errors above</t>
  </si>
  <si>
    <t xml:space="preserve">Smallest risk reduction in the table, as a share of the claimed one</t>
  </si>
  <si>
    <t xml:space="preserve">The two series side by side (Chapter 12)</t>
  </si>
  <si>
    <t xml:space="preserve">Index, arithmetic mean, per cent</t>
  </si>
  <si>
    <t xml:space="preserve">Reported series, arithmetic mean, per cent</t>
  </si>
  <si>
    <t xml:space="preserve">Index, highest less lowest</t>
  </si>
  <si>
    <t xml:space="preserve">Reported, highest less lowest</t>
  </si>
  <si>
    <t xml:space="preserve">  ratio of the two spreads</t>
  </si>
  <si>
    <t xml:space="preserve">  ratio of the two volatilities</t>
  </si>
  <si>
    <t xml:space="preserve">Difference column, highest less lowest</t>
  </si>
  <si>
    <t xml:space="preserve">Is the reported series the fund's? Roll the programme forward on it</t>
  </si>
  <si>
    <t xml:space="preserve">Value held, flows at the start of each year, grown at the reported return</t>
  </si>
  <si>
    <t xml:space="preserve">Value left at the end of Year 10 on the reported returns</t>
  </si>
  <si>
    <t xml:space="preserve">against a residual of 143</t>
  </si>
  <si>
    <t xml:space="preserve">Reported series, compound annual rate</t>
  </si>
  <si>
    <t xml:space="preserve">Net flow, residual at the end of Year 10 (t = 0 to 10)</t>
  </si>
  <si>
    <t xml:space="preserve">Constant return that carries the flows to the residual of 143</t>
  </si>
  <si>
    <t xml:space="preserve">The ten reported returns are a series of marks, not the fund's own path: rolled forward on the programme's calls and distributions they leave 64.44,</t>
  </si>
  <si>
    <t xml:space="preserve">not 143. The risk statistics use their shape, which is what Chapter 13 needs; their level should not be read as the fund's return.</t>
  </si>
  <si>
    <t xml:space="preserve">The load, at two levels</t>
  </si>
  <si>
    <t xml:space="preserve">Management fee, carried interest, and the layer charged on the whole sleeve.</t>
  </si>
  <si>
    <t xml:space="preserve">Fee base (commitment, then invested capital)</t>
  </si>
  <si>
    <t xml:space="preserve">Management fee</t>
  </si>
  <si>
    <t xml:space="preserve">The total</t>
  </si>
  <si>
    <t xml:space="preserve">Management fees over ten years</t>
  </si>
  <si>
    <t xml:space="preserve">Net gain on the sleeve</t>
  </si>
  <si>
    <t xml:space="preserve">Carried interest implied by the net gain</t>
  </si>
  <si>
    <t xml:space="preserve">Total load</t>
  </si>
  <si>
    <t xml:space="preserve">Load as a share of the net gain</t>
  </si>
  <si>
    <t xml:space="preserve">Implied gross gain</t>
  </si>
  <si>
    <t xml:space="preserve">Load as an annual rate on the sleeve</t>
  </si>
  <si>
    <t xml:space="preserve">Load as an annual rate on the peak capital at work</t>
  </si>
  <si>
    <t xml:space="preserve">Selling the residual on the secondary market</t>
  </si>
  <si>
    <t xml:space="preserve">What a discount on the residual does to the sleeve's ten-year return.</t>
  </si>
  <si>
    <t xml:space="preserve">Discount</t>
  </si>
  <si>
    <t xml:space="preserve">Proceeds</t>
  </si>
  <si>
    <t xml:space="preserve">Terminal value</t>
  </si>
  <si>
    <t xml:space="preserve">Sleeve return</t>
  </si>
  <si>
    <t xml:space="preserve">0 per cent</t>
  </si>
  <si>
    <t xml:space="preserve">10 per cent</t>
  </si>
  <si>
    <t xml:space="preserve">15 per cent</t>
  </si>
  <si>
    <t xml:space="preserve">20 per cent</t>
  </si>
  <si>
    <t xml:space="preserve">30 per cent</t>
  </si>
  <si>
    <t xml:space="preserve">50 per cent</t>
  </si>
  <si>
    <t xml:space="preserve">100 per cent</t>
  </si>
  <si>
    <t xml:space="preserve">The listed index, annualised</t>
  </si>
  <si>
    <t xml:space="preserve">Even giving the residual away leaves the sleeve above the index on this programme. The</t>
  </si>
  <si>
    <t xml:space="preserve">residual is not what decides the comparison; the idle capital is. A younger programme with</t>
  </si>
  <si>
    <t xml:space="preserve">an RVPI near 1.00 would give the opposite answer, and the same sheet will show it.</t>
  </si>
  <si>
    <t xml:space="preserve">The fee load and the exit, in the detail Chapters 14 and 15 compute in the text</t>
  </si>
  <si>
    <t xml:space="preserve">Every line is a formula. Shares are on the unrounded 169.0625; the book divides the rounded 169.06 in places.</t>
  </si>
  <si>
    <t xml:space="preserve">The three layers (Chapter 14)</t>
  </si>
  <si>
    <t xml:space="preserve">Carried interest, share of the load</t>
  </si>
  <si>
    <t xml:space="preserve">Chapter 14 prints 54.7143</t>
  </si>
  <si>
    <t xml:space="preserve">Management fees, share of the load</t>
  </si>
  <si>
    <t xml:space="preserve">prints 32.8641</t>
  </si>
  <si>
    <t xml:space="preserve">Advisory layer, share of the load</t>
  </si>
  <si>
    <t xml:space="preserve">prints 12.4219; Chapter 18 12.42</t>
  </si>
  <si>
    <t xml:space="preserve">Management fees in the five years of the investment period</t>
  </si>
  <si>
    <t xml:space="preserve">  share of the ten-year management fee</t>
  </si>
  <si>
    <t xml:space="preserve">revised: the book says two thirds</t>
  </si>
  <si>
    <t xml:space="preserve">Year 1 fee as a share of the capital called in Year 1</t>
  </si>
  <si>
    <t xml:space="preserve">Management fee, Year 6</t>
  </si>
  <si>
    <t xml:space="preserve">Management fee, Year 7</t>
  </si>
  <si>
    <t xml:space="preserve">Fall in the fee base from Year 5 to Year 6</t>
  </si>
  <si>
    <t xml:space="preserve">The carry base: the gain after management fees</t>
  </si>
  <si>
    <t xml:space="preserve">Gain inside the fund before its fees and carry</t>
  </si>
  <si>
    <t xml:space="preserve">What the foundation kept after its own advisory layer</t>
  </si>
  <si>
    <t xml:space="preserve">the 370.00 is the fund's net gain; the 21.00 is paid outside it</t>
  </si>
  <si>
    <t xml:space="preserve">  the load as a share of that</t>
  </si>
  <si>
    <t xml:space="preserve">Advisory charged on the commitment that was never called</t>
  </si>
  <si>
    <t xml:space="preserve">The same load on six denominators (Chapter 14)</t>
  </si>
  <si>
    <t xml:space="preserve">Denominator</t>
  </si>
  <si>
    <t xml:space="preserve">Amount</t>
  </si>
  <si>
    <t xml:space="preserve">Share</t>
  </si>
  <si>
    <t xml:space="preserve">Annual</t>
  </si>
  <si>
    <t xml:space="preserve">Commitment</t>
  </si>
  <si>
    <t xml:space="preserve">Called capital</t>
  </si>
  <si>
    <t xml:space="preserve">Peak capital at work</t>
  </si>
  <si>
    <t xml:space="preserve">Gross gain</t>
  </si>
  <si>
    <t xml:space="preserve">Net gain</t>
  </si>
  <si>
    <t xml:space="preserve">Distributions received</t>
  </si>
  <si>
    <t xml:space="preserve">Annual rate on the peak over the rate on the commitment</t>
  </si>
  <si>
    <t xml:space="preserve">What an exit costs (Chapter 15)</t>
  </si>
  <si>
    <t xml:space="preserve">The residual as a share of the sleeve's terminal value</t>
  </si>
  <si>
    <t xml:space="preserve">Thirty per cent of that</t>
  </si>
  <si>
    <t xml:space="preserve">Exact cost of a 30 per cent discount, points a year</t>
  </si>
  <si>
    <t xml:space="preserve">revised: the book prints 0.3285 (the difference of two rounded figures)</t>
  </si>
  <si>
    <t xml:space="preserve">Exact cost of a 20 per cent discount</t>
  </si>
  <si>
    <t xml:space="preserve">Exact cost of a 10 per cent discount</t>
  </si>
  <si>
    <t xml:space="preserve">Shortcut: discount times residual share, over ten years</t>
  </si>
  <si>
    <t xml:space="preserve">  times the growth factor 1 + r, which the shortcut leaves out</t>
  </si>
  <si>
    <t xml:space="preserve">most of the gap is this, not the curvature of the root</t>
  </si>
  <si>
    <t xml:space="preserve">  exact less shortcut</t>
  </si>
  <si>
    <t xml:space="preserve">Sleeve return if the residual is given away</t>
  </si>
  <si>
    <t xml:space="preserve">  ahead of the index by</t>
  </si>
  <si>
    <t xml:space="preserve">  terminal wealth to spare over the index</t>
  </si>
  <si>
    <t xml:space="preserve">Buyer's holding period, years (a step)</t>
  </si>
  <si>
    <t xml:space="preserve">Buyer's return</t>
  </si>
  <si>
    <t xml:space="preserve">Buyer's return at 30 per cent if the residual takes three years</t>
  </si>
  <si>
    <t xml:space="preserve">A fund four years old, residual carried at cost: a 30 per cent discount costs</t>
  </si>
  <si>
    <t xml:space="preserve">  times the cost on this programme's residual</t>
  </si>
  <si>
    <t xml:space="preserve">Checks</t>
  </si>
  <si>
    <t xml:space="preserve">Each row sets a figure printed in the book beside the figure this workbook computes. Revised 24 September 2026: tolerances are now half a unit of the last printed digit, and every row must pass.</t>
  </si>
  <si>
    <t xml:space="preserve">Ch.</t>
  </si>
  <si>
    <t xml:space="preserve">Figure</t>
  </si>
  <si>
    <t xml:space="preserve">Printed</t>
  </si>
  <si>
    <t xml:space="preserve">Workbook</t>
  </si>
  <si>
    <t xml:space="preserve">Difference</t>
  </si>
  <si>
    <t xml:space="preserve">Tolerance</t>
  </si>
  <si>
    <t xml:space="preserve">Result</t>
  </si>
  <si>
    <t xml:space="preserve">Note</t>
  </si>
  <si>
    <t xml:space="preserve">13</t>
  </si>
  <si>
    <t xml:space="preserve">Reported volatility of the sleeve</t>
  </si>
  <si>
    <t xml:space="preserve">Unsmoothed volatility</t>
  </si>
  <si>
    <t xml:space="preserve">at the measured coefficient, unrounded</t>
  </si>
  <si>
    <t xml:space="preserve">Reported correlation with the index</t>
  </si>
  <si>
    <t xml:space="preserve">Unsmoothed correlation</t>
  </si>
  <si>
    <t xml:space="preserve">Reported beta</t>
  </si>
  <si>
    <t xml:space="preserve">Unsmoothed beta</t>
  </si>
  <si>
    <t xml:space="preserve">Factor on the beta</t>
  </si>
  <si>
    <t xml:space="preserve">at the measured coefficient; 7.6178 at the typed 0.5245</t>
  </si>
  <si>
    <t xml:space="preserve">Portfolio volatility, reported</t>
  </si>
  <si>
    <t xml:space="preserve">Portfolio volatility, unsmoothed</t>
  </si>
  <si>
    <t xml:space="preserve">81.9591 at the typed 0.5245</t>
  </si>
  <si>
    <t xml:space="preserve">14</t>
  </si>
  <si>
    <t xml:space="preserve">Advisory layer</t>
  </si>
  <si>
    <t xml:space="preserve">15</t>
  </si>
  <si>
    <t xml:space="preserve">Sleeve return, residual at carrying value</t>
  </si>
  <si>
    <t xml:space="preserve">Sleeve return, residual at a 20 per cent discount</t>
  </si>
  <si>
    <t xml:space="preserve">Sleeve return, residual at a 30 per cent discount</t>
  </si>
  <si>
    <t xml:space="preserve">Unsmoothed volatility, measured coefficient</t>
  </si>
  <si>
    <t xml:space="preserve">the printed figure; at the typed 0.5245 it is 5.4851</t>
  </si>
  <si>
    <t xml:space="preserve">Factor on the volatility</t>
  </si>
  <si>
    <t xml:space="preserve">Share that survives</t>
  </si>
  <si>
    <t xml:space="preserve">Variance of the 70/30 portfolio</t>
  </si>
  <si>
    <t xml:space="preserve">revised: the book prints 54.5643</t>
  </si>
  <si>
    <t xml:space="preserve">Year 1 left out: beta</t>
  </si>
  <si>
    <t xml:space="preserve">new</t>
  </si>
  <si>
    <t xml:space="preserve">Year 2 unsmoothed</t>
  </si>
  <si>
    <t xml:space="preserve">Year 8 unsmoothed</t>
  </si>
  <si>
    <t xml:space="preserve">printed from a rounded intermediate</t>
  </si>
  <si>
    <t xml:space="preserve">Standard error</t>
  </si>
  <si>
    <t xml:space="preserve">Band, low</t>
  </si>
  <si>
    <t xml:space="preserve">Band, high</t>
  </si>
  <si>
    <t xml:space="preserve">Smallest surviving share in the table</t>
  </si>
  <si>
    <t xml:space="preserve">the book prints 74.7686 (ratio of rounded figures)</t>
  </si>
  <si>
    <t xml:space="preserve">12</t>
  </si>
  <si>
    <t xml:space="preserve">Index mean</t>
  </si>
  <si>
    <t xml:space="preserve">Reported mean</t>
  </si>
  <si>
    <t xml:space="preserve">Index spread</t>
  </si>
  <si>
    <t xml:space="preserve">Reported spread</t>
  </si>
  <si>
    <t xml:space="preserve">Spread ratio</t>
  </si>
  <si>
    <t xml:space="preserve">Volatility ratio</t>
  </si>
  <si>
    <t xml:space="preserve">Difference column range</t>
  </si>
  <si>
    <t xml:space="preserve">App. A</t>
  </si>
  <si>
    <t xml:space="preserve">Value left on the reported returns</t>
  </si>
  <si>
    <t xml:space="preserve">new: the residual is 143</t>
  </si>
  <si>
    <t xml:space="preserve">Return the flows need to reach 143</t>
  </si>
  <si>
    <t xml:space="preserve">Coefficient 0.00: volatility</t>
  </si>
  <si>
    <t xml:space="preserve">Coefficient 0.00: correlation</t>
  </si>
  <si>
    <t xml:space="preserve">Coefficient 0.00: beta</t>
  </si>
  <si>
    <t xml:space="preserve">Coefficient 0.00: portfolio volatility</t>
  </si>
  <si>
    <t xml:space="preserve">Coefficient 0.00: risk reduction</t>
  </si>
  <si>
    <t xml:space="preserve">Coefficient 0.20: volatility</t>
  </si>
  <si>
    <t xml:space="preserve">Coefficient 0.20: correlation</t>
  </si>
  <si>
    <t xml:space="preserve">Coefficient 0.20: beta</t>
  </si>
  <si>
    <t xml:space="preserve">Coefficient 0.20: portfolio volatility</t>
  </si>
  <si>
    <t xml:space="preserve">Coefficient 0.20: risk reduction</t>
  </si>
  <si>
    <t xml:space="preserve">Coefficient 0.30: volatility</t>
  </si>
  <si>
    <t xml:space="preserve">Coefficient 0.30: correlation</t>
  </si>
  <si>
    <t xml:space="preserve">Coefficient 0.30: beta</t>
  </si>
  <si>
    <t xml:space="preserve">Coefficient 0.30: portfolio volatility</t>
  </si>
  <si>
    <t xml:space="preserve">Coefficient 0.30: risk reduction</t>
  </si>
  <si>
    <t xml:space="preserve">Coefficient 0.40: volatility</t>
  </si>
  <si>
    <t xml:space="preserve">Coefficient 0.40: correlation</t>
  </si>
  <si>
    <t xml:space="preserve">Coefficient 0.40: beta</t>
  </si>
  <si>
    <t xml:space="preserve">Coefficient 0.40: portfolio volatility</t>
  </si>
  <si>
    <t xml:space="preserve">Coefficient 0.40: risk reduction</t>
  </si>
  <si>
    <t xml:space="preserve">Coefficient 0.50: volatility</t>
  </si>
  <si>
    <t xml:space="preserve">Coefficient 0.50: correlation</t>
  </si>
  <si>
    <t xml:space="preserve">Coefficient 0.50: beta</t>
  </si>
  <si>
    <t xml:space="preserve">Coefficient 0.50: portfolio volatility</t>
  </si>
  <si>
    <t xml:space="preserve">Coefficient 0.50: risk reduction</t>
  </si>
  <si>
    <t xml:space="preserve">Coefficient 0.60: volatility</t>
  </si>
  <si>
    <t xml:space="preserve">Coefficient 0.60: correlation</t>
  </si>
  <si>
    <t xml:space="preserve">Coefficient 0.60: beta</t>
  </si>
  <si>
    <t xml:space="preserve">Coefficient 0.60: portfolio volatility</t>
  </si>
  <si>
    <t xml:space="preserve">Coefficient 0.60: risk reduction</t>
  </si>
  <si>
    <t xml:space="preserve">Carry share of the load</t>
  </si>
  <si>
    <t xml:space="preserve">the book divides by the rounded 169.06: 54.7143</t>
  </si>
  <si>
    <t xml:space="preserve">Management share</t>
  </si>
  <si>
    <t xml:space="preserve">the book: 32.8641</t>
  </si>
  <si>
    <t xml:space="preserve">Advisory share</t>
  </si>
  <si>
    <t xml:space="preserve">the book: 12.4219</t>
  </si>
  <si>
    <t xml:space="preserve">Management fees, investment period</t>
  </si>
  <si>
    <t xml:space="preserve">  share of the ten-year fee</t>
  </si>
  <si>
    <t xml:space="preserve">2</t>
  </si>
  <si>
    <t xml:space="preserve">Year 1 fee on capital called</t>
  </si>
  <si>
    <t xml:space="preserve">Fee, Year 6</t>
  </si>
  <si>
    <t xml:space="preserve">Fee, Year 7</t>
  </si>
  <si>
    <t xml:space="preserve">Fall in the fee base</t>
  </si>
  <si>
    <t xml:space="preserve">Carry base</t>
  </si>
  <si>
    <t xml:space="preserve">The foundation's net gain after its own layer</t>
  </si>
  <si>
    <t xml:space="preserve">  load on it</t>
  </si>
  <si>
    <t xml:space="preserve">Advisory on the never-called 36</t>
  </si>
  <si>
    <t xml:space="preserve">Load on the commitment</t>
  </si>
  <si>
    <t xml:space="preserve">the book: 28.1767 on 169.06</t>
  </si>
  <si>
    <t xml:space="preserve">Load on called capital</t>
  </si>
  <si>
    <t xml:space="preserve">the book: 29.9752</t>
  </si>
  <si>
    <t xml:space="preserve">Load on the peak</t>
  </si>
  <si>
    <t xml:space="preserve">the book: 44.1410</t>
  </si>
  <si>
    <t xml:space="preserve">Load on the gross gain</t>
  </si>
  <si>
    <t xml:space="preserve">the book: 31.3620</t>
  </si>
  <si>
    <t xml:space="preserve">Load on distributions</t>
  </si>
  <si>
    <t xml:space="preserve">the book: 21.3729</t>
  </si>
  <si>
    <t xml:space="preserve">Annual on the commitment</t>
  </si>
  <si>
    <t xml:space="preserve">Annual on the peak</t>
  </si>
  <si>
    <t xml:space="preserve">the book: 4.4141</t>
  </si>
  <si>
    <t xml:space="preserve">Peak over commitment</t>
  </si>
  <si>
    <t xml:space="preserve">Residual share of terminal wealth</t>
  </si>
  <si>
    <t xml:space="preserve">Thirty per cent of it</t>
  </si>
  <si>
    <t xml:space="preserve">Cost of a 30 per cent discount</t>
  </si>
  <si>
    <t xml:space="preserve">revised: the book prints 0.3285</t>
  </si>
  <si>
    <t xml:space="preserve">Cost of a 20 per cent discount</t>
  </si>
  <si>
    <t xml:space="preserve">Cost of a 10 per cent discount</t>
  </si>
  <si>
    <t xml:space="preserve">Shortcut</t>
  </si>
  <si>
    <t xml:space="preserve">Shortcut times 1 + r</t>
  </si>
  <si>
    <t xml:space="preserve">Exact less shortcut</t>
  </si>
  <si>
    <t xml:space="preserve">revised: the book prints 0.0316</t>
  </si>
  <si>
    <t xml:space="preserve">Residual given away: sleeve return</t>
  </si>
  <si>
    <t xml:space="preserve">revised: the book prints 8.0559</t>
  </si>
  <si>
    <t xml:space="preserve">  ahead of the index</t>
  </si>
  <si>
    <t xml:space="preserve">revised: the book prints 0.9247</t>
  </si>
  <si>
    <t xml:space="preserve">  to spare</t>
  </si>
  <si>
    <t xml:space="preserve">the book prints 107.24 (difference of rounded figures)</t>
  </si>
  <si>
    <t xml:space="preserve">Buyer, 10 per cent</t>
  </si>
  <si>
    <t xml:space="preserve">Buyer, 15 per cent</t>
  </si>
  <si>
    <t xml:space="preserve">Buyer, 20 per cent</t>
  </si>
  <si>
    <t xml:space="preserve">Buyer, 30 per cent</t>
  </si>
  <si>
    <t xml:space="preserve">Buyer, 30 per cent over three years</t>
  </si>
  <si>
    <t xml:space="preserve">Young fund, cost of 30 per cent</t>
  </si>
  <si>
    <t xml:space="preserve">  times this programme's</t>
  </si>
  <si>
    <t xml:space="preserve">Sleeve return, 10 per cent discount</t>
  </si>
  <si>
    <t xml:space="preserve">Sleeve return, 15 per cent discount</t>
  </si>
  <si>
    <t xml:space="preserve">Terminal value, 30 per cent</t>
  </si>
  <si>
    <t xml:space="preserve">Checks that pass</t>
  </si>
  <si>
    <t xml:space="preserve">Checks that fail</t>
  </si>
  <si>
    <t xml:space="preserve">All checks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</si>
</sst>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;\-#,##0.00"/>
    <numFmt numFmtId="166" formatCode="0.0%;\-0.0%"/>
    <numFmt numFmtId="167" formatCode="0.0000%"/>
    <numFmt numFmtId="168" formatCode="0.00"/>
    <numFmt numFmtId="169" formatCode="0.00\%"/>
    <numFmt numFmtId="170" formatCode="0.0000"/>
    <numFmt numFmtId="171" formatCode="#,##0;\-#,##0"/>
    <numFmt numFmtId="172" formatCode="0.000000"/>
    <numFmt numFmtId="173" formatCode="0.0000\x"/>
    <numFmt numFmtId="174" formatCode="#,##0.00"/>
    <numFmt numFmtId="175" formatCode="0.0"/>
    <numFmt numFmtId="176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45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45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45" hidden="false" customHeight="true" outlineLevel="0" collapsed="false">
      <c r="A15" s="5" t="s">
        <v>7</v>
      </c>
    </row>
    <row r="16" customFormat="false" ht="30" hidden="false" customHeight="true" outlineLevel="0" collapsed="false">
      <c r="A16" s="5" t="s">
        <v>8</v>
      </c>
    </row>
    <row r="18" customFormat="false" ht="15" hidden="false" customHeight="false" outlineLevel="0" collapsed="false">
      <c r="A18" s="6" t="s">
        <v>9</v>
      </c>
    </row>
    <row r="20" customFormat="false" ht="82.05" hidden="false" customHeight="false" outlineLevel="0" collapsed="false">
      <c r="A20" s="5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1" min="2" style="0" width="12"/>
  </cols>
  <sheetData>
    <row r="1" customFormat="false" ht="24" hidden="false" customHeight="true" outlineLevel="0" collapsed="false">
      <c r="A1" s="1" t="s">
        <v>11</v>
      </c>
    </row>
    <row r="2" customFormat="false" ht="15" hidden="false" customHeight="false" outlineLevel="0" collapsed="false">
      <c r="A2" s="2" t="s">
        <v>12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15" hidden="false" customHeight="false" outlineLevel="0" collapsed="false">
      <c r="A5" s="4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7" customFormat="false" ht="15" hidden="false" customHeight="false" outlineLevel="0" collapsed="false">
      <c r="A7" s="8" t="s">
        <v>14</v>
      </c>
      <c r="B7" s="9" t="n">
        <v>2000</v>
      </c>
    </row>
    <row r="8" customFormat="false" ht="15" hidden="false" customHeight="false" outlineLevel="0" collapsed="false">
      <c r="A8" s="8" t="s">
        <v>15</v>
      </c>
      <c r="B8" s="10" t="n">
        <v>0.3</v>
      </c>
    </row>
    <row r="9" customFormat="false" ht="15" hidden="false" customHeight="false" outlineLevel="0" collapsed="false">
      <c r="A9" s="8" t="s">
        <v>16</v>
      </c>
      <c r="B9" s="9" t="n">
        <v>600</v>
      </c>
    </row>
    <row r="10" customFormat="false" ht="15" hidden="false" customHeight="false" outlineLevel="0" collapsed="false">
      <c r="A10" s="8" t="s">
        <v>17</v>
      </c>
      <c r="B10" s="9" t="n">
        <v>600</v>
      </c>
    </row>
    <row r="11" customFormat="false" ht="15" hidden="false" customHeight="false" outlineLevel="0" collapsed="false">
      <c r="A11" s="8" t="s">
        <v>18</v>
      </c>
      <c r="B11" s="9" t="n">
        <v>143</v>
      </c>
    </row>
    <row r="13" customFormat="false" ht="15" hidden="false" customHeight="false" outlineLevel="0" collapsed="false">
      <c r="A13" s="4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5" customFormat="false" ht="15" hidden="false" customHeight="false" outlineLevel="0" collapsed="false">
      <c r="A15" s="8" t="s">
        <v>20</v>
      </c>
      <c r="B15" s="11" t="n">
        <v>0.0175</v>
      </c>
    </row>
    <row r="16" customFormat="false" ht="15" hidden="false" customHeight="false" outlineLevel="0" collapsed="false">
      <c r="A16" s="8" t="s">
        <v>21</v>
      </c>
      <c r="B16" s="10" t="n">
        <v>0.2</v>
      </c>
    </row>
    <row r="17" customFormat="false" ht="15" hidden="false" customHeight="false" outlineLevel="0" collapsed="false">
      <c r="A17" s="8" t="s">
        <v>22</v>
      </c>
      <c r="B17" s="11" t="n">
        <v>0.0035</v>
      </c>
    </row>
    <row r="18" customFormat="false" ht="15" hidden="false" customHeight="false" outlineLevel="0" collapsed="false">
      <c r="A18" s="8" t="s">
        <v>23</v>
      </c>
      <c r="B18" s="12" t="n">
        <v>1.15</v>
      </c>
    </row>
    <row r="19" customFormat="false" ht="15" hidden="false" customHeight="false" outlineLevel="0" collapsed="false">
      <c r="A19" s="8" t="s">
        <v>24</v>
      </c>
      <c r="B19" s="13" t="n">
        <v>2</v>
      </c>
    </row>
    <row r="20" customFormat="false" ht="15" hidden="false" customHeight="false" outlineLevel="0" collapsed="false">
      <c r="A20" s="8" t="s">
        <v>25</v>
      </c>
      <c r="B20" s="14" t="n">
        <v>0.5245</v>
      </c>
    </row>
    <row r="22" customFormat="false" ht="15" hidden="false" customHeight="false" outlineLevel="0" collapsed="false">
      <c r="A22" s="4" t="s">
        <v>26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4" customFormat="false" ht="30" hidden="false" customHeight="true" outlineLevel="0" collapsed="false">
      <c r="A24" s="15"/>
      <c r="B24" s="16" t="s">
        <v>27</v>
      </c>
      <c r="C24" s="16" t="s">
        <v>28</v>
      </c>
      <c r="D24" s="16" t="s">
        <v>29</v>
      </c>
      <c r="E24" s="16" t="s">
        <v>30</v>
      </c>
      <c r="F24" s="16" t="s">
        <v>31</v>
      </c>
      <c r="G24" s="16" t="s">
        <v>32</v>
      </c>
      <c r="H24" s="16" t="s">
        <v>33</v>
      </c>
      <c r="I24" s="16" t="s">
        <v>34</v>
      </c>
      <c r="J24" s="16" t="s">
        <v>35</v>
      </c>
      <c r="K24" s="16" t="s">
        <v>36</v>
      </c>
    </row>
    <row r="25" customFormat="false" ht="15" hidden="false" customHeight="false" outlineLevel="0" collapsed="false">
      <c r="A25" s="8" t="s">
        <v>37</v>
      </c>
      <c r="B25" s="12" t="n">
        <v>12.4</v>
      </c>
      <c r="C25" s="12" t="n">
        <v>8.1</v>
      </c>
      <c r="D25" s="12" t="n">
        <v>-6.7</v>
      </c>
      <c r="E25" s="12" t="n">
        <v>18.3</v>
      </c>
      <c r="F25" s="12" t="n">
        <v>9.6</v>
      </c>
      <c r="G25" s="12" t="n">
        <v>2.4</v>
      </c>
      <c r="H25" s="12" t="n">
        <v>14.1</v>
      </c>
      <c r="I25" s="12" t="n">
        <v>-11.2</v>
      </c>
      <c r="J25" s="12" t="n">
        <v>21.7</v>
      </c>
      <c r="K25" s="12" t="n">
        <v>7.3</v>
      </c>
    </row>
    <row r="26" customFormat="false" ht="15" hidden="false" customHeight="false" outlineLevel="0" collapsed="false">
      <c r="A26" s="8" t="s">
        <v>38</v>
      </c>
      <c r="B26" s="12" t="n">
        <v>0.8</v>
      </c>
      <c r="C26" s="12" t="n">
        <v>0.5</v>
      </c>
      <c r="D26" s="12" t="n">
        <v>0.4</v>
      </c>
      <c r="E26" s="12" t="n">
        <v>1.2</v>
      </c>
      <c r="F26" s="12" t="n">
        <v>2.1</v>
      </c>
      <c r="G26" s="12" t="n">
        <v>3.4</v>
      </c>
      <c r="H26" s="12" t="n">
        <v>4.1</v>
      </c>
      <c r="I26" s="12" t="n">
        <v>3.6</v>
      </c>
      <c r="J26" s="12" t="n">
        <v>2.9</v>
      </c>
      <c r="K26" s="12" t="n">
        <v>2.5</v>
      </c>
    </row>
    <row r="27" customFormat="false" ht="15" hidden="false" customHeight="false" outlineLevel="0" collapsed="false">
      <c r="A27" s="8" t="s">
        <v>39</v>
      </c>
      <c r="B27" s="17" t="n">
        <v>90</v>
      </c>
      <c r="C27" s="17" t="n">
        <v>150</v>
      </c>
      <c r="D27" s="17" t="n">
        <v>138</v>
      </c>
      <c r="E27" s="17" t="n">
        <v>120</v>
      </c>
      <c r="F27" s="17" t="n">
        <v>66</v>
      </c>
      <c r="G27" s="17" t="n">
        <v>0</v>
      </c>
      <c r="H27" s="17" t="n">
        <v>0</v>
      </c>
      <c r="I27" s="17" t="n">
        <v>0</v>
      </c>
      <c r="J27" s="17" t="n">
        <v>0</v>
      </c>
      <c r="K27" s="17" t="n">
        <v>0</v>
      </c>
    </row>
    <row r="28" customFormat="false" ht="15" hidden="false" customHeight="false" outlineLevel="0" collapsed="false">
      <c r="A28" s="8" t="s">
        <v>40</v>
      </c>
      <c r="B28" s="17" t="n">
        <v>0</v>
      </c>
      <c r="C28" s="17" t="n">
        <v>0</v>
      </c>
      <c r="D28" s="17" t="n">
        <v>29</v>
      </c>
      <c r="E28" s="17" t="n">
        <v>86</v>
      </c>
      <c r="F28" s="17" t="n">
        <v>143</v>
      </c>
      <c r="G28" s="17" t="n">
        <v>152</v>
      </c>
      <c r="H28" s="17" t="n">
        <v>133</v>
      </c>
      <c r="I28" s="17" t="n">
        <v>95</v>
      </c>
      <c r="J28" s="17" t="n">
        <v>86</v>
      </c>
      <c r="K28" s="17" t="n">
        <v>67</v>
      </c>
    </row>
    <row r="29" customFormat="false" ht="15" hidden="false" customHeight="false" outlineLevel="0" collapsed="false">
      <c r="A29" s="8" t="s">
        <v>41</v>
      </c>
      <c r="B29" s="12" t="n">
        <v>13.4</v>
      </c>
      <c r="C29" s="12" t="n">
        <v>14.1</v>
      </c>
      <c r="D29" s="12" t="n">
        <v>11.8</v>
      </c>
      <c r="E29" s="12" t="n">
        <v>9.2</v>
      </c>
      <c r="F29" s="12" t="n">
        <v>12.6</v>
      </c>
      <c r="G29" s="12" t="n">
        <v>13.3</v>
      </c>
      <c r="H29" s="12" t="n">
        <v>10.9</v>
      </c>
      <c r="I29" s="12" t="n">
        <v>4.8</v>
      </c>
      <c r="J29" s="12" t="n">
        <v>6.1</v>
      </c>
      <c r="K29" s="12" t="n">
        <v>9.7</v>
      </c>
    </row>
    <row r="31" customFormat="false" ht="15" hidden="false" customHeight="false" outlineLevel="0" collapsed="false">
      <c r="A31" s="18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2" min="2" style="0" width="14"/>
  </cols>
  <sheetData>
    <row r="1" customFormat="false" ht="24" hidden="false" customHeight="tru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A5" s="15"/>
      <c r="B5" s="16" t="s">
        <v>27</v>
      </c>
      <c r="C5" s="16" t="s">
        <v>28</v>
      </c>
      <c r="D5" s="16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16" t="s">
        <v>35</v>
      </c>
      <c r="K5" s="16" t="s">
        <v>36</v>
      </c>
    </row>
    <row r="6" customFormat="false" ht="15" hidden="false" customHeight="false" outlineLevel="0" collapsed="false">
      <c r="A6" s="19" t="s">
        <v>45</v>
      </c>
      <c r="B6" s="20" t="n">
        <f aca="false">Inputs!B28-Inputs!B27</f>
        <v>-90</v>
      </c>
      <c r="C6" s="20" t="n">
        <f aca="false">Inputs!C28-Inputs!C27</f>
        <v>-150</v>
      </c>
      <c r="D6" s="20" t="n">
        <f aca="false">Inputs!D28-Inputs!D27</f>
        <v>-109</v>
      </c>
      <c r="E6" s="20" t="n">
        <f aca="false">Inputs!E28-Inputs!E27</f>
        <v>-34</v>
      </c>
      <c r="F6" s="20" t="n">
        <f aca="false">Inputs!F28-Inputs!F27</f>
        <v>77</v>
      </c>
      <c r="G6" s="20" t="n">
        <f aca="false">Inputs!G28-Inputs!G27</f>
        <v>152</v>
      </c>
      <c r="H6" s="20" t="n">
        <f aca="false">Inputs!H28-Inputs!H27</f>
        <v>133</v>
      </c>
      <c r="I6" s="20" t="n">
        <f aca="false">Inputs!I28-Inputs!I27</f>
        <v>95</v>
      </c>
      <c r="J6" s="20" t="n">
        <f aca="false">Inputs!J28-Inputs!J27</f>
        <v>86</v>
      </c>
      <c r="K6" s="20" t="n">
        <f aca="false">Inputs!K28-Inputs!K27+Inputs!$B$11</f>
        <v>210</v>
      </c>
    </row>
    <row r="7" customFormat="false" ht="15" hidden="false" customHeight="false" outlineLevel="0" collapsed="false">
      <c r="A7" s="8" t="s">
        <v>46</v>
      </c>
      <c r="B7" s="21" t="n">
        <f aca="false">Inputs!B27-Inputs!B28</f>
        <v>90</v>
      </c>
      <c r="C7" s="21" t="n">
        <f aca="false">B7+Inputs!C27-Inputs!C28</f>
        <v>240</v>
      </c>
      <c r="D7" s="21" t="n">
        <f aca="false">C7+Inputs!D27-Inputs!D28</f>
        <v>349</v>
      </c>
      <c r="E7" s="21" t="n">
        <f aca="false">D7+Inputs!E27-Inputs!E28</f>
        <v>383</v>
      </c>
      <c r="F7" s="21" t="n">
        <f aca="false">E7+Inputs!F27-Inputs!F28</f>
        <v>306</v>
      </c>
      <c r="G7" s="21" t="n">
        <f aca="false">F7+Inputs!G27-Inputs!G28</f>
        <v>154</v>
      </c>
      <c r="H7" s="21" t="n">
        <f aca="false">G7+Inputs!H27-Inputs!H28</f>
        <v>21</v>
      </c>
      <c r="I7" s="21" t="n">
        <f aca="false">H7+Inputs!I27-Inputs!I28</f>
        <v>-74</v>
      </c>
      <c r="J7" s="21" t="n">
        <f aca="false">I7+Inputs!J27-Inputs!J28</f>
        <v>-160</v>
      </c>
      <c r="K7" s="21" t="n">
        <f aca="false">J7+Inputs!K27-Inputs!K28</f>
        <v>-227</v>
      </c>
    </row>
    <row r="9" customFormat="false" ht="15" hidden="false" customHeight="false" outlineLevel="0" collapsed="false">
      <c r="A9" s="4" t="s">
        <v>47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1" customFormat="false" ht="30" hidden="false" customHeight="true" outlineLevel="0" collapsed="false">
      <c r="A11" s="15"/>
      <c r="B11" s="16" t="s">
        <v>27</v>
      </c>
      <c r="C11" s="16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33</v>
      </c>
      <c r="I11" s="16" t="s">
        <v>34</v>
      </c>
      <c r="J11" s="16" t="s">
        <v>35</v>
      </c>
      <c r="K11" s="16" t="s">
        <v>36</v>
      </c>
    </row>
    <row r="12" customFormat="false" ht="15" hidden="false" customHeight="false" outlineLevel="0" collapsed="false">
      <c r="A12" s="8" t="s">
        <v>48</v>
      </c>
      <c r="B12" s="21" t="n">
        <f aca="false">Inputs!$B$9-Inputs!B27+Inputs!B28</f>
        <v>510</v>
      </c>
      <c r="C12" s="21" t="n">
        <f aca="false">B14-Inputs!C27+Inputs!C28</f>
        <v>364.08</v>
      </c>
      <c r="D12" s="21" t="n">
        <f aca="false">C14-Inputs!D27+Inputs!D28</f>
        <v>256.9004</v>
      </c>
      <c r="E12" s="21" t="n">
        <f aca="false">D14-Inputs!E27+Inputs!E28</f>
        <v>223.9280016</v>
      </c>
      <c r="F12" s="21" t="n">
        <f aca="false">E14-Inputs!F27+Inputs!F28</f>
        <v>303.6151376192</v>
      </c>
      <c r="G12" s="21" t="n">
        <f aca="false">F14-Inputs!G27+Inputs!G28</f>
        <v>461.991055509203</v>
      </c>
      <c r="H12" s="21" t="n">
        <f aca="false">G14-Inputs!H27+Inputs!H28</f>
        <v>610.698751396516</v>
      </c>
      <c r="I12" s="21" t="n">
        <f aca="false">H14-Inputs!I27+Inputs!I28</f>
        <v>730.737400203773</v>
      </c>
      <c r="J12" s="21" t="n">
        <f aca="false">I14-Inputs!J27+Inputs!J28</f>
        <v>843.043946611109</v>
      </c>
      <c r="K12" s="21" t="n">
        <f aca="false">J14-Inputs!K27+Inputs!K28</f>
        <v>934.492221062831</v>
      </c>
    </row>
    <row r="13" customFormat="false" ht="15" hidden="false" customHeight="false" outlineLevel="0" collapsed="false">
      <c r="A13" s="8" t="s">
        <v>49</v>
      </c>
      <c r="B13" s="21" t="n">
        <f aca="false">B12*Inputs!B26/100</f>
        <v>4.08</v>
      </c>
      <c r="C13" s="21" t="n">
        <f aca="false">C12*Inputs!C26/100</f>
        <v>1.8204</v>
      </c>
      <c r="D13" s="21" t="n">
        <f aca="false">D12*Inputs!D26/100</f>
        <v>1.0276016</v>
      </c>
      <c r="E13" s="21" t="n">
        <f aca="false">E12*Inputs!E26/100</f>
        <v>2.6871360192</v>
      </c>
      <c r="F13" s="21" t="n">
        <f aca="false">F12*Inputs!F26/100</f>
        <v>6.3759178900032</v>
      </c>
      <c r="G13" s="21" t="n">
        <f aca="false">G12*Inputs!G26/100</f>
        <v>15.7076958873129</v>
      </c>
      <c r="H13" s="21" t="n">
        <f aca="false">H12*Inputs!H26/100</f>
        <v>25.0386488072572</v>
      </c>
      <c r="I13" s="21" t="n">
        <f aca="false">I12*Inputs!I26/100</f>
        <v>26.3065464073358</v>
      </c>
      <c r="J13" s="21" t="n">
        <f aca="false">J12*Inputs!J26/100</f>
        <v>24.4482744517222</v>
      </c>
      <c r="K13" s="21" t="n">
        <f aca="false">K12*Inputs!K26/100</f>
        <v>23.3623055265708</v>
      </c>
    </row>
    <row r="14" customFormat="false" ht="15" hidden="false" customHeight="false" outlineLevel="0" collapsed="false">
      <c r="A14" s="19" t="s">
        <v>50</v>
      </c>
      <c r="B14" s="20" t="n">
        <f aca="false">B12+B13</f>
        <v>514.08</v>
      </c>
      <c r="C14" s="20" t="n">
        <f aca="false">C12+C13</f>
        <v>365.9004</v>
      </c>
      <c r="D14" s="20" t="n">
        <f aca="false">D12+D13</f>
        <v>257.9280016</v>
      </c>
      <c r="E14" s="20" t="n">
        <f aca="false">E12+E13</f>
        <v>226.6151376192</v>
      </c>
      <c r="F14" s="20" t="n">
        <f aca="false">F12+F13</f>
        <v>309.991055509203</v>
      </c>
      <c r="G14" s="20" t="n">
        <f aca="false">G12+G13</f>
        <v>477.698751396516</v>
      </c>
      <c r="H14" s="20" t="n">
        <f aca="false">H12+H13</f>
        <v>635.737400203773</v>
      </c>
      <c r="I14" s="20" t="n">
        <f aca="false">I12+I13</f>
        <v>757.043946611109</v>
      </c>
      <c r="J14" s="20" t="n">
        <f aca="false">J12+J13</f>
        <v>867.492221062831</v>
      </c>
      <c r="K14" s="20" t="n">
        <f aca="false">K12+K13</f>
        <v>957.854526589402</v>
      </c>
    </row>
    <row r="16" customFormat="false" ht="15" hidden="false" customHeight="false" outlineLevel="0" collapsed="false">
      <c r="A16" s="4" t="s">
        <v>51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8" customFormat="false" ht="30" hidden="false" customHeight="true" outlineLevel="0" collapsed="false">
      <c r="A18" s="15"/>
      <c r="B18" s="16" t="s">
        <v>27</v>
      </c>
      <c r="C18" s="16" t="s">
        <v>28</v>
      </c>
      <c r="D18" s="16" t="s">
        <v>29</v>
      </c>
      <c r="E18" s="16" t="s">
        <v>30</v>
      </c>
      <c r="F18" s="16" t="s">
        <v>31</v>
      </c>
      <c r="G18" s="16" t="s">
        <v>32</v>
      </c>
      <c r="H18" s="16" t="s">
        <v>33</v>
      </c>
      <c r="I18" s="16" t="s">
        <v>34</v>
      </c>
      <c r="J18" s="16" t="s">
        <v>35</v>
      </c>
      <c r="K18" s="16" t="s">
        <v>36</v>
      </c>
    </row>
    <row r="19" customFormat="false" ht="15" hidden="false" customHeight="false" outlineLevel="0" collapsed="false">
      <c r="A19" s="8" t="s">
        <v>48</v>
      </c>
      <c r="B19" s="21" t="n">
        <f aca="false">Inputs!$B$9-Inputs!B27+Inputs!B28</f>
        <v>510</v>
      </c>
      <c r="C19" s="21" t="n">
        <f aca="false">B21-Inputs!C27+Inputs!C28</f>
        <v>423.24</v>
      </c>
      <c r="D19" s="21" t="n">
        <f aca="false">C21-Inputs!D27+Inputs!D28</f>
        <v>348.52244</v>
      </c>
      <c r="E19" s="21" t="n">
        <f aca="false">D21-Inputs!E27+Inputs!E28</f>
        <v>291.17143652</v>
      </c>
      <c r="F19" s="21" t="n">
        <f aca="false">E21-Inputs!F27+Inputs!F28</f>
        <v>421.45580940316</v>
      </c>
      <c r="G19" s="21" t="n">
        <f aca="false">F21-Inputs!G27+Inputs!G28</f>
        <v>613.915567105863</v>
      </c>
      <c r="H19" s="21" t="n">
        <f aca="false">G21-Inputs!H27+Inputs!H28</f>
        <v>761.649540716404</v>
      </c>
      <c r="I19" s="21" t="n">
        <f aca="false">H21-Inputs!I27+Inputs!I28</f>
        <v>964.042125957417</v>
      </c>
      <c r="J19" s="21" t="n">
        <f aca="false">I21-Inputs!J27+Inputs!J28</f>
        <v>942.069407850186</v>
      </c>
      <c r="K19" s="21" t="n">
        <f aca="false">J21-Inputs!K27+Inputs!K28</f>
        <v>1213.49846935368</v>
      </c>
    </row>
    <row r="20" customFormat="false" ht="15" hidden="false" customHeight="false" outlineLevel="0" collapsed="false">
      <c r="A20" s="8" t="s">
        <v>49</v>
      </c>
      <c r="B20" s="21" t="n">
        <f aca="false">B19*Inputs!B25/100</f>
        <v>63.24</v>
      </c>
      <c r="C20" s="21" t="n">
        <f aca="false">C19*Inputs!C25/100</f>
        <v>34.28244</v>
      </c>
      <c r="D20" s="21" t="n">
        <f aca="false">D19*Inputs!D25/100</f>
        <v>-23.35100348</v>
      </c>
      <c r="E20" s="21" t="n">
        <f aca="false">E19*Inputs!E25/100</f>
        <v>53.28437288316</v>
      </c>
      <c r="F20" s="21" t="n">
        <f aca="false">F19*Inputs!F25/100</f>
        <v>40.4597577027034</v>
      </c>
      <c r="G20" s="21" t="n">
        <f aca="false">G19*Inputs!G25/100</f>
        <v>14.7339736105407</v>
      </c>
      <c r="H20" s="21" t="n">
        <f aca="false">H19*Inputs!H25/100</f>
        <v>107.392585241013</v>
      </c>
      <c r="I20" s="21" t="n">
        <f aca="false">I19*Inputs!I25/100</f>
        <v>-107.972718107231</v>
      </c>
      <c r="J20" s="21" t="n">
        <f aca="false">J19*Inputs!J25/100</f>
        <v>204.42906150349</v>
      </c>
      <c r="K20" s="21" t="n">
        <f aca="false">K19*Inputs!K25/100</f>
        <v>88.5853882628184</v>
      </c>
    </row>
    <row r="21" customFormat="false" ht="15" hidden="false" customHeight="false" outlineLevel="0" collapsed="false">
      <c r="A21" s="19" t="s">
        <v>50</v>
      </c>
      <c r="B21" s="20" t="n">
        <f aca="false">B19+B20</f>
        <v>573.24</v>
      </c>
      <c r="C21" s="20" t="n">
        <f aca="false">C19+C20</f>
        <v>457.52244</v>
      </c>
      <c r="D21" s="20" t="n">
        <f aca="false">D19+D20</f>
        <v>325.17143652</v>
      </c>
      <c r="E21" s="20" t="n">
        <f aca="false">E19+E20</f>
        <v>344.45580940316</v>
      </c>
      <c r="F21" s="20" t="n">
        <f aca="false">F19+F20</f>
        <v>461.915567105863</v>
      </c>
      <c r="G21" s="20" t="n">
        <f aca="false">G19+G20</f>
        <v>628.649540716404</v>
      </c>
      <c r="H21" s="20" t="n">
        <f aca="false">H19+H20</f>
        <v>869.042125957417</v>
      </c>
      <c r="I21" s="20" t="n">
        <f aca="false">I19+I20</f>
        <v>856.069407850186</v>
      </c>
      <c r="J21" s="20" t="n">
        <f aca="false">J19+J20</f>
        <v>1146.49846935368</v>
      </c>
      <c r="K21" s="20" t="n">
        <f aca="false">K19+K20</f>
        <v>1302.0838576165</v>
      </c>
    </row>
    <row r="23" customFormat="false" ht="15" hidden="false" customHeight="false" outlineLevel="0" collapsed="false">
      <c r="A23" s="4" t="s">
        <v>52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5" customFormat="false" ht="30" hidden="false" customHeight="true" outlineLevel="0" collapsed="false">
      <c r="A25" s="15"/>
      <c r="B25" s="16" t="s">
        <v>27</v>
      </c>
      <c r="C25" s="16" t="s">
        <v>28</v>
      </c>
      <c r="D25" s="16" t="s">
        <v>29</v>
      </c>
      <c r="E25" s="16" t="s">
        <v>30</v>
      </c>
      <c r="F25" s="16" t="s">
        <v>31</v>
      </c>
      <c r="G25" s="16" t="s">
        <v>32</v>
      </c>
      <c r="H25" s="16" t="s">
        <v>33</v>
      </c>
      <c r="I25" s="16" t="s">
        <v>34</v>
      </c>
      <c r="J25" s="16" t="s">
        <v>35</v>
      </c>
      <c r="K25" s="16" t="s">
        <v>36</v>
      </c>
    </row>
    <row r="26" customFormat="false" ht="15" hidden="false" customHeight="false" outlineLevel="0" collapsed="false">
      <c r="A26" s="8" t="s">
        <v>53</v>
      </c>
      <c r="B26" s="22" t="n">
        <f aca="false">(1+Inputs!B25/100)*(1+Inputs!C25/100)*(1+Inputs!D25/100)*(1+Inputs!E25/100)*(1+Inputs!F25/100)*(1+Inputs!G25/100)*(1+Inputs!H25/100)*(1+Inputs!I25/100)*(1+Inputs!J25/100)*(1+Inputs!K25/100)</f>
        <v>1.99139684503792</v>
      </c>
      <c r="C26" s="22" t="n">
        <f aca="false">(1+Inputs!C25/100)*(1+Inputs!D25/100)*(1+Inputs!E25/100)*(1+Inputs!F25/100)*(1+Inputs!G25/100)*(1+Inputs!H25/100)*(1+Inputs!I25/100)*(1+Inputs!J25/100)*(1+Inputs!K25/100)</f>
        <v>1.77170537814762</v>
      </c>
      <c r="D26" s="22" t="n">
        <f aca="false">(1+Inputs!D25/100)*(1+Inputs!E25/100)*(1+Inputs!F25/100)*(1+Inputs!G25/100)*(1+Inputs!H25/100)*(1+Inputs!I25/100)*(1+Inputs!J25/100)*(1+Inputs!K25/100)</f>
        <v>1.63895039606625</v>
      </c>
      <c r="E26" s="22" t="n">
        <f aca="false">(1+Inputs!E25/100)*(1+Inputs!F25/100)*(1+Inputs!G25/100)*(1+Inputs!H25/100)*(1+Inputs!I25/100)*(1+Inputs!J25/100)*(1+Inputs!K25/100)</f>
        <v>1.75664565494775</v>
      </c>
      <c r="F26" s="22" t="n">
        <f aca="false">(1+Inputs!F25/100)*(1+Inputs!G25/100)*(1+Inputs!H25/100)*(1+Inputs!I25/100)*(1+Inputs!J25/100)*(1+Inputs!K25/100)</f>
        <v>1.48490756969379</v>
      </c>
      <c r="G26" s="22" t="n">
        <f aca="false">(1+Inputs!G25/100)*(1+Inputs!H25/100)*(1+Inputs!I25/100)*(1+Inputs!J25/100)*(1+Inputs!K25/100)</f>
        <v>1.35484267307827</v>
      </c>
      <c r="H26" s="22" t="n">
        <f aca="false">(1+Inputs!H25/100)*(1+Inputs!I25/100)*(1+Inputs!J25/100)*(1+Inputs!K25/100)</f>
        <v>1.323088547928</v>
      </c>
      <c r="I26" s="22" t="n">
        <f aca="false">(1+Inputs!I25/100)*(1+Inputs!J25/100)*(1+Inputs!K25/100)</f>
        <v>1.159586808</v>
      </c>
      <c r="J26" s="22" t="n">
        <f aca="false">(1+Inputs!J25/100)*(1+Inputs!K25/100)</f>
        <v>1.305841</v>
      </c>
      <c r="K26" s="22" t="n">
        <f aca="false">(1+Inputs!K25/100)</f>
        <v>1.073</v>
      </c>
    </row>
    <row r="27" customFormat="false" ht="15" hidden="false" customHeight="false" outlineLevel="0" collapsed="false">
      <c r="A27" s="8" t="s">
        <v>54</v>
      </c>
      <c r="B27" s="22" t="n">
        <f aca="false">(1+(Inputs!$B$19+Inputs!$B$18*(Inputs!B25-Inputs!$B$19))/100)*(1+(Inputs!$B$19+Inputs!$B$18*(Inputs!C25-Inputs!$B$19))/100)*(1+(Inputs!$B$19+Inputs!$B$18*(Inputs!D25-Inputs!$B$19))/100)*(1+(Inputs!$B$19+Inputs!$B$18*(Inputs!E25-Inputs!$B$19))/100)*(1+(Inputs!$B$19+Inputs!$B$18*(Inputs!F25-Inputs!$B$19))/100)*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2.12327223121253</v>
      </c>
      <c r="C27" s="22" t="n">
        <f aca="false">(1+(Inputs!$B$19+Inputs!$B$18*(Inputs!C25-Inputs!$B$19))/100)*(1+(Inputs!$B$19+Inputs!$B$18*(Inputs!D25-Inputs!$B$19))/100)*(1+(Inputs!$B$19+Inputs!$B$18*(Inputs!E25-Inputs!$B$19))/100)*(1+(Inputs!$B$19+Inputs!$B$18*(Inputs!F25-Inputs!$B$19))/100)*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1.86317324606224</v>
      </c>
      <c r="D27" s="22" t="n">
        <f aca="false">(1+(Inputs!$B$19+Inputs!$B$18*(Inputs!D25-Inputs!$B$19))/100)*(1+(Inputs!$B$19+Inputs!$B$18*(Inputs!E25-Inputs!$B$19))/100)*(1+(Inputs!$B$19+Inputs!$B$18*(Inputs!F25-Inputs!$B$19))/100)*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1.70909805628789</v>
      </c>
      <c r="E27" s="22" t="n">
        <f aca="false">(1+(Inputs!$B$19+Inputs!$B$18*(Inputs!E25-Inputs!$B$19))/100)*(1+(Inputs!$B$19+Inputs!$B$18*(Inputs!F25-Inputs!$B$19))/100)*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1.85781624684808</v>
      </c>
      <c r="F27" s="22" t="n">
        <f aca="false">(1+(Inputs!$B$19+Inputs!$B$18*(Inputs!F25-Inputs!$B$19))/100)*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1.53862789088416</v>
      </c>
      <c r="G27" s="22" t="n">
        <f aca="false">(1+(Inputs!$B$19+Inputs!$B$18*(Inputs!G25-Inputs!$B$19))/100)*(1+(Inputs!$B$19+Inputs!$B$18*(Inputs!H25-Inputs!$B$19))/100)*(1+(Inputs!$B$19+Inputs!$B$18*(Inputs!I25-Inputs!$B$19))/100)*(1+(Inputs!$B$19+Inputs!$B$18*(Inputs!J25-Inputs!$B$19))/100)*(1+(Inputs!$B$19+Inputs!$B$18*(Inputs!K25-Inputs!$B$19))/100)</f>
        <v>1.38940571689016</v>
      </c>
      <c r="H27" s="22" t="n">
        <f aca="false">(1+(Inputs!$B$19+Inputs!$B$18*(Inputs!H25-Inputs!$B$19))/100)*(1+(Inputs!$B$19+Inputs!$B$18*(Inputs!I25-Inputs!$B$19))/100)*(1+(Inputs!$B$19+Inputs!$B$18*(Inputs!J25-Inputs!$B$19))/100)*(1+(Inputs!$B$19+Inputs!$B$18*(Inputs!K25-Inputs!$B$19))/100)</f>
        <v>1.35604696163396</v>
      </c>
      <c r="I27" s="22" t="n">
        <f aca="false">(1+(Inputs!$B$19+Inputs!$B$18*(Inputs!I25-Inputs!$B$19))/100)*(1+(Inputs!$B$19+Inputs!$B$18*(Inputs!J25-Inputs!$B$19))/100)*(1+(Inputs!$B$19+Inputs!$B$18*(Inputs!K25-Inputs!$B$19))/100)</f>
        <v>1.1698632287745</v>
      </c>
      <c r="J27" s="22" t="n">
        <f aca="false">(1+(Inputs!$B$19+Inputs!$B$18*(Inputs!J25-Inputs!$B$19))/100)*(1+(Inputs!$B$19+Inputs!$B$18*(Inputs!K25-Inputs!$B$19))/100)</f>
        <v>1.3474582225</v>
      </c>
      <c r="K27" s="22" t="n">
        <f aca="false">(1+(Inputs!$B$19+Inputs!$B$18*(Inputs!K25-Inputs!$B$19))/100)</f>
        <v>1.08095</v>
      </c>
    </row>
    <row r="29" customFormat="false" ht="15" hidden="false" customHeight="false" outlineLevel="0" collapsed="false">
      <c r="A29" s="4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1" customFormat="false" ht="15" hidden="false" customHeight="false" outlineLevel="0" collapsed="false">
      <c r="A31" s="8" t="s">
        <v>56</v>
      </c>
      <c r="B31" s="21" t="n">
        <f aca="false">SUM(Inputs!B27:K27)</f>
        <v>564</v>
      </c>
    </row>
    <row r="32" customFormat="false" ht="15" hidden="false" customHeight="false" outlineLevel="0" collapsed="false">
      <c r="A32" s="8" t="s">
        <v>57</v>
      </c>
      <c r="B32" s="21" t="n">
        <f aca="false">SUM(Inputs!B28:K28)</f>
        <v>791</v>
      </c>
    </row>
    <row r="33" customFormat="false" ht="15" hidden="false" customHeight="false" outlineLevel="0" collapsed="false">
      <c r="A33" s="8" t="s">
        <v>58</v>
      </c>
      <c r="B33" s="21" t="n">
        <f aca="false">Inputs!B10-B31</f>
        <v>36</v>
      </c>
    </row>
    <row r="34" customFormat="false" ht="15" hidden="false" customHeight="false" outlineLevel="0" collapsed="false">
      <c r="A34" s="19" t="s">
        <v>59</v>
      </c>
      <c r="B34" s="20" t="n">
        <f aca="false">K14+Inputs!B11</f>
        <v>1100.8545265894</v>
      </c>
    </row>
    <row r="35" customFormat="false" ht="15" hidden="false" customHeight="false" outlineLevel="0" collapsed="false">
      <c r="A35" s="19" t="s">
        <v>60</v>
      </c>
      <c r="B35" s="20" t="n">
        <f aca="false">K21+Inputs!B11</f>
        <v>1445.0838576165</v>
      </c>
    </row>
    <row r="36" customFormat="false" ht="15" hidden="false" customHeight="false" outlineLevel="0" collapsed="false">
      <c r="A36" s="19" t="s">
        <v>61</v>
      </c>
      <c r="B36" s="20" t="n">
        <f aca="false">MAX(B7:K7)</f>
        <v>383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1" min="2" style="0" width="13"/>
  </cols>
  <sheetData>
    <row r="1" customFormat="false" ht="24" hidden="false" customHeight="true" outlineLevel="0" collapsed="false">
      <c r="A1" s="1" t="s">
        <v>62</v>
      </c>
    </row>
    <row r="2" customFormat="false" ht="15" hidden="false" customHeight="false" outlineLevel="0" collapsed="false">
      <c r="A2" s="2" t="s">
        <v>63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A5" s="15"/>
      <c r="B5" s="16" t="s">
        <v>27</v>
      </c>
      <c r="C5" s="16" t="s">
        <v>28</v>
      </c>
      <c r="D5" s="16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16" t="s">
        <v>35</v>
      </c>
      <c r="K5" s="16" t="s">
        <v>36</v>
      </c>
    </row>
    <row r="6" customFormat="false" ht="15" hidden="false" customHeight="false" outlineLevel="0" collapsed="false">
      <c r="A6" s="8" t="s">
        <v>41</v>
      </c>
      <c r="B6" s="23" t="n">
        <f aca="false">Inputs!B29</f>
        <v>13.4</v>
      </c>
      <c r="C6" s="23" t="n">
        <f aca="false">Inputs!C29</f>
        <v>14.1</v>
      </c>
      <c r="D6" s="23" t="n">
        <f aca="false">Inputs!D29</f>
        <v>11.8</v>
      </c>
      <c r="E6" s="23" t="n">
        <f aca="false">Inputs!E29</f>
        <v>9.2</v>
      </c>
      <c r="F6" s="23" t="n">
        <f aca="false">Inputs!F29</f>
        <v>12.6</v>
      </c>
      <c r="G6" s="23" t="n">
        <f aca="false">Inputs!G29</f>
        <v>13.3</v>
      </c>
      <c r="H6" s="23" t="n">
        <f aca="false">Inputs!H29</f>
        <v>10.9</v>
      </c>
      <c r="I6" s="23" t="n">
        <f aca="false">Inputs!I29</f>
        <v>4.8</v>
      </c>
      <c r="J6" s="23" t="n">
        <f aca="false">Inputs!J29</f>
        <v>6.1</v>
      </c>
      <c r="K6" s="23" t="n">
        <f aca="false">Inputs!K29</f>
        <v>9.7</v>
      </c>
    </row>
    <row r="7" customFormat="false" ht="15" hidden="false" customHeight="false" outlineLevel="0" collapsed="false">
      <c r="A7" s="8" t="s">
        <v>37</v>
      </c>
      <c r="B7" s="23" t="n">
        <f aca="false">Inputs!B25</f>
        <v>12.4</v>
      </c>
      <c r="C7" s="23" t="n">
        <f aca="false">Inputs!C25</f>
        <v>8.1</v>
      </c>
      <c r="D7" s="23" t="n">
        <f aca="false">Inputs!D25</f>
        <v>-6.7</v>
      </c>
      <c r="E7" s="23" t="n">
        <f aca="false">Inputs!E25</f>
        <v>18.3</v>
      </c>
      <c r="F7" s="23" t="n">
        <f aca="false">Inputs!F25</f>
        <v>9.6</v>
      </c>
      <c r="G7" s="23" t="n">
        <f aca="false">Inputs!G25</f>
        <v>2.4</v>
      </c>
      <c r="H7" s="23" t="n">
        <f aca="false">Inputs!H25</f>
        <v>14.1</v>
      </c>
      <c r="I7" s="23" t="n">
        <f aca="false">Inputs!I25</f>
        <v>-11.2</v>
      </c>
      <c r="J7" s="23" t="n">
        <f aca="false">Inputs!J25</f>
        <v>21.7</v>
      </c>
      <c r="K7" s="23" t="n">
        <f aca="false">Inputs!K25</f>
        <v>7.3</v>
      </c>
    </row>
    <row r="8" customFormat="false" ht="15" hidden="false" customHeight="false" outlineLevel="0" collapsed="false">
      <c r="A8" s="19" t="s">
        <v>64</v>
      </c>
      <c r="B8" s="24" t="n">
        <f aca="false">B6</f>
        <v>13.4</v>
      </c>
      <c r="C8" s="24" t="n">
        <f aca="false">(C6-Inputs!$B$20*B6)/(1-Inputs!$B$20)</f>
        <v>14.872134595163</v>
      </c>
      <c r="D8" s="24" t="n">
        <f aca="false">(D6-Inputs!$B$20*C6)/(1-Inputs!$B$20)</f>
        <v>9.26298633017876</v>
      </c>
      <c r="E8" s="24" t="n">
        <f aca="false">(E6-Inputs!$B$20*D6)/(1-Inputs!$B$20)</f>
        <v>6.33207150368034</v>
      </c>
      <c r="F8" s="24" t="n">
        <f aca="false">(F6-Inputs!$B$20*E6)/(1-Inputs!$B$20)</f>
        <v>16.3503680336488</v>
      </c>
      <c r="G8" s="24" t="n">
        <f aca="false">(G6-Inputs!$B$20*F6)/(1-Inputs!$B$20)</f>
        <v>14.072134595163</v>
      </c>
      <c r="H8" s="24" t="n">
        <f aca="false">(H6-Inputs!$B$20*G6)/(1-Inputs!$B$20)</f>
        <v>8.25268138801262</v>
      </c>
      <c r="I8" s="24" t="n">
        <f aca="false">(I6-Inputs!$B$20*H6)/(1-Inputs!$B$20)</f>
        <v>-1.92860147213459</v>
      </c>
      <c r="J8" s="24" t="n">
        <f aca="false">(J6-Inputs!$B$20*I6)/(1-Inputs!$B$20)</f>
        <v>7.53396424815983</v>
      </c>
      <c r="K8" s="24" t="n">
        <f aca="false">(K6-Inputs!$B$20*J6)/(1-Inputs!$B$20)</f>
        <v>13.6709779179811</v>
      </c>
    </row>
    <row r="10" customFormat="false" ht="15" hidden="false" customHeight="false" outlineLevel="0" collapsed="false">
      <c r="A10" s="4" t="s">
        <v>65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2" customFormat="false" ht="15" hidden="false" customHeight="false" outlineLevel="0" collapsed="false">
      <c r="A12" s="19" t="s">
        <v>66</v>
      </c>
      <c r="B12" s="24" t="n">
        <f aca="false">CORREL(B6:J6,C6:K6)</f>
        <v>0.524484780481929</v>
      </c>
    </row>
    <row r="13" customFormat="false" ht="15" hidden="false" customHeight="false" outlineLevel="0" collapsed="false">
      <c r="A13" s="8" t="s">
        <v>67</v>
      </c>
      <c r="B13" s="23" t="n">
        <f aca="false">Inputs!B20</f>
        <v>0.5245</v>
      </c>
    </row>
    <row r="15" customFormat="false" ht="30" hidden="false" customHeight="true" outlineLevel="0" collapsed="false">
      <c r="A15" s="15"/>
      <c r="B15" s="16" t="s">
        <v>68</v>
      </c>
      <c r="C15" s="16" t="s">
        <v>69</v>
      </c>
      <c r="D15" s="16" t="s">
        <v>70</v>
      </c>
    </row>
    <row r="16" customFormat="false" ht="15" hidden="false" customHeight="false" outlineLevel="0" collapsed="false">
      <c r="A16" s="19" t="s">
        <v>71</v>
      </c>
      <c r="B16" s="25" t="n">
        <f aca="false">STDEV(B6:K6)/100</f>
        <v>0.0315469667497703</v>
      </c>
      <c r="C16" s="25" t="n">
        <f aca="false">STDEV(B8:K8)/100</f>
        <v>0.0548508413643463</v>
      </c>
      <c r="D16" s="26" t="n">
        <f aca="false">C16/B16</f>
        <v>1.73870412960529</v>
      </c>
    </row>
    <row r="17" customFormat="false" ht="15" hidden="false" customHeight="false" outlineLevel="0" collapsed="false">
      <c r="A17" s="19" t="s">
        <v>72</v>
      </c>
      <c r="B17" s="24" t="n">
        <f aca="false">CORREL(B6:K6,B7:K7)</f>
        <v>0.0707109411202364</v>
      </c>
      <c r="C17" s="24" t="n">
        <f aca="false">CORREL(B8:K8,B7:K7)</f>
        <v>0.309805127474482</v>
      </c>
      <c r="D17" s="26" t="n">
        <f aca="false">C17/B17</f>
        <v>4.38128983388429</v>
      </c>
    </row>
    <row r="18" customFormat="false" ht="15" hidden="false" customHeight="false" outlineLevel="0" collapsed="false">
      <c r="A18" s="19" t="s">
        <v>73</v>
      </c>
      <c r="B18" s="24" t="n">
        <f aca="false">B17*B16/(STDEV(B7:K7)/100)</f>
        <v>0.0215104866205186</v>
      </c>
      <c r="C18" s="24" t="n">
        <f aca="false">C17*C16/(STDEV(B7:K7)/100)</f>
        <v>0.163861869263071</v>
      </c>
      <c r="D18" s="27" t="n">
        <f aca="false">C18/B18</f>
        <v>7.61776672717227</v>
      </c>
    </row>
    <row r="20" customFormat="false" ht="15" hidden="false" customHeight="false" outlineLevel="0" collapsed="false">
      <c r="A20" s="4" t="s">
        <v>74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2" customFormat="false" ht="15" hidden="false" customHeight="false" outlineLevel="0" collapsed="false">
      <c r="A22" s="8" t="s">
        <v>75</v>
      </c>
      <c r="B22" s="28" t="n">
        <f aca="false">STDEV(B7:K7)/100</f>
        <v>0.103703637566116</v>
      </c>
    </row>
    <row r="23" customFormat="false" ht="15" hidden="false" customHeight="false" outlineLevel="0" collapsed="false">
      <c r="A23" s="19" t="s">
        <v>76</v>
      </c>
      <c r="B23" s="25" t="n">
        <f aca="false">SQRT(((1-Inputs!B8)*B22)^2+(Inputs!B8*B16)^2+2*(1-Inputs!B8)*Inputs!B8*B17*B22*B16)</f>
        <v>0.0738674947306173</v>
      </c>
    </row>
    <row r="24" customFormat="false" ht="15" hidden="false" customHeight="false" outlineLevel="0" collapsed="false">
      <c r="A24" s="19" t="s">
        <v>77</v>
      </c>
      <c r="B24" s="25" t="n">
        <f aca="false">SQRT(((1-Inputs!B8)*B22)^2+(Inputs!B8*C16)^2+2*(1-Inputs!B8)*Inputs!B8*C17*B22*C16)</f>
        <v>0.0792502070965353</v>
      </c>
    </row>
    <row r="25" customFormat="false" ht="15" hidden="false" customHeight="false" outlineLevel="0" collapsed="false">
      <c r="A25" s="19" t="s">
        <v>78</v>
      </c>
      <c r="B25" s="25" t="n">
        <f aca="false">B22-B23</f>
        <v>0.0298361428354992</v>
      </c>
    </row>
    <row r="26" customFormat="false" ht="15" hidden="false" customHeight="false" outlineLevel="0" collapsed="false">
      <c r="A26" s="19" t="s">
        <v>79</v>
      </c>
      <c r="B26" s="25" t="n">
        <f aca="false">B22-B24</f>
        <v>0.0244534304695812</v>
      </c>
    </row>
    <row r="27" customFormat="false" ht="15" hidden="false" customHeight="false" outlineLevel="0" collapsed="false">
      <c r="A27" s="19" t="s">
        <v>80</v>
      </c>
      <c r="B27" s="25" t="n">
        <f aca="false">B26/B25</f>
        <v>0.819590876890641</v>
      </c>
    </row>
    <row r="29" customFormat="false" ht="15" hidden="false" customHeight="false" outlineLevel="0" collapsed="false">
      <c r="A29" s="18" t="s">
        <v>81</v>
      </c>
    </row>
    <row r="30" customFormat="false" ht="15" hidden="false" customHeight="false" outlineLevel="0" collapsed="false">
      <c r="A30" s="18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12" min="2" style="0" width="12"/>
  </cols>
  <sheetData>
    <row r="1" customFormat="false" ht="19.7" hidden="false" customHeight="false" outlineLevel="0" collapsed="false">
      <c r="A1" s="1" t="s">
        <v>83</v>
      </c>
    </row>
    <row r="2" customFormat="false" ht="15" hidden="false" customHeight="false" outlineLevel="0" collapsed="false">
      <c r="A2" s="2" t="s">
        <v>84</v>
      </c>
    </row>
    <row r="5" customFormat="false" ht="15" hidden="false" customHeight="false" outlineLevel="0" collapsed="false">
      <c r="A5" s="4" t="s">
        <v>85</v>
      </c>
    </row>
    <row r="7" customFormat="false" ht="15" hidden="false" customHeight="false" outlineLevel="0" collapsed="false">
      <c r="A7" s="8" t="s">
        <v>86</v>
      </c>
      <c r="B7" s="22" t="n">
        <f aca="false">Smoothing!B12</f>
        <v>0.524484780481929</v>
      </c>
    </row>
    <row r="8" customFormat="false" ht="15" hidden="false" customHeight="false" outlineLevel="0" collapsed="false">
      <c r="A8" s="16"/>
      <c r="B8" s="16" t="s">
        <v>27</v>
      </c>
      <c r="C8" s="16" t="s">
        <v>28</v>
      </c>
      <c r="D8" s="16" t="s">
        <v>29</v>
      </c>
      <c r="E8" s="16" t="s">
        <v>30</v>
      </c>
      <c r="F8" s="16" t="s">
        <v>31</v>
      </c>
      <c r="G8" s="16" t="s">
        <v>32</v>
      </c>
      <c r="H8" s="16" t="s">
        <v>33</v>
      </c>
      <c r="I8" s="16" t="s">
        <v>34</v>
      </c>
      <c r="J8" s="16" t="s">
        <v>35</v>
      </c>
      <c r="K8" s="16" t="s">
        <v>36</v>
      </c>
    </row>
    <row r="9" customFormat="false" ht="15" hidden="false" customHeight="false" outlineLevel="0" collapsed="false">
      <c r="A9" s="8" t="s">
        <v>87</v>
      </c>
      <c r="B9" s="23" t="n">
        <f aca="false">Inputs!B29</f>
        <v>13.4</v>
      </c>
      <c r="C9" s="23" t="n">
        <f aca="false">(Inputs!C29-'Smoothing Range'!B7*Inputs!B29)/(1-'Smoothing Range'!B7)</f>
        <v>14.8720874774722</v>
      </c>
      <c r="D9" s="23" t="n">
        <f aca="false">(Inputs!D29-'Smoothing Range'!B7*Inputs!C29)/(1-'Smoothing Range'!B7)</f>
        <v>9.26314114544846</v>
      </c>
      <c r="E9" s="23" t="n">
        <f aca="false">(Inputs!E29-'Smoothing Range'!B7*Inputs!D29)/(1-'Smoothing Range'!B7)</f>
        <v>6.33224651224608</v>
      </c>
      <c r="F9" s="23" t="n">
        <f aca="false">(Inputs!F29-'Smoothing Range'!B7*Inputs!E29)/(1-'Smoothing Range'!B7)</f>
        <v>16.3501391762936</v>
      </c>
      <c r="G9" s="23" t="n">
        <f aca="false">(Inputs!G29-'Smoothing Range'!B7*Inputs!F29)/(1-'Smoothing Range'!B7)</f>
        <v>14.0720874774722</v>
      </c>
      <c r="H9" s="23" t="n">
        <f aca="false">(Inputs!H29-'Smoothing Range'!B7*Inputs!G29)/(1-'Smoothing Range'!B7)</f>
        <v>8.252842934381</v>
      </c>
      <c r="I9" s="23" t="n">
        <f aca="false">(Inputs!I29-'Smoothing Range'!B7*Inputs!H29)/(1-'Smoothing Range'!B7)</f>
        <v>-1.92819087511496</v>
      </c>
      <c r="J9" s="23" t="n">
        <f aca="false">(Inputs!J29-'Smoothing Range'!B7*Inputs!I29)/(1-'Smoothing Range'!B7)</f>
        <v>7.53387674387696</v>
      </c>
      <c r="K9" s="23" t="n">
        <f aca="false">(Inputs!K29-'Smoothing Range'!B7*Inputs!J29)/(1-'Smoothing Range'!B7)</f>
        <v>13.6707355984285</v>
      </c>
    </row>
    <row r="10" customFormat="false" ht="15" hidden="false" customHeight="false" outlineLevel="0" collapsed="false">
      <c r="A10" s="8" t="s">
        <v>88</v>
      </c>
      <c r="B10" s="28" t="n">
        <f aca="false">STDEV(B9:K9)/100</f>
        <v>0.0548491134641155</v>
      </c>
    </row>
    <row r="11" customFormat="false" ht="15" hidden="false" customHeight="false" outlineLevel="0" collapsed="false">
      <c r="A11" s="8" t="s">
        <v>72</v>
      </c>
      <c r="B11" s="23" t="n">
        <f aca="false">CORREL(B9:K9,Inputs!B25:K25)</f>
        <v>0.309798463272262</v>
      </c>
    </row>
    <row r="12" customFormat="false" ht="15" hidden="false" customHeight="false" outlineLevel="0" collapsed="false">
      <c r="A12" s="8" t="s">
        <v>89</v>
      </c>
      <c r="B12" s="23" t="n">
        <f aca="false">'Smoothing Range'!B11*'Smoothing Range'!B10/Smoothing!B22</f>
        <v>0.163853182606015</v>
      </c>
    </row>
    <row r="13" customFormat="false" ht="15" hidden="false" customHeight="false" outlineLevel="0" collapsed="false">
      <c r="A13" s="8" t="s">
        <v>90</v>
      </c>
      <c r="B13" s="23" t="n">
        <f aca="false">'Smoothing Range'!B12/Smoothing!B18</f>
        <v>7.61736289358128</v>
      </c>
    </row>
    <row r="14" customFormat="false" ht="15" hidden="false" customHeight="false" outlineLevel="0" collapsed="false">
      <c r="A14" s="8" t="s">
        <v>91</v>
      </c>
      <c r="B14" s="23" t="n">
        <f aca="false">'Smoothing Range'!B10/Smoothing!B16</f>
        <v>1.73864935729566</v>
      </c>
    </row>
    <row r="15" customFormat="false" ht="15" hidden="false" customHeight="false" outlineLevel="0" collapsed="false">
      <c r="A15" s="8" t="s">
        <v>92</v>
      </c>
      <c r="B15" s="28" t="n">
        <f aca="false">SQRT(((1-Inputs!B8)*Smoothing!B22)^2+(Inputs!B8*'Smoothing Range'!B10)^2+2*(1-Inputs!B8)*Inputs!B8*'Smoothing Range'!B11*Smoothing!B22*'Smoothing Range'!B10)</f>
        <v>0.0792498519167076</v>
      </c>
    </row>
    <row r="16" customFormat="false" ht="15" hidden="false" customHeight="false" outlineLevel="0" collapsed="false">
      <c r="A16" s="8" t="s">
        <v>93</v>
      </c>
      <c r="B16" s="28" t="n">
        <f aca="false">Smoothing!B22-'Smoothing Range'!B15</f>
        <v>0.0244537856494089</v>
      </c>
    </row>
    <row r="17" customFormat="false" ht="15" hidden="false" customHeight="false" outlineLevel="0" collapsed="false">
      <c r="A17" s="8" t="s">
        <v>94</v>
      </c>
      <c r="B17" s="28" t="n">
        <f aca="false">'Smoothing Range'!B16/Smoothing!B25</f>
        <v>0.819602781238655</v>
      </c>
    </row>
    <row r="18" customFormat="false" ht="15" hidden="false" customHeight="false" outlineLevel="0" collapsed="false">
      <c r="A18" s="8" t="s">
        <v>95</v>
      </c>
      <c r="B18" s="23" t="n">
        <f aca="false">(Smoothing!B23*100)^2</f>
        <v>54.5640677777778</v>
      </c>
      <c r="C18" s="2" t="s">
        <v>96</v>
      </c>
    </row>
    <row r="19" customFormat="false" ht="15" hidden="false" customHeight="false" outlineLevel="0" collapsed="false">
      <c r="A19" s="2" t="s">
        <v>97</v>
      </c>
    </row>
    <row r="20" customFormat="false" ht="15" hidden="false" customHeight="false" outlineLevel="0" collapsed="false">
      <c r="A20" s="8" t="s">
        <v>98</v>
      </c>
      <c r="B20" s="28" t="n">
        <f aca="false">STDEV(C9:K9)/100</f>
        <v>0.0569266408660784</v>
      </c>
      <c r="C20" s="2" t="s">
        <v>99</v>
      </c>
    </row>
    <row r="21" customFormat="false" ht="15" hidden="false" customHeight="false" outlineLevel="0" collapsed="false">
      <c r="A21" s="8" t="s">
        <v>100</v>
      </c>
      <c r="B21" s="23" t="n">
        <f aca="false">CORREL(C9:K9,Inputs!C25:K25)</f>
        <v>0.28614571482214</v>
      </c>
    </row>
    <row r="22" customFormat="false" ht="15" hidden="false" customHeight="false" outlineLevel="0" collapsed="false">
      <c r="A22" s="8" t="s">
        <v>101</v>
      </c>
      <c r="B22" s="23" t="n">
        <f aca="false">'Smoothing Range'!B21*'Smoothing Range'!B20/(STDEV(Inputs!C25:K25)/100)</f>
        <v>0.15009049921748</v>
      </c>
    </row>
    <row r="24" customFormat="false" ht="15" hidden="false" customHeight="false" outlineLevel="0" collapsed="false">
      <c r="A24" s="4" t="s">
        <v>102</v>
      </c>
    </row>
    <row r="26" customFormat="false" ht="15" hidden="false" customHeight="false" outlineLevel="0" collapsed="false">
      <c r="A26" s="8" t="s">
        <v>103</v>
      </c>
      <c r="B26" s="23" t="n">
        <f aca="false">Smoothing!C8</f>
        <v>14.872134595163</v>
      </c>
    </row>
    <row r="27" customFormat="false" ht="15" hidden="false" customHeight="false" outlineLevel="0" collapsed="false">
      <c r="A27" s="8" t="s">
        <v>104</v>
      </c>
      <c r="B27" s="23" t="n">
        <f aca="false">Smoothing!I8</f>
        <v>-1.92860147213459</v>
      </c>
      <c r="C27" s="2" t="s">
        <v>105</v>
      </c>
    </row>
    <row r="29" customFormat="false" ht="15" hidden="false" customHeight="false" outlineLevel="0" collapsed="false">
      <c r="A29" s="4" t="s">
        <v>106</v>
      </c>
    </row>
    <row r="31" customFormat="false" ht="15" hidden="false" customHeight="false" outlineLevel="0" collapsed="false">
      <c r="A31" s="16" t="s">
        <v>107</v>
      </c>
      <c r="B31" s="16" t="s">
        <v>108</v>
      </c>
      <c r="C31" s="16" t="s">
        <v>27</v>
      </c>
      <c r="D31" s="16" t="s">
        <v>28</v>
      </c>
      <c r="E31" s="16" t="s">
        <v>29</v>
      </c>
      <c r="F31" s="16" t="s">
        <v>30</v>
      </c>
      <c r="G31" s="16" t="s">
        <v>31</v>
      </c>
      <c r="H31" s="16" t="s">
        <v>32</v>
      </c>
      <c r="I31" s="16" t="s">
        <v>33</v>
      </c>
      <c r="J31" s="16" t="s">
        <v>34</v>
      </c>
      <c r="K31" s="16" t="s">
        <v>35</v>
      </c>
      <c r="L31" s="16" t="s">
        <v>36</v>
      </c>
    </row>
    <row r="32" customFormat="false" ht="15" hidden="false" customHeight="false" outlineLevel="0" collapsed="false">
      <c r="A32" s="8" t="s">
        <v>109</v>
      </c>
      <c r="B32" s="29" t="n">
        <v>0</v>
      </c>
      <c r="C32" s="23" t="n">
        <f aca="false">Inputs!B29</f>
        <v>13.4</v>
      </c>
      <c r="D32" s="23" t="n">
        <f aca="false">(Inputs!C29-$B32*Inputs!B29)/(1-$B32)</f>
        <v>14.1</v>
      </c>
      <c r="E32" s="23" t="n">
        <f aca="false">(Inputs!D29-$B32*Inputs!C29)/(1-$B32)</f>
        <v>11.8</v>
      </c>
      <c r="F32" s="23" t="n">
        <f aca="false">(Inputs!E29-$B32*Inputs!D29)/(1-$B32)</f>
        <v>9.2</v>
      </c>
      <c r="G32" s="23" t="n">
        <f aca="false">(Inputs!F29-$B32*Inputs!E29)/(1-$B32)</f>
        <v>12.6</v>
      </c>
      <c r="H32" s="23" t="n">
        <f aca="false">(Inputs!G29-$B32*Inputs!F29)/(1-$B32)</f>
        <v>13.3</v>
      </c>
      <c r="I32" s="23" t="n">
        <f aca="false">(Inputs!H29-$B32*Inputs!G29)/(1-$B32)</f>
        <v>10.9</v>
      </c>
      <c r="J32" s="23" t="n">
        <f aca="false">(Inputs!I29-$B32*Inputs!H29)/(1-$B32)</f>
        <v>4.8</v>
      </c>
      <c r="K32" s="23" t="n">
        <f aca="false">(Inputs!J29-$B32*Inputs!I29)/(1-$B32)</f>
        <v>6.1</v>
      </c>
      <c r="L32" s="23" t="n">
        <f aca="false">(Inputs!K29-$B32*Inputs!J29)/(1-$B32)</f>
        <v>9.7</v>
      </c>
    </row>
    <row r="33" customFormat="false" ht="15" hidden="false" customHeight="false" outlineLevel="0" collapsed="false">
      <c r="A33" s="8" t="s">
        <v>109</v>
      </c>
      <c r="B33" s="29" t="n">
        <v>0.2</v>
      </c>
      <c r="C33" s="23" t="n">
        <f aca="false">Inputs!B29</f>
        <v>13.4</v>
      </c>
      <c r="D33" s="23" t="n">
        <f aca="false">(Inputs!C29-$B33*Inputs!B29)/(1-$B33)</f>
        <v>14.275</v>
      </c>
      <c r="E33" s="23" t="n">
        <f aca="false">(Inputs!D29-$B33*Inputs!C29)/(1-$B33)</f>
        <v>11.225</v>
      </c>
      <c r="F33" s="23" t="n">
        <f aca="false">(Inputs!E29-$B33*Inputs!D29)/(1-$B33)</f>
        <v>8.55</v>
      </c>
      <c r="G33" s="23" t="n">
        <f aca="false">(Inputs!F29-$B33*Inputs!E29)/(1-$B33)</f>
        <v>13.45</v>
      </c>
      <c r="H33" s="23" t="n">
        <f aca="false">(Inputs!G29-$B33*Inputs!F29)/(1-$B33)</f>
        <v>13.475</v>
      </c>
      <c r="I33" s="23" t="n">
        <f aca="false">(Inputs!H29-$B33*Inputs!G29)/(1-$B33)</f>
        <v>10.3</v>
      </c>
      <c r="J33" s="23" t="n">
        <f aca="false">(Inputs!I29-$B33*Inputs!H29)/(1-$B33)</f>
        <v>3.275</v>
      </c>
      <c r="K33" s="23" t="n">
        <f aca="false">(Inputs!J29-$B33*Inputs!I29)/(1-$B33)</f>
        <v>6.425</v>
      </c>
      <c r="L33" s="23" t="n">
        <f aca="false">(Inputs!K29-$B33*Inputs!J29)/(1-$B33)</f>
        <v>10.6</v>
      </c>
    </row>
    <row r="34" customFormat="false" ht="15" hidden="false" customHeight="false" outlineLevel="0" collapsed="false">
      <c r="A34" s="8" t="s">
        <v>109</v>
      </c>
      <c r="B34" s="29" t="n">
        <v>0.3</v>
      </c>
      <c r="C34" s="23" t="n">
        <f aca="false">Inputs!B29</f>
        <v>13.4</v>
      </c>
      <c r="D34" s="23" t="n">
        <f aca="false">(Inputs!C29-$B34*Inputs!B29)/(1-$B34)</f>
        <v>14.4</v>
      </c>
      <c r="E34" s="23" t="n">
        <f aca="false">(Inputs!D29-$B34*Inputs!C29)/(1-$B34)</f>
        <v>10.8142857142857</v>
      </c>
      <c r="F34" s="23" t="n">
        <f aca="false">(Inputs!E29-$B34*Inputs!D29)/(1-$B34)</f>
        <v>8.08571428571429</v>
      </c>
      <c r="G34" s="23" t="n">
        <f aca="false">(Inputs!F29-$B34*Inputs!E29)/(1-$B34)</f>
        <v>14.0571428571429</v>
      </c>
      <c r="H34" s="23" t="n">
        <f aca="false">(Inputs!G29-$B34*Inputs!F29)/(1-$B34)</f>
        <v>13.6</v>
      </c>
      <c r="I34" s="23" t="n">
        <f aca="false">(Inputs!H29-$B34*Inputs!G29)/(1-$B34)</f>
        <v>9.87142857142857</v>
      </c>
      <c r="J34" s="23" t="n">
        <f aca="false">(Inputs!I29-$B34*Inputs!H29)/(1-$B34)</f>
        <v>2.18571428571429</v>
      </c>
      <c r="K34" s="23" t="n">
        <f aca="false">(Inputs!J29-$B34*Inputs!I29)/(1-$B34)</f>
        <v>6.65714285714286</v>
      </c>
      <c r="L34" s="23" t="n">
        <f aca="false">(Inputs!K29-$B34*Inputs!J29)/(1-$B34)</f>
        <v>11.2428571428571</v>
      </c>
    </row>
    <row r="35" customFormat="false" ht="15" hidden="false" customHeight="false" outlineLevel="0" collapsed="false">
      <c r="A35" s="8" t="s">
        <v>109</v>
      </c>
      <c r="B35" s="29" t="n">
        <v>0.4</v>
      </c>
      <c r="C35" s="23" t="n">
        <f aca="false">Inputs!B29</f>
        <v>13.4</v>
      </c>
      <c r="D35" s="23" t="n">
        <f aca="false">(Inputs!C29-$B35*Inputs!B29)/(1-$B35)</f>
        <v>14.5666666666667</v>
      </c>
      <c r="E35" s="23" t="n">
        <f aca="false">(Inputs!D29-$B35*Inputs!C29)/(1-$B35)</f>
        <v>10.2666666666667</v>
      </c>
      <c r="F35" s="23" t="n">
        <f aca="false">(Inputs!E29-$B35*Inputs!D29)/(1-$B35)</f>
        <v>7.46666666666667</v>
      </c>
      <c r="G35" s="23" t="n">
        <f aca="false">(Inputs!F29-$B35*Inputs!E29)/(1-$B35)</f>
        <v>14.8666666666667</v>
      </c>
      <c r="H35" s="23" t="n">
        <f aca="false">(Inputs!G29-$B35*Inputs!F29)/(1-$B35)</f>
        <v>13.7666666666667</v>
      </c>
      <c r="I35" s="23" t="n">
        <f aca="false">(Inputs!H29-$B35*Inputs!G29)/(1-$B35)</f>
        <v>9.3</v>
      </c>
      <c r="J35" s="23" t="n">
        <f aca="false">(Inputs!I29-$B35*Inputs!H29)/(1-$B35)</f>
        <v>0.733333333333333</v>
      </c>
      <c r="K35" s="23" t="n">
        <f aca="false">(Inputs!J29-$B35*Inputs!I29)/(1-$B35)</f>
        <v>6.96666666666667</v>
      </c>
      <c r="L35" s="23" t="n">
        <f aca="false">(Inputs!K29-$B35*Inputs!J29)/(1-$B35)</f>
        <v>12.1</v>
      </c>
    </row>
    <row r="36" customFormat="false" ht="15" hidden="false" customHeight="false" outlineLevel="0" collapsed="false">
      <c r="A36" s="8" t="s">
        <v>109</v>
      </c>
      <c r="B36" s="29" t="n">
        <v>0.5</v>
      </c>
      <c r="C36" s="23" t="n">
        <f aca="false">Inputs!B29</f>
        <v>13.4</v>
      </c>
      <c r="D36" s="23" t="n">
        <f aca="false">(Inputs!C29-$B36*Inputs!B29)/(1-$B36)</f>
        <v>14.8</v>
      </c>
      <c r="E36" s="23" t="n">
        <f aca="false">(Inputs!D29-$B36*Inputs!C29)/(1-$B36)</f>
        <v>9.5</v>
      </c>
      <c r="F36" s="23" t="n">
        <f aca="false">(Inputs!E29-$B36*Inputs!D29)/(1-$B36)</f>
        <v>6.6</v>
      </c>
      <c r="G36" s="23" t="n">
        <f aca="false">(Inputs!F29-$B36*Inputs!E29)/(1-$B36)</f>
        <v>16</v>
      </c>
      <c r="H36" s="23" t="n">
        <f aca="false">(Inputs!G29-$B36*Inputs!F29)/(1-$B36)</f>
        <v>14</v>
      </c>
      <c r="I36" s="23" t="n">
        <f aca="false">(Inputs!H29-$B36*Inputs!G29)/(1-$B36)</f>
        <v>8.5</v>
      </c>
      <c r="J36" s="23" t="n">
        <f aca="false">(Inputs!I29-$B36*Inputs!H29)/(1-$B36)</f>
        <v>-1.3</v>
      </c>
      <c r="K36" s="23" t="n">
        <f aca="false">(Inputs!J29-$B36*Inputs!I29)/(1-$B36)</f>
        <v>7.4</v>
      </c>
      <c r="L36" s="23" t="n">
        <f aca="false">(Inputs!K29-$B36*Inputs!J29)/(1-$B36)</f>
        <v>13.3</v>
      </c>
    </row>
    <row r="37" customFormat="false" ht="15" hidden="false" customHeight="false" outlineLevel="0" collapsed="false">
      <c r="A37" s="8" t="s">
        <v>109</v>
      </c>
      <c r="B37" s="29" t="n">
        <v>0.6</v>
      </c>
      <c r="C37" s="23" t="n">
        <f aca="false">Inputs!B29</f>
        <v>13.4</v>
      </c>
      <c r="D37" s="23" t="n">
        <f aca="false">(Inputs!C29-$B37*Inputs!B29)/(1-$B37)</f>
        <v>15.15</v>
      </c>
      <c r="E37" s="23" t="n">
        <f aca="false">(Inputs!D29-$B37*Inputs!C29)/(1-$B37)</f>
        <v>8.35</v>
      </c>
      <c r="F37" s="23" t="n">
        <f aca="false">(Inputs!E29-$B37*Inputs!D29)/(1-$B37)</f>
        <v>5.3</v>
      </c>
      <c r="G37" s="23" t="n">
        <f aca="false">(Inputs!F29-$B37*Inputs!E29)/(1-$B37)</f>
        <v>17.7</v>
      </c>
      <c r="H37" s="23" t="n">
        <f aca="false">(Inputs!G29-$B37*Inputs!F29)/(1-$B37)</f>
        <v>14.35</v>
      </c>
      <c r="I37" s="23" t="n">
        <f aca="false">(Inputs!H29-$B37*Inputs!G29)/(1-$B37)</f>
        <v>7.3</v>
      </c>
      <c r="J37" s="23" t="n">
        <f aca="false">(Inputs!I29-$B37*Inputs!H29)/(1-$B37)</f>
        <v>-4.35</v>
      </c>
      <c r="K37" s="23" t="n">
        <f aca="false">(Inputs!J29-$B37*Inputs!I29)/(1-$B37)</f>
        <v>8.05</v>
      </c>
      <c r="L37" s="23" t="n">
        <f aca="false">(Inputs!K29-$B37*Inputs!J29)/(1-$B37)</f>
        <v>15.1</v>
      </c>
    </row>
    <row r="39" customFormat="false" ht="23.85" hidden="false" customHeight="false" outlineLevel="0" collapsed="false">
      <c r="A39" s="16" t="s">
        <v>110</v>
      </c>
      <c r="B39" s="16" t="s">
        <v>108</v>
      </c>
      <c r="C39" s="16" t="s">
        <v>88</v>
      </c>
      <c r="D39" s="16" t="s">
        <v>111</v>
      </c>
      <c r="E39" s="16" t="s">
        <v>89</v>
      </c>
      <c r="F39" s="16" t="s">
        <v>112</v>
      </c>
      <c r="G39" s="16" t="s">
        <v>93</v>
      </c>
    </row>
    <row r="40" customFormat="false" ht="15" hidden="false" customHeight="false" outlineLevel="0" collapsed="false">
      <c r="A40" s="8" t="s">
        <v>109</v>
      </c>
      <c r="B40" s="29" t="n">
        <f aca="false">B32</f>
        <v>0</v>
      </c>
      <c r="C40" s="28" t="n">
        <f aca="false">STDEV(C32:L32)/100</f>
        <v>0.0315469667497703</v>
      </c>
      <c r="D40" s="23" t="n">
        <f aca="false">CORREL(C32:L32,Inputs!B25:K25)</f>
        <v>0.0707109411202364</v>
      </c>
      <c r="E40" s="23" t="n">
        <f aca="false">D40*C40/Smoothing!B22</f>
        <v>0.0215104866205186</v>
      </c>
      <c r="F40" s="28" t="n">
        <f aca="false">SQRT(((1-Inputs!B8)*Smoothing!B22)^2+(Inputs!B8*C40)^2+2*(1-Inputs!B8)*Inputs!B8*D40*Smoothing!B22*C40)</f>
        <v>0.0738674947306173</v>
      </c>
      <c r="G40" s="28" t="n">
        <f aca="false">Smoothing!B22-F40</f>
        <v>0.0298361428354992</v>
      </c>
    </row>
    <row r="41" customFormat="false" ht="15" hidden="false" customHeight="false" outlineLevel="0" collapsed="false">
      <c r="A41" s="8" t="s">
        <v>109</v>
      </c>
      <c r="B41" s="29" t="n">
        <f aca="false">B33</f>
        <v>0.2</v>
      </c>
      <c r="C41" s="28" t="n">
        <f aca="false">STDEV(C33:L33)/100</f>
        <v>0.035496175459086</v>
      </c>
      <c r="D41" s="23" t="n">
        <f aca="false">CORREL(C33:L33,Inputs!B25:K25)</f>
        <v>0.157102035401719</v>
      </c>
      <c r="E41" s="23" t="n">
        <f aca="false">D41*C41/Smoothing!B22</f>
        <v>0.0537736336398388</v>
      </c>
      <c r="F41" s="28" t="n">
        <f aca="false">SQRT(((1-Inputs!B8)*Smoothing!B22)^2+(Inputs!B8*C41)^2+2*(1-Inputs!B8)*Inputs!B8*D41*Smoothing!B22*C41)</f>
        <v>0.0750064275486515</v>
      </c>
      <c r="G41" s="28" t="n">
        <f aca="false">Smoothing!B22-F41</f>
        <v>0.028697210017465</v>
      </c>
    </row>
    <row r="42" customFormat="false" ht="15" hidden="false" customHeight="false" outlineLevel="0" collapsed="false">
      <c r="A42" s="8" t="s">
        <v>109</v>
      </c>
      <c r="B42" s="29" t="n">
        <f aca="false">B34</f>
        <v>0.3</v>
      </c>
      <c r="C42" s="28" t="n">
        <f aca="false">STDEV(C34:L34)/100</f>
        <v>0.0389594707717109</v>
      </c>
      <c r="D42" s="23" t="n">
        <f aca="false">CORREL(C34:L34,Inputs!B25:K25)</f>
        <v>0.204478717852803</v>
      </c>
      <c r="E42" s="23" t="n">
        <f aca="false">D42*C42/Smoothing!B22</f>
        <v>0.0768187386536389</v>
      </c>
      <c r="F42" s="28" t="n">
        <f aca="false">SQRT(((1-Inputs!B8)*Smoothing!B22)^2+(Inputs!B8*C42)^2+2*(1-Inputs!B8)*Inputs!B8*D42*Smoothing!B22*C42)</f>
        <v>0.0758502696793547</v>
      </c>
      <c r="G42" s="28" t="n">
        <f aca="false">Smoothing!B22-F42</f>
        <v>0.0278533678867618</v>
      </c>
    </row>
    <row r="43" customFormat="false" ht="15" hidden="false" customHeight="false" outlineLevel="0" collapsed="false">
      <c r="A43" s="8" t="s">
        <v>109</v>
      </c>
      <c r="B43" s="29" t="n">
        <f aca="false">B35</f>
        <v>0.4</v>
      </c>
      <c r="C43" s="28" t="n">
        <f aca="false">STDEV(C35:L35)/100</f>
        <v>0.0441674842691619</v>
      </c>
      <c r="D43" s="23" t="n">
        <f aca="false">CORREL(C35:L35,Inputs!B25:K25)</f>
        <v>0.252513006801307</v>
      </c>
      <c r="E43" s="23" t="n">
        <f aca="false">D43*C43/Smoothing!B22</f>
        <v>0.107545545338706</v>
      </c>
      <c r="F43" s="28" t="n">
        <f aca="false">SQRT(((1-Inputs!B8)*Smoothing!B22)^2+(Inputs!B8*C43)^2+2*(1-Inputs!B8)*Inputs!B8*D43*Smoothing!B22*C43)</f>
        <v>0.0770130876323412</v>
      </c>
      <c r="G43" s="28" t="n">
        <f aca="false">Smoothing!B22-F43</f>
        <v>0.0266905499337753</v>
      </c>
    </row>
    <row r="44" customFormat="false" ht="15" hidden="false" customHeight="false" outlineLevel="0" collapsed="false">
      <c r="A44" s="8" t="s">
        <v>109</v>
      </c>
      <c r="B44" s="29" t="n">
        <f aca="false">B36</f>
        <v>0.5</v>
      </c>
      <c r="C44" s="28" t="n">
        <f aca="false">STDEV(C36:L36)/100</f>
        <v>0.0522298339606355</v>
      </c>
      <c r="D44" s="23" t="n">
        <f aca="false">CORREL(C36:L36,Inputs!B25:K25)</f>
        <v>0.298946738775172</v>
      </c>
      <c r="E44" s="23" t="n">
        <f aca="false">D44*C44/Smoothing!B22</f>
        <v>0.150563074697799</v>
      </c>
      <c r="F44" s="28" t="n">
        <f aca="false">SQRT(((1-Inputs!B8)*Smoothing!B22)^2+(Inputs!B8*C44)^2+2*(1-Inputs!B8)*Inputs!B8*D44*Smoothing!B22*C44)</f>
        <v>0.0787100191278792</v>
      </c>
      <c r="G44" s="28" t="n">
        <f aca="false">Smoothing!B22-F44</f>
        <v>0.0249936184382373</v>
      </c>
    </row>
    <row r="45" customFormat="false" ht="15" hidden="false" customHeight="false" outlineLevel="0" collapsed="false">
      <c r="A45" s="8" t="s">
        <v>109</v>
      </c>
      <c r="B45" s="29" t="n">
        <f aca="false">B37</f>
        <v>0.6</v>
      </c>
      <c r="C45" s="28" t="n">
        <f aca="false">STDEV(C37:L37)/100</f>
        <v>0.0653299531438511</v>
      </c>
      <c r="D45" s="23" t="n">
        <f aca="false">CORREL(C37:L37,Inputs!B25:K25)</f>
        <v>0.341429143392367</v>
      </c>
      <c r="E45" s="23" t="n">
        <f aca="false">D45*C45/Smoothing!B22</f>
        <v>0.21508936873644</v>
      </c>
      <c r="F45" s="28" t="n">
        <f aca="false">SQRT(((1-Inputs!B8)*Smoothing!B22)^2+(Inputs!B8*C45)^2+2*(1-Inputs!B8)*Inputs!B8*D45*Smoothing!B22*C45)</f>
        <v>0.0813961180141767</v>
      </c>
      <c r="G45" s="28" t="n">
        <f aca="false">Smoothing!B22-F45</f>
        <v>0.0223075195519398</v>
      </c>
    </row>
    <row r="47" customFormat="false" ht="15" hidden="false" customHeight="false" outlineLevel="0" collapsed="false">
      <c r="A47" s="4" t="s">
        <v>113</v>
      </c>
    </row>
    <row r="49" customFormat="false" ht="15" hidden="false" customHeight="false" outlineLevel="0" collapsed="false">
      <c r="A49" s="8" t="s">
        <v>114</v>
      </c>
      <c r="B49" s="23" t="n">
        <f aca="false">1/SQRT(COUNT(Inputs!B29:K29))</f>
        <v>0.316227766016838</v>
      </c>
    </row>
    <row r="50" customFormat="false" ht="15" hidden="false" customHeight="false" outlineLevel="0" collapsed="false">
      <c r="A50" s="8" t="s">
        <v>115</v>
      </c>
      <c r="B50" s="29" t="n">
        <f aca="false">Smoothing!B12-2*'Smoothing Range'!B49</f>
        <v>-0.107970751551747</v>
      </c>
    </row>
    <row r="51" customFormat="false" ht="15" hidden="false" customHeight="false" outlineLevel="0" collapsed="false">
      <c r="A51" s="8" t="s">
        <v>116</v>
      </c>
      <c r="B51" s="29" t="n">
        <f aca="false">Smoothing!B12+2*'Smoothing Range'!B49</f>
        <v>1.15694031251561</v>
      </c>
    </row>
    <row r="52" customFormat="false" ht="15" hidden="false" customHeight="false" outlineLevel="0" collapsed="false">
      <c r="A52" s="8" t="s">
        <v>117</v>
      </c>
      <c r="B52" s="28" t="n">
        <f aca="false">MIN(G40:G45)/Smoothing!B25</f>
        <v>0.747667675239784</v>
      </c>
    </row>
    <row r="54" customFormat="false" ht="15" hidden="false" customHeight="false" outlineLevel="0" collapsed="false">
      <c r="A54" s="4" t="s">
        <v>118</v>
      </c>
    </row>
    <row r="56" customFormat="false" ht="15" hidden="false" customHeight="false" outlineLevel="0" collapsed="false">
      <c r="A56" s="8" t="s">
        <v>119</v>
      </c>
      <c r="B56" s="29" t="n">
        <f aca="false">AVERAGE(Inputs!B25:K25)</f>
        <v>7.6</v>
      </c>
    </row>
    <row r="57" customFormat="false" ht="15" hidden="false" customHeight="false" outlineLevel="0" collapsed="false">
      <c r="A57" s="8" t="s">
        <v>120</v>
      </c>
      <c r="B57" s="29" t="n">
        <f aca="false">AVERAGE(Inputs!B29:K29)</f>
        <v>10.59</v>
      </c>
    </row>
    <row r="58" customFormat="false" ht="15" hidden="false" customHeight="false" outlineLevel="0" collapsed="false">
      <c r="A58" s="8" t="s">
        <v>121</v>
      </c>
      <c r="B58" s="29" t="n">
        <f aca="false">MAX(Inputs!B25:K25)-MIN(Inputs!B25:K25)</f>
        <v>32.9</v>
      </c>
    </row>
    <row r="59" customFormat="false" ht="15" hidden="false" customHeight="false" outlineLevel="0" collapsed="false">
      <c r="A59" s="8" t="s">
        <v>122</v>
      </c>
      <c r="B59" s="29" t="n">
        <f aca="false">MAX(Inputs!B29:K29)-MIN(Inputs!B29:K29)</f>
        <v>9.3</v>
      </c>
    </row>
    <row r="60" customFormat="false" ht="15" hidden="false" customHeight="false" outlineLevel="0" collapsed="false">
      <c r="A60" s="8" t="s">
        <v>123</v>
      </c>
      <c r="B60" s="23" t="n">
        <f aca="false">'Smoothing Range'!B58/'Smoothing Range'!B59</f>
        <v>3.53763440860215</v>
      </c>
    </row>
    <row r="61" customFormat="false" ht="15" hidden="false" customHeight="false" outlineLevel="0" collapsed="false">
      <c r="A61" s="8" t="s">
        <v>124</v>
      </c>
      <c r="B61" s="23" t="n">
        <f aca="false">Smoothing!B22/Smoothing!B16</f>
        <v>3.28727761336584</v>
      </c>
    </row>
    <row r="62" customFormat="false" ht="15" hidden="false" customHeight="false" outlineLevel="0" collapsed="false">
      <c r="A62" s="8" t="s">
        <v>125</v>
      </c>
      <c r="B62" s="29" t="n">
        <f aca="false">SUMPRODUCT(MAX(Inputs!B29:K29-Inputs!B25:K25))-SUMPRODUCT(MIN(Inputs!B29:K29-Inputs!B25:K25))</f>
        <v>34.1</v>
      </c>
    </row>
    <row r="64" customFormat="false" ht="15" hidden="false" customHeight="false" outlineLevel="0" collapsed="false">
      <c r="A64" s="4" t="s">
        <v>126</v>
      </c>
    </row>
    <row r="66" customFormat="false" ht="15" hidden="false" customHeight="false" outlineLevel="0" collapsed="false">
      <c r="A66" s="16"/>
      <c r="B66" s="16" t="s">
        <v>27</v>
      </c>
      <c r="C66" s="16" t="s">
        <v>28</v>
      </c>
      <c r="D66" s="16" t="s">
        <v>29</v>
      </c>
      <c r="E66" s="16" t="s">
        <v>30</v>
      </c>
      <c r="F66" s="16" t="s">
        <v>31</v>
      </c>
      <c r="G66" s="16" t="s">
        <v>32</v>
      </c>
      <c r="H66" s="16" t="s">
        <v>33</v>
      </c>
      <c r="I66" s="16" t="s">
        <v>34</v>
      </c>
      <c r="J66" s="16" t="s">
        <v>35</v>
      </c>
      <c r="K66" s="16" t="s">
        <v>36</v>
      </c>
    </row>
    <row r="67" customFormat="false" ht="15" hidden="false" customHeight="false" outlineLevel="0" collapsed="false">
      <c r="A67" s="8" t="s">
        <v>127</v>
      </c>
      <c r="B67" s="30" t="n">
        <f aca="false">(Inputs!B27-Inputs!B28)*(1+Inputs!B29/100)</f>
        <v>102.06</v>
      </c>
      <c r="C67" s="30" t="n">
        <f aca="false">(B67+Inputs!C27-Inputs!C28)*(1+Inputs!C29/100)</f>
        <v>287.60046</v>
      </c>
      <c r="D67" s="30" t="n">
        <f aca="false">(C67+Inputs!D27-Inputs!D28)*(1+Inputs!D29/100)</f>
        <v>443.39931428</v>
      </c>
      <c r="E67" s="30" t="n">
        <f aca="false">(D67+Inputs!E27-Inputs!E28)*(1+Inputs!E29/100)</f>
        <v>521.32005119376</v>
      </c>
      <c r="F67" s="30" t="n">
        <f aca="false">(E67+Inputs!F27-Inputs!F28)*(1+Inputs!F29/100)</f>
        <v>500.304377644174</v>
      </c>
      <c r="G67" s="30" t="n">
        <f aca="false">(F67+Inputs!G27-Inputs!G28)*(1+Inputs!G29/100)</f>
        <v>394.628859870849</v>
      </c>
      <c r="H67" s="30" t="n">
        <f aca="false">(G67+Inputs!H27-Inputs!H28)*(1+Inputs!H29/100)</f>
        <v>290.146405596771</v>
      </c>
      <c r="I67" s="30" t="n">
        <f aca="false">(H67+Inputs!I27-Inputs!I28)*(1+Inputs!I29/100)</f>
        <v>204.513433065416</v>
      </c>
      <c r="J67" s="30" t="n">
        <f aca="false">(I67+Inputs!J27-Inputs!J28)*(1+Inputs!J29/100)</f>
        <v>125.742752482407</v>
      </c>
      <c r="K67" s="30" t="n">
        <f aca="false">(J67+Inputs!K27-Inputs!K28)*(1+Inputs!K29/100)</f>
        <v>64.4407994732003</v>
      </c>
    </row>
    <row r="68" customFormat="false" ht="15" hidden="false" customHeight="false" outlineLevel="0" collapsed="false">
      <c r="A68" s="8" t="s">
        <v>128</v>
      </c>
      <c r="B68" s="30" t="n">
        <f aca="false">K67</f>
        <v>64.4407994732003</v>
      </c>
      <c r="C68" s="2" t="s">
        <v>129</v>
      </c>
    </row>
    <row r="69" customFormat="false" ht="15" hidden="false" customHeight="false" outlineLevel="0" collapsed="false">
      <c r="A69" s="8" t="s">
        <v>130</v>
      </c>
      <c r="B69" s="28" t="n">
        <f aca="false">EXP(SUMPRODUCT(LN(1+Inputs!B29:K29/100)))^(1/10)-1</f>
        <v>0.105489515713554</v>
      </c>
    </row>
    <row r="70" customFormat="false" ht="15" hidden="false" customHeight="false" outlineLevel="0" collapsed="false">
      <c r="A70" s="8" t="s">
        <v>131</v>
      </c>
      <c r="B70" s="30" t="n">
        <f aca="false">Engine!B6</f>
        <v>-90</v>
      </c>
      <c r="C70" s="30" t="n">
        <f aca="false">Engine!C6</f>
        <v>-150</v>
      </c>
      <c r="D70" s="30" t="n">
        <f aca="false">Engine!D6</f>
        <v>-109</v>
      </c>
      <c r="E70" s="30" t="n">
        <f aca="false">Engine!E6</f>
        <v>-34</v>
      </c>
      <c r="F70" s="30" t="n">
        <f aca="false">Engine!F6</f>
        <v>77</v>
      </c>
      <c r="G70" s="30" t="n">
        <f aca="false">Engine!G6</f>
        <v>152</v>
      </c>
      <c r="H70" s="30" t="n">
        <f aca="false">Engine!H6</f>
        <v>133</v>
      </c>
      <c r="I70" s="30" t="n">
        <f aca="false">Engine!I6</f>
        <v>95</v>
      </c>
      <c r="J70" s="30" t="n">
        <f aca="false">Engine!J6</f>
        <v>86</v>
      </c>
      <c r="K70" s="30" t="n">
        <f aca="false">Inputs!K28-Inputs!K27</f>
        <v>67</v>
      </c>
      <c r="L70" s="30" t="n">
        <f aca="false">Inputs!B11</f>
        <v>143</v>
      </c>
    </row>
    <row r="71" customFormat="false" ht="15" hidden="false" customHeight="false" outlineLevel="0" collapsed="false">
      <c r="A71" s="8" t="s">
        <v>132</v>
      </c>
      <c r="B71" s="28" t="n">
        <f aca="false">IRR(B70:L70)</f>
        <v>0.129426324943432</v>
      </c>
    </row>
    <row r="72" customFormat="false" ht="15" hidden="false" customHeight="false" outlineLevel="0" collapsed="false">
      <c r="A72" s="2" t="s">
        <v>133</v>
      </c>
    </row>
    <row r="73" customFormat="false" ht="15" hidden="false" customHeight="false" outlineLevel="0" collapsed="false">
      <c r="A73" s="2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11" min="2" style="0" width="13"/>
  </cols>
  <sheetData>
    <row r="1" customFormat="false" ht="24" hidden="false" customHeight="tru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A5" s="15"/>
      <c r="B5" s="16" t="s">
        <v>27</v>
      </c>
      <c r="C5" s="16" t="s">
        <v>28</v>
      </c>
      <c r="D5" s="16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16" t="s">
        <v>35</v>
      </c>
      <c r="K5" s="16" t="s">
        <v>36</v>
      </c>
    </row>
    <row r="6" customFormat="false" ht="15" hidden="false" customHeight="false" outlineLevel="0" collapsed="false">
      <c r="A6" s="8" t="s">
        <v>137</v>
      </c>
      <c r="B6" s="21" t="n">
        <f aca="false">Inputs!B10</f>
        <v>600</v>
      </c>
      <c r="C6" s="21" t="n">
        <f aca="false">Inputs!B10</f>
        <v>600</v>
      </c>
      <c r="D6" s="21" t="n">
        <f aca="false">Inputs!B10</f>
        <v>600</v>
      </c>
      <c r="E6" s="21" t="n">
        <f aca="false">Inputs!B10</f>
        <v>600</v>
      </c>
      <c r="F6" s="21" t="n">
        <f aca="false">Inputs!B10</f>
        <v>600</v>
      </c>
      <c r="G6" s="21" t="n">
        <f aca="false">MAX(0,Engine!G7)</f>
        <v>154</v>
      </c>
      <c r="H6" s="21" t="n">
        <f aca="false">MAX(0,Engine!H7)</f>
        <v>21</v>
      </c>
      <c r="I6" s="21" t="n">
        <f aca="false">MAX(0,Engine!I7)</f>
        <v>0</v>
      </c>
      <c r="J6" s="21" t="n">
        <f aca="false">MAX(0,Engine!J7)</f>
        <v>0</v>
      </c>
      <c r="K6" s="21" t="n">
        <f aca="false">MAX(0,Engine!K7)</f>
        <v>0</v>
      </c>
    </row>
    <row r="7" customFormat="false" ht="15" hidden="false" customHeight="false" outlineLevel="0" collapsed="false">
      <c r="A7" s="19" t="s">
        <v>138</v>
      </c>
      <c r="B7" s="20" t="n">
        <f aca="false">B6*Inputs!$B$15</f>
        <v>10.5</v>
      </c>
      <c r="C7" s="20" t="n">
        <f aca="false">C6*Inputs!$B$15</f>
        <v>10.5</v>
      </c>
      <c r="D7" s="20" t="n">
        <f aca="false">D6*Inputs!$B$15</f>
        <v>10.5</v>
      </c>
      <c r="E7" s="20" t="n">
        <f aca="false">E6*Inputs!$B$15</f>
        <v>10.5</v>
      </c>
      <c r="F7" s="20" t="n">
        <f aca="false">F6*Inputs!$B$15</f>
        <v>10.5</v>
      </c>
      <c r="G7" s="20" t="n">
        <f aca="false">G6*Inputs!$B$15</f>
        <v>2.695</v>
      </c>
      <c r="H7" s="20" t="n">
        <f aca="false">H6*Inputs!$B$15</f>
        <v>0.3675</v>
      </c>
      <c r="I7" s="20" t="n">
        <f aca="false">I6*Inputs!$B$15</f>
        <v>0</v>
      </c>
      <c r="J7" s="20" t="n">
        <f aca="false">J6*Inputs!$B$15</f>
        <v>0</v>
      </c>
      <c r="K7" s="20" t="n">
        <f aca="false">K6*Inputs!$B$15</f>
        <v>0</v>
      </c>
    </row>
    <row r="9" customFormat="false" ht="15" hidden="false" customHeight="false" outlineLevel="0" collapsed="false">
      <c r="A9" s="4" t="s">
        <v>139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1" customFormat="false" ht="15" hidden="false" customHeight="false" outlineLevel="0" collapsed="false">
      <c r="A11" s="19" t="s">
        <v>140</v>
      </c>
      <c r="B11" s="20" t="n">
        <f aca="false">SUM(B7:K7)</f>
        <v>55.5625</v>
      </c>
    </row>
    <row r="12" customFormat="false" ht="15" hidden="false" customHeight="false" outlineLevel="0" collapsed="false">
      <c r="A12" s="8" t="s">
        <v>141</v>
      </c>
      <c r="B12" s="21" t="n">
        <f aca="false">Engine!B32+Inputs!B11-Engine!B31</f>
        <v>370</v>
      </c>
    </row>
    <row r="13" customFormat="false" ht="15" hidden="false" customHeight="false" outlineLevel="0" collapsed="false">
      <c r="A13" s="19" t="s">
        <v>142</v>
      </c>
      <c r="B13" s="20" t="n">
        <f aca="false">B12*Inputs!B16/(1-Inputs!B16)</f>
        <v>92.5</v>
      </c>
    </row>
    <row r="14" customFormat="false" ht="15" hidden="false" customHeight="false" outlineLevel="0" collapsed="false">
      <c r="A14" s="19" t="s">
        <v>22</v>
      </c>
      <c r="B14" s="20" t="n">
        <f aca="false">Inputs!B7*Inputs!B8*Inputs!B17*10</f>
        <v>21</v>
      </c>
    </row>
    <row r="15" customFormat="false" ht="15" hidden="false" customHeight="false" outlineLevel="0" collapsed="false">
      <c r="A15" s="19" t="s">
        <v>143</v>
      </c>
      <c r="B15" s="20" t="n">
        <f aca="false">B11+B13+B14</f>
        <v>169.0625</v>
      </c>
    </row>
    <row r="16" customFormat="false" ht="15" hidden="false" customHeight="false" outlineLevel="0" collapsed="false">
      <c r="A16" s="19" t="s">
        <v>144</v>
      </c>
      <c r="B16" s="25" t="n">
        <f aca="false">B15/B12</f>
        <v>0.456925675675676</v>
      </c>
    </row>
    <row r="17" customFormat="false" ht="15" hidden="false" customHeight="false" outlineLevel="0" collapsed="false">
      <c r="A17" s="8" t="s">
        <v>145</v>
      </c>
      <c r="B17" s="21" t="n">
        <f aca="false">B12+B15</f>
        <v>539.0625</v>
      </c>
    </row>
    <row r="18" customFormat="false" ht="15" hidden="false" customHeight="false" outlineLevel="0" collapsed="false">
      <c r="A18" s="8" t="s">
        <v>146</v>
      </c>
      <c r="B18" s="28" t="n">
        <f aca="false">B15/Inputs!B9/10</f>
        <v>0.0281770833333333</v>
      </c>
    </row>
    <row r="19" customFormat="false" ht="15" hidden="false" customHeight="false" outlineLevel="0" collapsed="false">
      <c r="A19" s="8" t="s">
        <v>147</v>
      </c>
      <c r="B19" s="28" t="n">
        <f aca="false">B15/Engine!B36/10</f>
        <v>0.0441416449086162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20"/>
  </cols>
  <sheetData>
    <row r="1" customFormat="false" ht="24" hidden="false" customHeight="true" outlineLevel="0" collapsed="false">
      <c r="A1" s="1" t="s">
        <v>148</v>
      </c>
    </row>
    <row r="2" customFormat="false" ht="15" hidden="false" customHeight="false" outlineLevel="0" collapsed="false">
      <c r="A2" s="2" t="s">
        <v>149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30" hidden="false" customHeight="true" outlineLevel="0" collapsed="false">
      <c r="A5" s="15" t="s">
        <v>150</v>
      </c>
      <c r="B5" s="16" t="s">
        <v>151</v>
      </c>
      <c r="C5" s="16" t="s">
        <v>152</v>
      </c>
      <c r="D5" s="16" t="s">
        <v>153</v>
      </c>
    </row>
    <row r="6" customFormat="false" ht="15" hidden="false" customHeight="false" outlineLevel="0" collapsed="false">
      <c r="A6" s="8" t="s">
        <v>154</v>
      </c>
      <c r="B6" s="21" t="n">
        <f aca="false">Inputs!B11*1</f>
        <v>143</v>
      </c>
      <c r="C6" s="21" t="n">
        <f aca="false">Engine!B35-Inputs!B11*0</f>
        <v>1445.0838576165</v>
      </c>
      <c r="D6" s="25" t="n">
        <f aca="false">(C6/Inputs!B9)^(1/10)-1</f>
        <v>0.091878161805681</v>
      </c>
    </row>
    <row r="7" customFormat="false" ht="15" hidden="false" customHeight="false" outlineLevel="0" collapsed="false">
      <c r="A7" s="8" t="s">
        <v>155</v>
      </c>
      <c r="B7" s="21" t="n">
        <f aca="false">Inputs!B11*0.9</f>
        <v>128.7</v>
      </c>
      <c r="C7" s="21" t="n">
        <f aca="false">Engine!B35-Inputs!B11*0.1</f>
        <v>1430.7838576165</v>
      </c>
      <c r="D7" s="28" t="n">
        <f aca="false">(C7/Inputs!B9)^(1/10)-1</f>
        <v>0.090792838937179</v>
      </c>
    </row>
    <row r="8" customFormat="false" ht="15" hidden="false" customHeight="false" outlineLevel="0" collapsed="false">
      <c r="A8" s="8" t="s">
        <v>156</v>
      </c>
      <c r="B8" s="21" t="n">
        <f aca="false">Inputs!B11*0.85</f>
        <v>121.55</v>
      </c>
      <c r="C8" s="21" t="n">
        <f aca="false">Engine!B35-Inputs!B11*0.15</f>
        <v>1423.6338576165</v>
      </c>
      <c r="D8" s="28" t="n">
        <f aca="false">(C8/Inputs!B9)^(1/10)-1</f>
        <v>0.0902465116227555</v>
      </c>
    </row>
    <row r="9" customFormat="false" ht="15" hidden="false" customHeight="false" outlineLevel="0" collapsed="false">
      <c r="A9" s="8" t="s">
        <v>157</v>
      </c>
      <c r="B9" s="21" t="n">
        <f aca="false">Inputs!B11*0.8</f>
        <v>114.4</v>
      </c>
      <c r="C9" s="21" t="n">
        <f aca="false">Engine!B35-Inputs!B11*0.2</f>
        <v>1416.4838576165</v>
      </c>
      <c r="D9" s="28" t="n">
        <f aca="false">(C9/Inputs!B9)^(1/10)-1</f>
        <v>0.0896977092370408</v>
      </c>
    </row>
    <row r="10" customFormat="false" ht="15" hidden="false" customHeight="false" outlineLevel="0" collapsed="false">
      <c r="A10" s="8" t="s">
        <v>158</v>
      </c>
      <c r="B10" s="21" t="n">
        <f aca="false">Inputs!B11*0.7</f>
        <v>100.1</v>
      </c>
      <c r="C10" s="21" t="n">
        <f aca="false">Engine!B35-Inputs!B11*0.3</f>
        <v>1402.1838576165</v>
      </c>
      <c r="D10" s="28" t="n">
        <f aca="false">(C10/Inputs!B9)^(1/10)-1</f>
        <v>0.088592583733919</v>
      </c>
    </row>
    <row r="11" customFormat="false" ht="15" hidden="false" customHeight="false" outlineLevel="0" collapsed="false">
      <c r="A11" s="8" t="s">
        <v>159</v>
      </c>
      <c r="B11" s="21" t="n">
        <f aca="false">Inputs!B11*0.5</f>
        <v>71.5</v>
      </c>
      <c r="C11" s="21" t="n">
        <f aca="false">Engine!B35-Inputs!B11*0.5</f>
        <v>1373.5838576165</v>
      </c>
      <c r="D11" s="28" t="n">
        <f aca="false">(C11/Inputs!B9)^(1/10)-1</f>
        <v>0.0863515611323618</v>
      </c>
    </row>
    <row r="12" customFormat="false" ht="15" hidden="false" customHeight="false" outlineLevel="0" collapsed="false">
      <c r="A12" s="8" t="s">
        <v>160</v>
      </c>
      <c r="B12" s="21" t="n">
        <f aca="false">Inputs!B11*0</f>
        <v>0</v>
      </c>
      <c r="C12" s="21" t="n">
        <f aca="false">Engine!B35-Inputs!B11*1</f>
        <v>1302.0838576165</v>
      </c>
      <c r="D12" s="28" t="n">
        <f aca="false">(C12/Inputs!B9)^(1/10)-1</f>
        <v>0.080559710360915</v>
      </c>
    </row>
    <row r="14" customFormat="false" ht="15" hidden="false" customHeight="false" outlineLevel="0" collapsed="false">
      <c r="A14" s="19" t="s">
        <v>161</v>
      </c>
      <c r="D14" s="25" t="n">
        <f aca="false">Engine!B26^(1/10)-1</f>
        <v>0.0713115360147736</v>
      </c>
    </row>
    <row r="16" customFormat="false" ht="15" hidden="false" customHeight="false" outlineLevel="0" collapsed="false">
      <c r="A16" s="18" t="s">
        <v>162</v>
      </c>
    </row>
    <row r="17" customFormat="false" ht="15" hidden="false" customHeight="false" outlineLevel="0" collapsed="false">
      <c r="A17" s="18" t="s">
        <v>163</v>
      </c>
    </row>
    <row r="18" customFormat="false" ht="15" hidden="false" customHeight="false" outlineLevel="0" collapsed="false">
      <c r="A18" s="18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12" min="2" style="0" width="12"/>
  </cols>
  <sheetData>
    <row r="1" customFormat="false" ht="19.7" hidden="false" customHeight="fals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5" customFormat="false" ht="15" hidden="false" customHeight="false" outlineLevel="0" collapsed="false">
      <c r="A5" s="4" t="s">
        <v>167</v>
      </c>
    </row>
    <row r="7" customFormat="false" ht="15" hidden="false" customHeight="false" outlineLevel="0" collapsed="false">
      <c r="A7" s="8" t="s">
        <v>168</v>
      </c>
      <c r="B7" s="28" t="n">
        <f aca="false">Fees!B13/Fees!B15</f>
        <v>0.547134935304991</v>
      </c>
      <c r="C7" s="2" t="s">
        <v>169</v>
      </c>
    </row>
    <row r="8" customFormat="false" ht="15" hidden="false" customHeight="false" outlineLevel="0" collapsed="false">
      <c r="A8" s="8" t="s">
        <v>170</v>
      </c>
      <c r="B8" s="28" t="n">
        <f aca="false">Fees!B11/Fees!B15</f>
        <v>0.328650646950092</v>
      </c>
      <c r="C8" s="2" t="s">
        <v>171</v>
      </c>
    </row>
    <row r="9" customFormat="false" ht="15" hidden="false" customHeight="false" outlineLevel="0" collapsed="false">
      <c r="A9" s="8" t="s">
        <v>172</v>
      </c>
      <c r="B9" s="28" t="n">
        <f aca="false">Fees!B14/Fees!B15</f>
        <v>0.124214417744917</v>
      </c>
      <c r="C9" s="2" t="s">
        <v>173</v>
      </c>
    </row>
    <row r="10" customFormat="false" ht="15" hidden="false" customHeight="false" outlineLevel="0" collapsed="false">
      <c r="A10" s="8" t="s">
        <v>174</v>
      </c>
      <c r="B10" s="30" t="n">
        <f aca="false">SUM(Fees!B7:F7)</f>
        <v>52.5</v>
      </c>
    </row>
    <row r="11" customFormat="false" ht="15" hidden="false" customHeight="false" outlineLevel="0" collapsed="false">
      <c r="A11" s="8" t="s">
        <v>175</v>
      </c>
      <c r="B11" s="28" t="n">
        <f aca="false">'Fees and Exit Detail'!B10/Fees!B11</f>
        <v>0.94488188976378</v>
      </c>
      <c r="C11" s="2" t="s">
        <v>176</v>
      </c>
    </row>
    <row r="12" customFormat="false" ht="15" hidden="false" customHeight="false" outlineLevel="0" collapsed="false">
      <c r="A12" s="8" t="s">
        <v>177</v>
      </c>
      <c r="B12" s="28" t="n">
        <f aca="false">Fees!B7/Inputs!B27</f>
        <v>0.116666666666667</v>
      </c>
    </row>
    <row r="13" customFormat="false" ht="15" hidden="false" customHeight="false" outlineLevel="0" collapsed="false">
      <c r="A13" s="8" t="s">
        <v>178</v>
      </c>
      <c r="B13" s="23" t="n">
        <f aca="false">Fees!G7</f>
        <v>2.695</v>
      </c>
    </row>
    <row r="14" customFormat="false" ht="15" hidden="false" customHeight="false" outlineLevel="0" collapsed="false">
      <c r="A14" s="8" t="s">
        <v>179</v>
      </c>
      <c r="B14" s="23" t="n">
        <f aca="false">Fees!H7</f>
        <v>0.3675</v>
      </c>
    </row>
    <row r="15" customFormat="false" ht="15" hidden="false" customHeight="false" outlineLevel="0" collapsed="false">
      <c r="A15" s="8" t="s">
        <v>180</v>
      </c>
      <c r="B15" s="28" t="n">
        <f aca="false">1-Fees!G6/Fees!F6</f>
        <v>0.743333333333333</v>
      </c>
    </row>
    <row r="16" customFormat="false" ht="15" hidden="false" customHeight="false" outlineLevel="0" collapsed="false">
      <c r="A16" s="8" t="s">
        <v>181</v>
      </c>
      <c r="B16" s="30" t="n">
        <f aca="false">Fees!B13/Inputs!B16</f>
        <v>462.5</v>
      </c>
    </row>
    <row r="17" customFormat="false" ht="15" hidden="false" customHeight="false" outlineLevel="0" collapsed="false">
      <c r="A17" s="8" t="s">
        <v>182</v>
      </c>
      <c r="B17" s="30" t="n">
        <f aca="false">Fees!B12+Fees!B11+Fees!B13</f>
        <v>518.0625</v>
      </c>
    </row>
    <row r="18" customFormat="false" ht="15" hidden="false" customHeight="false" outlineLevel="0" collapsed="false">
      <c r="A18" s="8" t="s">
        <v>183</v>
      </c>
      <c r="B18" s="30" t="n">
        <f aca="false">Fees!B12-Fees!B14</f>
        <v>349</v>
      </c>
      <c r="C18" s="2" t="s">
        <v>184</v>
      </c>
    </row>
    <row r="19" customFormat="false" ht="15" hidden="false" customHeight="false" outlineLevel="0" collapsed="false">
      <c r="A19" s="8" t="s">
        <v>185</v>
      </c>
      <c r="B19" s="28" t="n">
        <f aca="false">Fees!B15/'Fees and Exit Detail'!B18</f>
        <v>0.484419770773639</v>
      </c>
    </row>
    <row r="20" customFormat="false" ht="15" hidden="false" customHeight="false" outlineLevel="0" collapsed="false">
      <c r="A20" s="8" t="s">
        <v>186</v>
      </c>
      <c r="B20" s="30" t="n">
        <f aca="false">Engine!B33/Inputs!B9*Fees!B14</f>
        <v>1.26</v>
      </c>
    </row>
    <row r="22" customFormat="false" ht="15" hidden="false" customHeight="false" outlineLevel="0" collapsed="false">
      <c r="A22" s="4" t="s">
        <v>187</v>
      </c>
    </row>
    <row r="24" customFormat="false" ht="15" hidden="false" customHeight="false" outlineLevel="0" collapsed="false">
      <c r="A24" s="16" t="s">
        <v>188</v>
      </c>
      <c r="B24" s="16" t="s">
        <v>189</v>
      </c>
      <c r="C24" s="16" t="s">
        <v>190</v>
      </c>
      <c r="D24" s="16" t="s">
        <v>191</v>
      </c>
    </row>
    <row r="25" customFormat="false" ht="15" hidden="false" customHeight="false" outlineLevel="0" collapsed="false">
      <c r="A25" s="8" t="s">
        <v>192</v>
      </c>
      <c r="B25" s="30" t="n">
        <f aca="false">Inputs!B10</f>
        <v>600</v>
      </c>
      <c r="C25" s="28" t="n">
        <f aca="false">Fees!$B$15/B25</f>
        <v>0.281770833333333</v>
      </c>
      <c r="D25" s="28" t="n">
        <f aca="false">C25/10</f>
        <v>0.0281770833333333</v>
      </c>
    </row>
    <row r="26" customFormat="false" ht="15" hidden="false" customHeight="false" outlineLevel="0" collapsed="false">
      <c r="A26" s="8" t="s">
        <v>193</v>
      </c>
      <c r="B26" s="30" t="n">
        <f aca="false">Engine!B31</f>
        <v>564</v>
      </c>
      <c r="C26" s="28" t="n">
        <f aca="false">Fees!$B$15/B26</f>
        <v>0.299756205673759</v>
      </c>
      <c r="D26" s="28" t="n">
        <f aca="false">C26/10</f>
        <v>0.0299756205673759</v>
      </c>
    </row>
    <row r="27" customFormat="false" ht="15" hidden="false" customHeight="false" outlineLevel="0" collapsed="false">
      <c r="A27" s="8" t="s">
        <v>194</v>
      </c>
      <c r="B27" s="30" t="n">
        <f aca="false">Engine!B36</f>
        <v>383</v>
      </c>
      <c r="C27" s="28" t="n">
        <f aca="false">Fees!$B$15/B27</f>
        <v>0.441416449086162</v>
      </c>
      <c r="D27" s="28" t="n">
        <f aca="false">C27/10</f>
        <v>0.0441416449086162</v>
      </c>
    </row>
    <row r="28" customFormat="false" ht="15" hidden="false" customHeight="false" outlineLevel="0" collapsed="false">
      <c r="A28" s="8" t="s">
        <v>195</v>
      </c>
      <c r="B28" s="30" t="n">
        <f aca="false">Fees!B17</f>
        <v>539.0625</v>
      </c>
      <c r="C28" s="28" t="n">
        <f aca="false">Fees!$B$15/B28</f>
        <v>0.313623188405797</v>
      </c>
    </row>
    <row r="29" customFormat="false" ht="15" hidden="false" customHeight="false" outlineLevel="0" collapsed="false">
      <c r="A29" s="8" t="s">
        <v>196</v>
      </c>
      <c r="B29" s="30" t="n">
        <f aca="false">Fees!B12</f>
        <v>370</v>
      </c>
      <c r="C29" s="28" t="n">
        <f aca="false">Fees!$B$15/B29</f>
        <v>0.456925675675676</v>
      </c>
    </row>
    <row r="30" customFormat="false" ht="15" hidden="false" customHeight="false" outlineLevel="0" collapsed="false">
      <c r="A30" s="8" t="s">
        <v>197</v>
      </c>
      <c r="B30" s="30" t="n">
        <f aca="false">Engine!B32</f>
        <v>791</v>
      </c>
      <c r="C30" s="28" t="n">
        <f aca="false">Fees!$B$15/B30</f>
        <v>0.213732616940582</v>
      </c>
    </row>
    <row r="31" customFormat="false" ht="15" hidden="false" customHeight="false" outlineLevel="0" collapsed="false">
      <c r="A31" s="8" t="s">
        <v>198</v>
      </c>
      <c r="B31" s="23" t="n">
        <f aca="false">D27/D25</f>
        <v>1.56657963446475</v>
      </c>
    </row>
    <row r="33" customFormat="false" ht="15" hidden="false" customHeight="false" outlineLevel="0" collapsed="false">
      <c r="A33" s="4" t="s">
        <v>199</v>
      </c>
    </row>
    <row r="35" customFormat="false" ht="15" hidden="false" customHeight="false" outlineLevel="0" collapsed="false">
      <c r="A35" s="8" t="s">
        <v>200</v>
      </c>
      <c r="B35" s="28" t="n">
        <f aca="false">Inputs!B11/Engine!B35</f>
        <v>0.0989561949960901</v>
      </c>
    </row>
    <row r="36" customFormat="false" ht="15" hidden="false" customHeight="false" outlineLevel="0" collapsed="false">
      <c r="A36" s="8" t="s">
        <v>201</v>
      </c>
      <c r="B36" s="28" t="n">
        <f aca="false">0.3*'Fees and Exit Detail'!B35</f>
        <v>0.029686858498827</v>
      </c>
    </row>
    <row r="37" customFormat="false" ht="15" hidden="false" customHeight="false" outlineLevel="0" collapsed="false">
      <c r="A37" s="8" t="s">
        <v>202</v>
      </c>
      <c r="B37" s="28" t="n">
        <f aca="false">'The Exit'!D6-'The Exit'!D10</f>
        <v>0.003285578071762</v>
      </c>
      <c r="C37" s="2" t="s">
        <v>203</v>
      </c>
    </row>
    <row r="38" customFormat="false" ht="15" hidden="false" customHeight="false" outlineLevel="0" collapsed="false">
      <c r="A38" s="8" t="s">
        <v>204</v>
      </c>
      <c r="B38" s="28" t="n">
        <f aca="false">'The Exit'!D6-'The Exit'!D9</f>
        <v>0.00218045256864019</v>
      </c>
    </row>
    <row r="39" customFormat="false" ht="15" hidden="false" customHeight="false" outlineLevel="0" collapsed="false">
      <c r="A39" s="8" t="s">
        <v>205</v>
      </c>
      <c r="B39" s="28" t="n">
        <f aca="false">'The Exit'!D6-'The Exit'!D7</f>
        <v>0.00108532286850194</v>
      </c>
    </row>
    <row r="40" customFormat="false" ht="15" hidden="false" customHeight="false" outlineLevel="0" collapsed="false">
      <c r="A40" s="8" t="s">
        <v>206</v>
      </c>
      <c r="B40" s="28" t="n">
        <f aca="false">'Fees and Exit Detail'!B36/10</f>
        <v>0.0029686858498827</v>
      </c>
    </row>
    <row r="41" customFormat="false" ht="15" hidden="false" customHeight="false" outlineLevel="0" collapsed="false">
      <c r="A41" s="8" t="s">
        <v>207</v>
      </c>
      <c r="B41" s="28" t="n">
        <f aca="false">'Fees and Exit Detail'!B40*(1+'The Exit'!D6)</f>
        <v>0.00324144324874846</v>
      </c>
      <c r="C41" s="2" t="s">
        <v>208</v>
      </c>
    </row>
    <row r="42" customFormat="false" ht="15" hidden="false" customHeight="false" outlineLevel="0" collapsed="false">
      <c r="A42" s="8" t="s">
        <v>209</v>
      </c>
      <c r="B42" s="28" t="n">
        <f aca="false">'Fees and Exit Detail'!B37-'Fees and Exit Detail'!B40</f>
        <v>0.000316892221879294</v>
      </c>
    </row>
    <row r="43" customFormat="false" ht="15" hidden="false" customHeight="false" outlineLevel="0" collapsed="false">
      <c r="A43" s="8" t="s">
        <v>210</v>
      </c>
      <c r="B43" s="28" t="n">
        <f aca="false">'The Exit'!D12</f>
        <v>0.080559710360915</v>
      </c>
    </row>
    <row r="44" customFormat="false" ht="15" hidden="false" customHeight="false" outlineLevel="0" collapsed="false">
      <c r="A44" s="8" t="s">
        <v>211</v>
      </c>
      <c r="B44" s="28" t="n">
        <f aca="false">'The Exit'!D12-'The Exit'!D14</f>
        <v>0.00924817434614145</v>
      </c>
    </row>
    <row r="45" customFormat="false" ht="15" hidden="false" customHeight="false" outlineLevel="0" collapsed="false">
      <c r="A45" s="8" t="s">
        <v>212</v>
      </c>
      <c r="B45" s="30" t="n">
        <f aca="false">'The Exit'!C12-Inputs!B9*Engine!B26</f>
        <v>107.245750593743</v>
      </c>
    </row>
    <row r="46" customFormat="false" ht="15" hidden="false" customHeight="false" outlineLevel="0" collapsed="false">
      <c r="A46" s="8" t="s">
        <v>213</v>
      </c>
      <c r="B46" s="31" t="n">
        <f aca="false">1.5</f>
        <v>1.5</v>
      </c>
    </row>
    <row r="47" customFormat="false" ht="23.85" hidden="false" customHeight="false" outlineLevel="0" collapsed="false">
      <c r="A47" s="16" t="s">
        <v>150</v>
      </c>
      <c r="B47" s="16" t="s">
        <v>151</v>
      </c>
      <c r="C47" s="16" t="s">
        <v>214</v>
      </c>
    </row>
    <row r="48" customFormat="false" ht="15" hidden="false" customHeight="false" outlineLevel="0" collapsed="false">
      <c r="A48" s="8" t="s">
        <v>155</v>
      </c>
      <c r="B48" s="30" t="n">
        <f aca="false">'The Exit'!B7</f>
        <v>128.7</v>
      </c>
      <c r="C48" s="28" t="n">
        <f aca="false">(Inputs!B11/B48)^(1/'Fees and Exit Detail'!B46)-1</f>
        <v>0.0727659828951441</v>
      </c>
    </row>
    <row r="49" customFormat="false" ht="15" hidden="false" customHeight="false" outlineLevel="0" collapsed="false">
      <c r="A49" s="8" t="s">
        <v>156</v>
      </c>
      <c r="B49" s="30" t="n">
        <f aca="false">'The Exit'!B8</f>
        <v>121.55</v>
      </c>
      <c r="C49" s="28" t="n">
        <f aca="false">(Inputs!B11/B49)^(1/'Fees and Exit Detail'!B46)-1</f>
        <v>0.114433220218717</v>
      </c>
    </row>
    <row r="50" customFormat="false" ht="15" hidden="false" customHeight="false" outlineLevel="0" collapsed="false">
      <c r="A50" s="8" t="s">
        <v>157</v>
      </c>
      <c r="B50" s="30" t="n">
        <f aca="false">'The Exit'!B9</f>
        <v>114.4</v>
      </c>
      <c r="C50" s="28" t="n">
        <f aca="false">(Inputs!B11/B50)^(1/'Fees and Exit Detail'!B46)-1</f>
        <v>0.160397208403195</v>
      </c>
    </row>
    <row r="51" customFormat="false" ht="15" hidden="false" customHeight="false" outlineLevel="0" collapsed="false">
      <c r="A51" s="8" t="s">
        <v>158</v>
      </c>
      <c r="B51" s="30" t="n">
        <f aca="false">'The Exit'!B10</f>
        <v>100.1</v>
      </c>
      <c r="C51" s="28" t="n">
        <f aca="false">(Inputs!B11/B51)^(1/'Fees and Exit Detail'!B46)-1</f>
        <v>0.268434288203715</v>
      </c>
    </row>
    <row r="52" customFormat="false" ht="15" hidden="false" customHeight="false" outlineLevel="0" collapsed="false">
      <c r="A52" s="8" t="s">
        <v>215</v>
      </c>
      <c r="B52" s="28" t="n">
        <f aca="false">(Inputs!B11/'The Exit'!B10)^(1/3)-1</f>
        <v>0.126247880443606</v>
      </c>
    </row>
    <row r="53" customFormat="false" ht="15" hidden="false" customHeight="false" outlineLevel="0" collapsed="false">
      <c r="A53" s="8" t="s">
        <v>216</v>
      </c>
      <c r="B53" s="30" t="n">
        <f aca="false">0.3*Engine!B31</f>
        <v>169.2</v>
      </c>
    </row>
    <row r="54" customFormat="false" ht="15" hidden="false" customHeight="false" outlineLevel="0" collapsed="false">
      <c r="A54" s="8" t="s">
        <v>217</v>
      </c>
      <c r="B54" s="23" t="n">
        <f aca="false">'Fees and Exit Detail'!B53/(0.3*Inputs!B11)</f>
        <v>3.94405594405594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8"/>
    <col collapsed="false" customWidth="true" hidden="false" outlineLevel="0" max="4" min="3" style="0" width="13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8" min="8" style="0" width="60"/>
  </cols>
  <sheetData>
    <row r="1" customFormat="false" ht="19.7" hidden="false" customHeight="false" outlineLevel="0" collapsed="false">
      <c r="A1" s="32" t="s">
        <v>218</v>
      </c>
    </row>
    <row r="2" customFormat="false" ht="15" hidden="false" customHeight="false" outlineLevel="0" collapsed="false">
      <c r="A2" s="2" t="s">
        <v>219</v>
      </c>
    </row>
    <row r="5" customFormat="false" ht="15" hidden="false" customHeight="false" outlineLevel="0" collapsed="false">
      <c r="A5" s="33" t="s">
        <v>220</v>
      </c>
      <c r="B5" s="33" t="s">
        <v>221</v>
      </c>
      <c r="C5" s="33" t="s">
        <v>222</v>
      </c>
      <c r="D5" s="33" t="s">
        <v>223</v>
      </c>
      <c r="E5" s="33" t="s">
        <v>224</v>
      </c>
      <c r="F5" s="33" t="s">
        <v>225</v>
      </c>
      <c r="G5" s="33" t="s">
        <v>226</v>
      </c>
      <c r="H5" s="33" t="s">
        <v>227</v>
      </c>
    </row>
    <row r="6" customFormat="false" ht="15" hidden="false" customHeight="false" outlineLevel="0" collapsed="false">
      <c r="A6" s="8" t="s">
        <v>228</v>
      </c>
      <c r="B6" s="8" t="s">
        <v>66</v>
      </c>
      <c r="C6" s="23" t="n">
        <v>0.5245</v>
      </c>
      <c r="D6" s="23" t="n">
        <f aca="false">Smoothing!B12</f>
        <v>0.524484780481929</v>
      </c>
      <c r="E6" s="23" t="n">
        <f aca="false">D6-C6</f>
        <v>-1.52195180705972E-005</v>
      </c>
      <c r="F6" s="8" t="n">
        <v>5E-005</v>
      </c>
      <c r="G6" s="8" t="str">
        <f aca="false">IF(ISNUMBER(D6),IF(ABS(E6)&lt;=F6,"PASS","FAIL"),"FAIL")</f>
        <v>PASS</v>
      </c>
      <c r="H6" s="8"/>
    </row>
    <row r="7" customFormat="false" ht="15" hidden="false" customHeight="false" outlineLevel="0" collapsed="false">
      <c r="A7" s="34" t="s">
        <v>228</v>
      </c>
      <c r="B7" s="34" t="s">
        <v>229</v>
      </c>
      <c r="C7" s="35" t="n">
        <v>0.031547</v>
      </c>
      <c r="D7" s="35" t="n">
        <f aca="false">Smoothing!B16</f>
        <v>0.0315469667497703</v>
      </c>
      <c r="E7" s="35" t="n">
        <f aca="false">D7-C7</f>
        <v>-3.32502297223369E-008</v>
      </c>
      <c r="F7" s="34" t="n">
        <v>5E-007</v>
      </c>
      <c r="G7" s="34" t="str">
        <f aca="false">IF(ISNUMBER(D7),IF(ABS(E7)&lt;=F7,"PASS","FAIL"),"FAIL")</f>
        <v>PASS</v>
      </c>
      <c r="H7" s="34"/>
    </row>
    <row r="8" customFormat="false" ht="15" hidden="false" customHeight="false" outlineLevel="0" collapsed="false">
      <c r="A8" s="8" t="s">
        <v>228</v>
      </c>
      <c r="B8" s="8" t="s">
        <v>230</v>
      </c>
      <c r="C8" s="28" t="n">
        <v>0.054849</v>
      </c>
      <c r="D8" s="28" t="n">
        <f aca="false">'Smoothing Range'!B10</f>
        <v>0.0548491134641155</v>
      </c>
      <c r="E8" s="28" t="n">
        <f aca="false">D8-C8</f>
        <v>1.13464115519824E-007</v>
      </c>
      <c r="F8" s="8" t="n">
        <v>5E-007</v>
      </c>
      <c r="G8" s="8" t="str">
        <f aca="false">IF(ISNUMBER(D8),IF(ABS(E8)&lt;=F8,"PASS","FAIL"),"FAIL")</f>
        <v>PASS</v>
      </c>
      <c r="H8" s="8" t="s">
        <v>231</v>
      </c>
    </row>
    <row r="9" customFormat="false" ht="15" hidden="false" customHeight="false" outlineLevel="0" collapsed="false">
      <c r="A9" s="34" t="s">
        <v>228</v>
      </c>
      <c r="B9" s="34" t="s">
        <v>232</v>
      </c>
      <c r="C9" s="36" t="n">
        <v>0.0707</v>
      </c>
      <c r="D9" s="36" t="n">
        <f aca="false">Smoothing!B17</f>
        <v>0.0707109411202364</v>
      </c>
      <c r="E9" s="36" t="n">
        <f aca="false">D9-C9</f>
        <v>1.09411202363768E-005</v>
      </c>
      <c r="F9" s="34" t="n">
        <v>5E-005</v>
      </c>
      <c r="G9" s="34" t="str">
        <f aca="false">IF(ISNUMBER(D9),IF(ABS(E9)&lt;=F9,"PASS","FAIL"),"FAIL")</f>
        <v>PASS</v>
      </c>
      <c r="H9" s="34"/>
    </row>
    <row r="10" customFormat="false" ht="15" hidden="false" customHeight="false" outlineLevel="0" collapsed="false">
      <c r="A10" s="8" t="s">
        <v>228</v>
      </c>
      <c r="B10" s="8" t="s">
        <v>233</v>
      </c>
      <c r="C10" s="23" t="n">
        <v>0.3098</v>
      </c>
      <c r="D10" s="23" t="n">
        <f aca="false">'Smoothing Range'!B11</f>
        <v>0.309798463272262</v>
      </c>
      <c r="E10" s="23" t="n">
        <f aca="false">D10-C10</f>
        <v>-1.53672773844926E-006</v>
      </c>
      <c r="F10" s="8" t="n">
        <v>5E-005</v>
      </c>
      <c r="G10" s="8" t="str">
        <f aca="false">IF(ISNUMBER(D10),IF(ABS(E10)&lt;=F10,"PASS","FAIL"),"FAIL")</f>
        <v>PASS</v>
      </c>
      <c r="H10" s="8"/>
    </row>
    <row r="11" customFormat="false" ht="15" hidden="false" customHeight="false" outlineLevel="0" collapsed="false">
      <c r="A11" s="34" t="s">
        <v>228</v>
      </c>
      <c r="B11" s="34" t="s">
        <v>234</v>
      </c>
      <c r="C11" s="36" t="n">
        <v>0.0215</v>
      </c>
      <c r="D11" s="36" t="n">
        <f aca="false">Smoothing!B18</f>
        <v>0.0215104866205186</v>
      </c>
      <c r="E11" s="36" t="n">
        <f aca="false">D11-C11</f>
        <v>1.04866205186266E-005</v>
      </c>
      <c r="F11" s="34" t="n">
        <v>5E-005</v>
      </c>
      <c r="G11" s="34" t="str">
        <f aca="false">IF(ISNUMBER(D11),IF(ABS(E11)&lt;=F11,"PASS","FAIL"),"FAIL")</f>
        <v>PASS</v>
      </c>
      <c r="H11" s="34"/>
    </row>
    <row r="12" customFormat="false" ht="15" hidden="false" customHeight="false" outlineLevel="0" collapsed="false">
      <c r="A12" s="8" t="s">
        <v>228</v>
      </c>
      <c r="B12" s="8" t="s">
        <v>235</v>
      </c>
      <c r="C12" s="23" t="n">
        <v>0.1639</v>
      </c>
      <c r="D12" s="23" t="n">
        <f aca="false">'Smoothing Range'!B12</f>
        <v>0.163853182606015</v>
      </c>
      <c r="E12" s="23" t="n">
        <f aca="false">D12-C12</f>
        <v>-4.68173939848215E-005</v>
      </c>
      <c r="F12" s="8" t="n">
        <v>5E-005</v>
      </c>
      <c r="G12" s="8" t="str">
        <f aca="false">IF(ISNUMBER(D12),IF(ABS(E12)&lt;=F12,"PASS","FAIL"),"FAIL")</f>
        <v>PASS</v>
      </c>
      <c r="H12" s="8"/>
    </row>
    <row r="13" customFormat="false" ht="15" hidden="false" customHeight="false" outlineLevel="0" collapsed="false">
      <c r="A13" s="34" t="s">
        <v>228</v>
      </c>
      <c r="B13" s="34" t="s">
        <v>236</v>
      </c>
      <c r="C13" s="36" t="n">
        <v>7.6174</v>
      </c>
      <c r="D13" s="36" t="n">
        <f aca="false">'Smoothing Range'!B13</f>
        <v>7.61736289358128</v>
      </c>
      <c r="E13" s="36" t="n">
        <f aca="false">D13-C13</f>
        <v>-3.71064187199011E-005</v>
      </c>
      <c r="F13" s="34" t="n">
        <v>5E-005</v>
      </c>
      <c r="G13" s="34" t="str">
        <f aca="false">IF(ISNUMBER(D13),IF(ABS(E13)&lt;=F13,"PASS","FAIL"),"FAIL")</f>
        <v>PASS</v>
      </c>
      <c r="H13" s="34" t="s">
        <v>237</v>
      </c>
    </row>
    <row r="14" customFormat="false" ht="15" hidden="false" customHeight="false" outlineLevel="0" collapsed="false">
      <c r="A14" s="8" t="s">
        <v>228</v>
      </c>
      <c r="B14" s="8" t="s">
        <v>75</v>
      </c>
      <c r="C14" s="28" t="n">
        <v>0.103704</v>
      </c>
      <c r="D14" s="28" t="n">
        <f aca="false">Smoothing!B22</f>
        <v>0.103703637566116</v>
      </c>
      <c r="E14" s="28" t="n">
        <f aca="false">D14-C14</f>
        <v>-3.62433883530078E-007</v>
      </c>
      <c r="F14" s="8" t="n">
        <v>5E-007</v>
      </c>
      <c r="G14" s="8" t="str">
        <f aca="false">IF(ISNUMBER(D14),IF(ABS(E14)&lt;=F14,"PASS","FAIL"),"FAIL")</f>
        <v>PASS</v>
      </c>
      <c r="H14" s="8"/>
    </row>
    <row r="15" customFormat="false" ht="15" hidden="false" customHeight="false" outlineLevel="0" collapsed="false">
      <c r="A15" s="34" t="s">
        <v>228</v>
      </c>
      <c r="B15" s="34" t="s">
        <v>238</v>
      </c>
      <c r="C15" s="35" t="n">
        <v>0.073867</v>
      </c>
      <c r="D15" s="35" t="n">
        <f aca="false">Smoothing!B23</f>
        <v>0.0738674947306173</v>
      </c>
      <c r="E15" s="35" t="n">
        <f aca="false">D15-C15</f>
        <v>4.94730617306427E-007</v>
      </c>
      <c r="F15" s="34" t="n">
        <v>5E-007</v>
      </c>
      <c r="G15" s="34" t="str">
        <f aca="false">IF(ISNUMBER(D15),IF(ABS(E15)&lt;=F15,"PASS","FAIL"),"FAIL")</f>
        <v>PASS</v>
      </c>
      <c r="H15" s="34"/>
    </row>
    <row r="16" customFormat="false" ht="15" hidden="false" customHeight="false" outlineLevel="0" collapsed="false">
      <c r="A16" s="8" t="s">
        <v>228</v>
      </c>
      <c r="B16" s="8" t="s">
        <v>239</v>
      </c>
      <c r="C16" s="28" t="n">
        <v>0.07925</v>
      </c>
      <c r="D16" s="28" t="n">
        <f aca="false">'Smoothing Range'!B15</f>
        <v>0.0792498519167076</v>
      </c>
      <c r="E16" s="28" t="n">
        <f aca="false">D16-C16</f>
        <v>-1.48083292419998E-007</v>
      </c>
      <c r="F16" s="8" t="n">
        <v>5E-006</v>
      </c>
      <c r="G16" s="8" t="str">
        <f aca="false">IF(ISNUMBER(D16),IF(ABS(E16)&lt;=F16,"PASS","FAIL"),"FAIL")</f>
        <v>PASS</v>
      </c>
      <c r="H16" s="8"/>
    </row>
    <row r="17" customFormat="false" ht="15" hidden="false" customHeight="false" outlineLevel="0" collapsed="false">
      <c r="A17" s="34" t="s">
        <v>228</v>
      </c>
      <c r="B17" s="34" t="s">
        <v>78</v>
      </c>
      <c r="C17" s="35" t="n">
        <v>0.029836</v>
      </c>
      <c r="D17" s="35" t="n">
        <f aca="false">Smoothing!B25</f>
        <v>0.0298361428354992</v>
      </c>
      <c r="E17" s="35" t="n">
        <f aca="false">D17-C17</f>
        <v>1.42835499164495E-007</v>
      </c>
      <c r="F17" s="34" t="n">
        <v>5E-007</v>
      </c>
      <c r="G17" s="34" t="str">
        <f aca="false">IF(ISNUMBER(D17),IF(ABS(E17)&lt;=F17,"PASS","FAIL"),"FAIL")</f>
        <v>PASS</v>
      </c>
      <c r="H17" s="34"/>
    </row>
    <row r="18" customFormat="false" ht="15" hidden="false" customHeight="false" outlineLevel="0" collapsed="false">
      <c r="A18" s="8" t="s">
        <v>228</v>
      </c>
      <c r="B18" s="8" t="s">
        <v>79</v>
      </c>
      <c r="C18" s="28" t="n">
        <v>0.024454</v>
      </c>
      <c r="D18" s="28" t="n">
        <f aca="false">'Smoothing Range'!B16</f>
        <v>0.0244537856494089</v>
      </c>
      <c r="E18" s="28" t="n">
        <f aca="false">D18-C18</f>
        <v>-2.1435059110661E-007</v>
      </c>
      <c r="F18" s="8" t="n">
        <v>5E-007</v>
      </c>
      <c r="G18" s="8" t="str">
        <f aca="false">IF(ISNUMBER(D18),IF(ABS(E18)&lt;=F18,"PASS","FAIL"),"FAIL")</f>
        <v>PASS</v>
      </c>
      <c r="H18" s="8"/>
    </row>
    <row r="19" customFormat="false" ht="15" hidden="false" customHeight="false" outlineLevel="0" collapsed="false">
      <c r="A19" s="34" t="s">
        <v>228</v>
      </c>
      <c r="B19" s="34" t="s">
        <v>80</v>
      </c>
      <c r="C19" s="35" t="n">
        <v>0.819603</v>
      </c>
      <c r="D19" s="35" t="n">
        <f aca="false">'Smoothing Range'!B17</f>
        <v>0.819602781238655</v>
      </c>
      <c r="E19" s="35" t="n">
        <f aca="false">D19-C19</f>
        <v>-2.18761344705776E-007</v>
      </c>
      <c r="F19" s="34" t="n">
        <v>5E-007</v>
      </c>
      <c r="G19" s="34" t="str">
        <f aca="false">IF(ISNUMBER(D19),IF(ABS(E19)&lt;=F19,"PASS","FAIL"),"FAIL")</f>
        <v>PASS</v>
      </c>
      <c r="H19" s="34" t="s">
        <v>240</v>
      </c>
    </row>
    <row r="20" customFormat="false" ht="15" hidden="false" customHeight="false" outlineLevel="0" collapsed="false">
      <c r="A20" s="8" t="s">
        <v>241</v>
      </c>
      <c r="B20" s="8" t="s">
        <v>140</v>
      </c>
      <c r="C20" s="30" t="n">
        <v>55.56</v>
      </c>
      <c r="D20" s="30" t="n">
        <f aca="false">Fees!B11</f>
        <v>55.5625</v>
      </c>
      <c r="E20" s="30" t="n">
        <f aca="false">D20-C20</f>
        <v>0.00250000000000483</v>
      </c>
      <c r="F20" s="8" t="n">
        <v>0.005</v>
      </c>
      <c r="G20" s="8" t="str">
        <f aca="false">IF(ISNUMBER(D20),IF(ABS(E20)&lt;=F20,"PASS","FAIL"),"FAIL")</f>
        <v>PASS</v>
      </c>
      <c r="H20" s="8"/>
    </row>
    <row r="21" customFormat="false" ht="15" hidden="false" customHeight="false" outlineLevel="0" collapsed="false">
      <c r="A21" s="34" t="s">
        <v>241</v>
      </c>
      <c r="B21" s="34" t="s">
        <v>141</v>
      </c>
      <c r="C21" s="37" t="n">
        <v>370</v>
      </c>
      <c r="D21" s="37" t="n">
        <f aca="false">Fees!B12</f>
        <v>370</v>
      </c>
      <c r="E21" s="37" t="n">
        <f aca="false">D21-C21</f>
        <v>0</v>
      </c>
      <c r="F21" s="34" t="n">
        <v>0.005</v>
      </c>
      <c r="G21" s="34" t="str">
        <f aca="false">IF(ISNUMBER(D21),IF(ABS(E21)&lt;=F21,"PASS","FAIL"),"FAIL")</f>
        <v>PASS</v>
      </c>
      <c r="H21" s="34"/>
    </row>
    <row r="22" customFormat="false" ht="15" hidden="false" customHeight="false" outlineLevel="0" collapsed="false">
      <c r="A22" s="8" t="s">
        <v>241</v>
      </c>
      <c r="B22" s="8" t="s">
        <v>21</v>
      </c>
      <c r="C22" s="30" t="n">
        <v>92.5</v>
      </c>
      <c r="D22" s="30" t="n">
        <f aca="false">Fees!B13</f>
        <v>92.5</v>
      </c>
      <c r="E22" s="30" t="n">
        <f aca="false">D22-C22</f>
        <v>0</v>
      </c>
      <c r="F22" s="8" t="n">
        <v>0.05</v>
      </c>
      <c r="G22" s="8" t="str">
        <f aca="false">IF(ISNUMBER(D22),IF(ABS(E22)&lt;=F22,"PASS","FAIL"),"FAIL")</f>
        <v>PASS</v>
      </c>
      <c r="H22" s="8"/>
    </row>
    <row r="23" customFormat="false" ht="15" hidden="false" customHeight="false" outlineLevel="0" collapsed="false">
      <c r="A23" s="34" t="s">
        <v>241</v>
      </c>
      <c r="B23" s="34" t="s">
        <v>242</v>
      </c>
      <c r="C23" s="37" t="n">
        <v>21</v>
      </c>
      <c r="D23" s="37" t="n">
        <f aca="false">Fees!B14</f>
        <v>21</v>
      </c>
      <c r="E23" s="37" t="n">
        <f aca="false">D23-C23</f>
        <v>0</v>
      </c>
      <c r="F23" s="34" t="n">
        <v>0.005</v>
      </c>
      <c r="G23" s="34" t="str">
        <f aca="false">IF(ISNUMBER(D23),IF(ABS(E23)&lt;=F23,"PASS","FAIL"),"FAIL")</f>
        <v>PASS</v>
      </c>
      <c r="H23" s="34"/>
    </row>
    <row r="24" customFormat="false" ht="15" hidden="false" customHeight="false" outlineLevel="0" collapsed="false">
      <c r="A24" s="8" t="s">
        <v>241</v>
      </c>
      <c r="B24" s="8" t="s">
        <v>143</v>
      </c>
      <c r="C24" s="30" t="n">
        <v>169.06</v>
      </c>
      <c r="D24" s="30" t="n">
        <f aca="false">Fees!B15</f>
        <v>169.0625</v>
      </c>
      <c r="E24" s="30" t="n">
        <f aca="false">D24-C24</f>
        <v>0.00249999999999773</v>
      </c>
      <c r="F24" s="8" t="n">
        <v>0.005</v>
      </c>
      <c r="G24" s="8" t="str">
        <f aca="false">IF(ISNUMBER(D24),IF(ABS(E24)&lt;=F24,"PASS","FAIL"),"FAIL")</f>
        <v>PASS</v>
      </c>
      <c r="H24" s="8"/>
    </row>
    <row r="25" customFormat="false" ht="15" hidden="false" customHeight="false" outlineLevel="0" collapsed="false">
      <c r="A25" s="34" t="s">
        <v>241</v>
      </c>
      <c r="B25" s="34" t="s">
        <v>144</v>
      </c>
      <c r="C25" s="35" t="n">
        <v>0.456926</v>
      </c>
      <c r="D25" s="35" t="n">
        <f aca="false">Fees!B16</f>
        <v>0.456925675675676</v>
      </c>
      <c r="E25" s="35" t="n">
        <f aca="false">D25-C25</f>
        <v>-3.24324324341152E-007</v>
      </c>
      <c r="F25" s="34" t="n">
        <v>5E-007</v>
      </c>
      <c r="G25" s="34" t="str">
        <f aca="false">IF(ISNUMBER(D25),IF(ABS(E25)&lt;=F25,"PASS","FAIL"),"FAIL")</f>
        <v>PASS</v>
      </c>
      <c r="H25" s="34"/>
    </row>
    <row r="26" customFormat="false" ht="15" hidden="false" customHeight="false" outlineLevel="0" collapsed="false">
      <c r="A26" s="8" t="s">
        <v>241</v>
      </c>
      <c r="B26" s="8" t="s">
        <v>145</v>
      </c>
      <c r="C26" s="30" t="n">
        <v>539.06</v>
      </c>
      <c r="D26" s="30" t="n">
        <f aca="false">Fees!B17</f>
        <v>539.0625</v>
      </c>
      <c r="E26" s="30" t="n">
        <f aca="false">D26-C26</f>
        <v>0.00250000000005457</v>
      </c>
      <c r="F26" s="8" t="n">
        <v>0.005</v>
      </c>
      <c r="G26" s="8" t="str">
        <f aca="false">IF(ISNUMBER(D26),IF(ABS(E26)&lt;=F26,"PASS","FAIL"),"FAIL")</f>
        <v>PASS</v>
      </c>
      <c r="H26" s="8"/>
    </row>
    <row r="27" customFormat="false" ht="15" hidden="false" customHeight="false" outlineLevel="0" collapsed="false">
      <c r="A27" s="34" t="s">
        <v>243</v>
      </c>
      <c r="B27" s="34" t="s">
        <v>244</v>
      </c>
      <c r="C27" s="35" t="n">
        <v>0.091878</v>
      </c>
      <c r="D27" s="35" t="n">
        <f aca="false">'The Exit'!D6</f>
        <v>0.091878161805681</v>
      </c>
      <c r="E27" s="35" t="n">
        <f aca="false">D27-C27</f>
        <v>1.61805680978788E-007</v>
      </c>
      <c r="F27" s="34" t="n">
        <v>5E-007</v>
      </c>
      <c r="G27" s="34" t="str">
        <f aca="false">IF(ISNUMBER(D27),IF(ABS(E27)&lt;=F27,"PASS","FAIL"),"FAIL")</f>
        <v>PASS</v>
      </c>
      <c r="H27" s="34"/>
    </row>
    <row r="28" customFormat="false" ht="15" hidden="false" customHeight="false" outlineLevel="0" collapsed="false">
      <c r="A28" s="8" t="s">
        <v>243</v>
      </c>
      <c r="B28" s="8" t="s">
        <v>245</v>
      </c>
      <c r="C28" s="28" t="n">
        <v>0.089698</v>
      </c>
      <c r="D28" s="28" t="n">
        <f aca="false">'The Exit'!D9</f>
        <v>0.0896977092370408</v>
      </c>
      <c r="E28" s="28" t="n">
        <f aca="false">D28-C28</f>
        <v>-2.90762959209712E-007</v>
      </c>
      <c r="F28" s="8" t="n">
        <v>5E-007</v>
      </c>
      <c r="G28" s="8" t="str">
        <f aca="false">IF(ISNUMBER(D28),IF(ABS(E28)&lt;=F28,"PASS","FAIL"),"FAIL")</f>
        <v>PASS</v>
      </c>
      <c r="H28" s="8"/>
    </row>
    <row r="29" customFormat="false" ht="15" hidden="false" customHeight="false" outlineLevel="0" collapsed="false">
      <c r="A29" s="34" t="s">
        <v>243</v>
      </c>
      <c r="B29" s="34" t="s">
        <v>246</v>
      </c>
      <c r="C29" s="35" t="n">
        <v>0.088593</v>
      </c>
      <c r="D29" s="35" t="n">
        <f aca="false">'The Exit'!D10</f>
        <v>0.088592583733919</v>
      </c>
      <c r="E29" s="35" t="n">
        <f aca="false">D29-C29</f>
        <v>-4.1626608102141E-007</v>
      </c>
      <c r="F29" s="34" t="n">
        <v>5E-007</v>
      </c>
      <c r="G29" s="34" t="str">
        <f aca="false">IF(ISNUMBER(D29),IF(ABS(E29)&lt;=F29,"PASS","FAIL"),"FAIL")</f>
        <v>PASS</v>
      </c>
      <c r="H29" s="34"/>
    </row>
    <row r="30" customFormat="false" ht="15" hidden="false" customHeight="false" outlineLevel="0" collapsed="false">
      <c r="A30" s="8" t="s">
        <v>228</v>
      </c>
      <c r="B30" s="8" t="s">
        <v>247</v>
      </c>
      <c r="C30" s="28" t="n">
        <v>0.054849</v>
      </c>
      <c r="D30" s="28" t="n">
        <f aca="false">'Smoothing Range'!B10</f>
        <v>0.0548491134641155</v>
      </c>
      <c r="E30" s="28" t="n">
        <f aca="false">D30-C30</f>
        <v>1.13464115519824E-007</v>
      </c>
      <c r="F30" s="8" t="n">
        <v>5E-007</v>
      </c>
      <c r="G30" s="8" t="str">
        <f aca="false">IF(ISNUMBER(D30),IF(ABS(E30)&lt;=F30,"PASS","FAIL"),"FAIL")</f>
        <v>PASS</v>
      </c>
      <c r="H30" s="8" t="s">
        <v>248</v>
      </c>
    </row>
    <row r="31" customFormat="false" ht="15" hidden="false" customHeight="false" outlineLevel="0" collapsed="false">
      <c r="A31" s="34" t="s">
        <v>228</v>
      </c>
      <c r="B31" s="34" t="s">
        <v>233</v>
      </c>
      <c r="C31" s="36" t="n">
        <v>0.3098</v>
      </c>
      <c r="D31" s="36" t="n">
        <f aca="false">'Smoothing Range'!B11</f>
        <v>0.309798463272262</v>
      </c>
      <c r="E31" s="36" t="n">
        <f aca="false">D31-C31</f>
        <v>-1.53672773844926E-006</v>
      </c>
      <c r="F31" s="34" t="n">
        <v>5E-005</v>
      </c>
      <c r="G31" s="34" t="str">
        <f aca="false">IF(ISNUMBER(D31),IF(ABS(E31)&lt;=F31,"PASS","FAIL"),"FAIL")</f>
        <v>PASS</v>
      </c>
      <c r="H31" s="34"/>
    </row>
    <row r="32" customFormat="false" ht="15" hidden="false" customHeight="false" outlineLevel="0" collapsed="false">
      <c r="A32" s="8" t="s">
        <v>228</v>
      </c>
      <c r="B32" s="8" t="s">
        <v>235</v>
      </c>
      <c r="C32" s="23" t="n">
        <v>0.1639</v>
      </c>
      <c r="D32" s="23" t="n">
        <f aca="false">'Smoothing Range'!B12</f>
        <v>0.163853182606015</v>
      </c>
      <c r="E32" s="23" t="n">
        <f aca="false">D32-C32</f>
        <v>-4.68173939848215E-005</v>
      </c>
      <c r="F32" s="8" t="n">
        <v>5E-005</v>
      </c>
      <c r="G32" s="8" t="str">
        <f aca="false">IF(ISNUMBER(D32),IF(ABS(E32)&lt;=F32,"PASS","FAIL"),"FAIL")</f>
        <v>PASS</v>
      </c>
      <c r="H32" s="8"/>
    </row>
    <row r="33" customFormat="false" ht="15" hidden="false" customHeight="false" outlineLevel="0" collapsed="false">
      <c r="A33" s="34" t="s">
        <v>228</v>
      </c>
      <c r="B33" s="34" t="s">
        <v>236</v>
      </c>
      <c r="C33" s="36" t="n">
        <v>7.6174</v>
      </c>
      <c r="D33" s="36" t="n">
        <f aca="false">'Smoothing Range'!B13</f>
        <v>7.61736289358128</v>
      </c>
      <c r="E33" s="36" t="n">
        <f aca="false">D33-C33</f>
        <v>-3.71064187199011E-005</v>
      </c>
      <c r="F33" s="34" t="n">
        <v>5E-005</v>
      </c>
      <c r="G33" s="34" t="str">
        <f aca="false">IF(ISNUMBER(D33),IF(ABS(E33)&lt;=F33,"PASS","FAIL"),"FAIL")</f>
        <v>PASS</v>
      </c>
      <c r="H33" s="34"/>
    </row>
    <row r="34" customFormat="false" ht="15" hidden="false" customHeight="false" outlineLevel="0" collapsed="false">
      <c r="A34" s="8" t="s">
        <v>228</v>
      </c>
      <c r="B34" s="8" t="s">
        <v>249</v>
      </c>
      <c r="C34" s="23" t="n">
        <v>1.7386</v>
      </c>
      <c r="D34" s="23" t="n">
        <f aca="false">'Smoothing Range'!B14</f>
        <v>1.73864935729566</v>
      </c>
      <c r="E34" s="23" t="n">
        <f aca="false">D34-C34</f>
        <v>4.93572956561383E-005</v>
      </c>
      <c r="F34" s="8" t="n">
        <v>5E-005</v>
      </c>
      <c r="G34" s="8" t="str">
        <f aca="false">IF(ISNUMBER(D34),IF(ABS(E34)&lt;=F34,"PASS","FAIL"),"FAIL")</f>
        <v>PASS</v>
      </c>
      <c r="H34" s="8"/>
    </row>
    <row r="35" customFormat="false" ht="15" hidden="false" customHeight="false" outlineLevel="0" collapsed="false">
      <c r="A35" s="34" t="s">
        <v>228</v>
      </c>
      <c r="B35" s="34" t="s">
        <v>239</v>
      </c>
      <c r="C35" s="35" t="n">
        <v>0.07925</v>
      </c>
      <c r="D35" s="35" t="n">
        <f aca="false">'Smoothing Range'!B15</f>
        <v>0.0792498519167076</v>
      </c>
      <c r="E35" s="35" t="n">
        <f aca="false">D35-C35</f>
        <v>-1.48083292419998E-007</v>
      </c>
      <c r="F35" s="34" t="n">
        <v>5E-006</v>
      </c>
      <c r="G35" s="34" t="str">
        <f aca="false">IF(ISNUMBER(D35),IF(ABS(E35)&lt;=F35,"PASS","FAIL"),"FAIL")</f>
        <v>PASS</v>
      </c>
      <c r="H35" s="34"/>
    </row>
    <row r="36" customFormat="false" ht="15" hidden="false" customHeight="false" outlineLevel="0" collapsed="false">
      <c r="A36" s="8" t="s">
        <v>228</v>
      </c>
      <c r="B36" s="8" t="s">
        <v>79</v>
      </c>
      <c r="C36" s="28" t="n">
        <v>0.024454</v>
      </c>
      <c r="D36" s="28" t="n">
        <f aca="false">'Smoothing Range'!B16</f>
        <v>0.0244537856494089</v>
      </c>
      <c r="E36" s="28" t="n">
        <f aca="false">D36-C36</f>
        <v>-2.1435059110661E-007</v>
      </c>
      <c r="F36" s="8" t="n">
        <v>5E-007</v>
      </c>
      <c r="G36" s="8" t="str">
        <f aca="false">IF(ISNUMBER(D36),IF(ABS(E36)&lt;=F36,"PASS","FAIL"),"FAIL")</f>
        <v>PASS</v>
      </c>
      <c r="H36" s="8"/>
    </row>
    <row r="37" customFormat="false" ht="15" hidden="false" customHeight="false" outlineLevel="0" collapsed="false">
      <c r="A37" s="34" t="s">
        <v>228</v>
      </c>
      <c r="B37" s="34" t="s">
        <v>250</v>
      </c>
      <c r="C37" s="35" t="n">
        <v>0.819603</v>
      </c>
      <c r="D37" s="35" t="n">
        <f aca="false">'Smoothing Range'!B17</f>
        <v>0.819602781238655</v>
      </c>
      <c r="E37" s="35" t="n">
        <f aca="false">D37-C37</f>
        <v>-2.18761344705776E-007</v>
      </c>
      <c r="F37" s="34" t="n">
        <v>5E-007</v>
      </c>
      <c r="G37" s="34" t="str">
        <f aca="false">IF(ISNUMBER(D37),IF(ABS(E37)&lt;=F37,"PASS","FAIL"),"FAIL")</f>
        <v>PASS</v>
      </c>
      <c r="H37" s="34"/>
    </row>
    <row r="38" customFormat="false" ht="15" hidden="false" customHeight="false" outlineLevel="0" collapsed="false">
      <c r="A38" s="8" t="s">
        <v>228</v>
      </c>
      <c r="B38" s="8" t="s">
        <v>251</v>
      </c>
      <c r="C38" s="23" t="n">
        <v>54.5641</v>
      </c>
      <c r="D38" s="23" t="n">
        <f aca="false">'Smoothing Range'!B18</f>
        <v>54.5640677777778</v>
      </c>
      <c r="E38" s="23" t="n">
        <f aca="false">D38-C38</f>
        <v>-3.22222222379764E-005</v>
      </c>
      <c r="F38" s="8" t="n">
        <v>5E-005</v>
      </c>
      <c r="G38" s="8" t="str">
        <f aca="false">IF(ISNUMBER(D38),IF(ABS(E38)&lt;=F38,"PASS","FAIL"),"FAIL")</f>
        <v>PASS</v>
      </c>
      <c r="H38" s="8" t="s">
        <v>252</v>
      </c>
    </row>
    <row r="39" customFormat="false" ht="15" hidden="false" customHeight="false" outlineLevel="0" collapsed="false">
      <c r="A39" s="34" t="s">
        <v>228</v>
      </c>
      <c r="B39" s="34" t="s">
        <v>253</v>
      </c>
      <c r="C39" s="36" t="n">
        <v>0.1501</v>
      </c>
      <c r="D39" s="36" t="n">
        <f aca="false">'Smoothing Range'!B22</f>
        <v>0.15009049921748</v>
      </c>
      <c r="E39" s="36" t="n">
        <f aca="false">D39-C39</f>
        <v>-9.50078252046072E-006</v>
      </c>
      <c r="F39" s="34" t="n">
        <v>5E-005</v>
      </c>
      <c r="G39" s="34" t="str">
        <f aca="false">IF(ISNUMBER(D39),IF(ABS(E39)&lt;=F39,"PASS","FAIL"),"FAIL")</f>
        <v>PASS</v>
      </c>
      <c r="H39" s="34" t="s">
        <v>254</v>
      </c>
    </row>
    <row r="40" customFormat="false" ht="15" hidden="false" customHeight="false" outlineLevel="0" collapsed="false">
      <c r="A40" s="8" t="s">
        <v>228</v>
      </c>
      <c r="B40" s="8" t="s">
        <v>255</v>
      </c>
      <c r="C40" s="23" t="n">
        <v>14.8721</v>
      </c>
      <c r="D40" s="23" t="n">
        <f aca="false">'Smoothing Range'!B26</f>
        <v>14.872134595163</v>
      </c>
      <c r="E40" s="23" t="n">
        <f aca="false">D40-C40</f>
        <v>3.4595162984985E-005</v>
      </c>
      <c r="F40" s="8" t="n">
        <v>5E-005</v>
      </c>
      <c r="G40" s="8" t="str">
        <f aca="false">IF(ISNUMBER(D40),IF(ABS(E40)&lt;=F40,"PASS","FAIL"),"FAIL")</f>
        <v>PASS</v>
      </c>
      <c r="H40" s="8"/>
    </row>
    <row r="41" customFormat="false" ht="15" hidden="false" customHeight="false" outlineLevel="0" collapsed="false">
      <c r="A41" s="34" t="s">
        <v>228</v>
      </c>
      <c r="B41" s="34" t="s">
        <v>256</v>
      </c>
      <c r="C41" s="36" t="n">
        <v>-1.9287</v>
      </c>
      <c r="D41" s="36" t="n">
        <f aca="false">'Smoothing Range'!B27</f>
        <v>-1.92860147213459</v>
      </c>
      <c r="E41" s="36" t="n">
        <f aca="false">D41-C41</f>
        <v>9.8527865405762E-005</v>
      </c>
      <c r="F41" s="34" t="n">
        <v>0.0002</v>
      </c>
      <c r="G41" s="34" t="str">
        <f aca="false">IF(ISNUMBER(D41),IF(ABS(E41)&lt;=F41,"PASS","FAIL"),"FAIL")</f>
        <v>PASS</v>
      </c>
      <c r="H41" s="34" t="s">
        <v>257</v>
      </c>
    </row>
    <row r="42" customFormat="false" ht="15" hidden="false" customHeight="false" outlineLevel="0" collapsed="false">
      <c r="A42" s="8" t="s">
        <v>228</v>
      </c>
      <c r="B42" s="8" t="s">
        <v>258</v>
      </c>
      <c r="C42" s="23" t="n">
        <v>0.3162</v>
      </c>
      <c r="D42" s="23" t="n">
        <f aca="false">'Smoothing Range'!B49</f>
        <v>0.316227766016838</v>
      </c>
      <c r="E42" s="23" t="n">
        <f aca="false">D42-C42</f>
        <v>2.77660168379601E-005</v>
      </c>
      <c r="F42" s="8" t="n">
        <v>5E-005</v>
      </c>
      <c r="G42" s="8" t="str">
        <f aca="false">IF(ISNUMBER(D42),IF(ABS(E42)&lt;=F42,"PASS","FAIL"),"FAIL")</f>
        <v>PASS</v>
      </c>
      <c r="H42" s="8"/>
    </row>
    <row r="43" customFormat="false" ht="15" hidden="false" customHeight="false" outlineLevel="0" collapsed="false">
      <c r="A43" s="34" t="s">
        <v>228</v>
      </c>
      <c r="B43" s="34" t="s">
        <v>259</v>
      </c>
      <c r="C43" s="38" t="n">
        <v>-0.11</v>
      </c>
      <c r="D43" s="38" t="n">
        <f aca="false">'Smoothing Range'!B50</f>
        <v>-0.107970751551747</v>
      </c>
      <c r="E43" s="38" t="n">
        <f aca="false">D43-C43</f>
        <v>0.00202924844825349</v>
      </c>
      <c r="F43" s="34" t="n">
        <v>0.005</v>
      </c>
      <c r="G43" s="34" t="str">
        <f aca="false">IF(ISNUMBER(D43),IF(ABS(E43)&lt;=F43,"PASS","FAIL"),"FAIL")</f>
        <v>PASS</v>
      </c>
      <c r="H43" s="34"/>
    </row>
    <row r="44" customFormat="false" ht="15" hidden="false" customHeight="false" outlineLevel="0" collapsed="false">
      <c r="A44" s="8" t="s">
        <v>228</v>
      </c>
      <c r="B44" s="8" t="s">
        <v>260</v>
      </c>
      <c r="C44" s="29" t="n">
        <v>1.16</v>
      </c>
      <c r="D44" s="29" t="n">
        <f aca="false">'Smoothing Range'!B51</f>
        <v>1.15694031251561</v>
      </c>
      <c r="E44" s="29" t="n">
        <f aca="false">D44-C44</f>
        <v>-0.00305968748439467</v>
      </c>
      <c r="F44" s="8" t="n">
        <v>0.005</v>
      </c>
      <c r="G44" s="8" t="str">
        <f aca="false">IF(ISNUMBER(D44),IF(ABS(E44)&lt;=F44,"PASS","FAIL"),"FAIL")</f>
        <v>PASS</v>
      </c>
      <c r="H44" s="8"/>
    </row>
    <row r="45" customFormat="false" ht="15" hidden="false" customHeight="false" outlineLevel="0" collapsed="false">
      <c r="A45" s="34" t="s">
        <v>228</v>
      </c>
      <c r="B45" s="34" t="s">
        <v>261</v>
      </c>
      <c r="C45" s="35" t="n">
        <v>0.747668</v>
      </c>
      <c r="D45" s="35" t="n">
        <f aca="false">'Smoothing Range'!B52</f>
        <v>0.747667675239784</v>
      </c>
      <c r="E45" s="35" t="n">
        <f aca="false">D45-C45</f>
        <v>-3.24760215608677E-007</v>
      </c>
      <c r="F45" s="34" t="n">
        <v>5E-007</v>
      </c>
      <c r="G45" s="34" t="str">
        <f aca="false">IF(ISNUMBER(D45),IF(ABS(E45)&lt;=F45,"PASS","FAIL"),"FAIL")</f>
        <v>PASS</v>
      </c>
      <c r="H45" s="34" t="s">
        <v>262</v>
      </c>
    </row>
    <row r="46" customFormat="false" ht="15" hidden="false" customHeight="false" outlineLevel="0" collapsed="false">
      <c r="A46" s="8" t="s">
        <v>263</v>
      </c>
      <c r="B46" s="8" t="s">
        <v>264</v>
      </c>
      <c r="C46" s="29" t="n">
        <v>7.6</v>
      </c>
      <c r="D46" s="29" t="n">
        <f aca="false">'Smoothing Range'!B56</f>
        <v>7.6</v>
      </c>
      <c r="E46" s="29" t="n">
        <f aca="false">D46-C46</f>
        <v>0</v>
      </c>
      <c r="F46" s="8" t="n">
        <v>5E-005</v>
      </c>
      <c r="G46" s="8" t="str">
        <f aca="false">IF(ISNUMBER(D46),IF(ABS(E46)&lt;=F46,"PASS","FAIL"),"FAIL")</f>
        <v>PASS</v>
      </c>
      <c r="H46" s="8"/>
    </row>
    <row r="47" customFormat="false" ht="15" hidden="false" customHeight="false" outlineLevel="0" collapsed="false">
      <c r="A47" s="34" t="s">
        <v>263</v>
      </c>
      <c r="B47" s="34" t="s">
        <v>265</v>
      </c>
      <c r="C47" s="38" t="n">
        <v>10.59</v>
      </c>
      <c r="D47" s="38" t="n">
        <f aca="false">'Smoothing Range'!B57</f>
        <v>10.59</v>
      </c>
      <c r="E47" s="38" t="n">
        <f aca="false">D47-C47</f>
        <v>0</v>
      </c>
      <c r="F47" s="34" t="n">
        <v>0.005</v>
      </c>
      <c r="G47" s="34" t="str">
        <f aca="false">IF(ISNUMBER(D47),IF(ABS(E47)&lt;=F47,"PASS","FAIL"),"FAIL")</f>
        <v>PASS</v>
      </c>
      <c r="H47" s="34"/>
    </row>
    <row r="48" customFormat="false" ht="15" hidden="false" customHeight="false" outlineLevel="0" collapsed="false">
      <c r="A48" s="8" t="s">
        <v>263</v>
      </c>
      <c r="B48" s="8" t="s">
        <v>266</v>
      </c>
      <c r="C48" s="29" t="n">
        <v>32.9</v>
      </c>
      <c r="D48" s="29" t="n">
        <f aca="false">'Smoothing Range'!B58</f>
        <v>32.9</v>
      </c>
      <c r="E48" s="29" t="n">
        <f aca="false">D48-C48</f>
        <v>0</v>
      </c>
      <c r="F48" s="8" t="n">
        <v>0.05</v>
      </c>
      <c r="G48" s="8" t="str">
        <f aca="false">IF(ISNUMBER(D48),IF(ABS(E48)&lt;=F48,"PASS","FAIL"),"FAIL")</f>
        <v>PASS</v>
      </c>
      <c r="H48" s="8"/>
    </row>
    <row r="49" customFormat="false" ht="15" hidden="false" customHeight="false" outlineLevel="0" collapsed="false">
      <c r="A49" s="34" t="s">
        <v>263</v>
      </c>
      <c r="B49" s="34" t="s">
        <v>267</v>
      </c>
      <c r="C49" s="38" t="n">
        <v>9.3</v>
      </c>
      <c r="D49" s="38" t="n">
        <f aca="false">'Smoothing Range'!B59</f>
        <v>9.3</v>
      </c>
      <c r="E49" s="38" t="n">
        <f aca="false">D49-C49</f>
        <v>0</v>
      </c>
      <c r="F49" s="34" t="n">
        <v>5E-005</v>
      </c>
      <c r="G49" s="34" t="str">
        <f aca="false">IF(ISNUMBER(D49),IF(ABS(E49)&lt;=F49,"PASS","FAIL"),"FAIL")</f>
        <v>PASS</v>
      </c>
      <c r="H49" s="34"/>
    </row>
    <row r="50" customFormat="false" ht="15" hidden="false" customHeight="false" outlineLevel="0" collapsed="false">
      <c r="A50" s="8" t="s">
        <v>263</v>
      </c>
      <c r="B50" s="8" t="s">
        <v>268</v>
      </c>
      <c r="C50" s="23" t="n">
        <v>3.5376</v>
      </c>
      <c r="D50" s="23" t="n">
        <f aca="false">'Smoothing Range'!B60</f>
        <v>3.53763440860215</v>
      </c>
      <c r="E50" s="23" t="n">
        <f aca="false">D50-C50</f>
        <v>3.44086021502044E-005</v>
      </c>
      <c r="F50" s="8" t="n">
        <v>5E-005</v>
      </c>
      <c r="G50" s="8" t="str">
        <f aca="false">IF(ISNUMBER(D50),IF(ABS(E50)&lt;=F50,"PASS","FAIL"),"FAIL")</f>
        <v>PASS</v>
      </c>
      <c r="H50" s="8"/>
    </row>
    <row r="51" customFormat="false" ht="15" hidden="false" customHeight="false" outlineLevel="0" collapsed="false">
      <c r="A51" s="34" t="s">
        <v>263</v>
      </c>
      <c r="B51" s="34" t="s">
        <v>269</v>
      </c>
      <c r="C51" s="36" t="n">
        <v>3.2873</v>
      </c>
      <c r="D51" s="36" t="n">
        <f aca="false">'Smoothing Range'!B61</f>
        <v>3.28727761336584</v>
      </c>
      <c r="E51" s="36" t="n">
        <f aca="false">D51-C51</f>
        <v>-2.23866341562129E-005</v>
      </c>
      <c r="F51" s="34" t="n">
        <v>5E-005</v>
      </c>
      <c r="G51" s="34" t="str">
        <f aca="false">IF(ISNUMBER(D51),IF(ABS(E51)&lt;=F51,"PASS","FAIL"),"FAIL")</f>
        <v>PASS</v>
      </c>
      <c r="H51" s="34"/>
    </row>
    <row r="52" customFormat="false" ht="15" hidden="false" customHeight="false" outlineLevel="0" collapsed="false">
      <c r="A52" s="8" t="s">
        <v>263</v>
      </c>
      <c r="B52" s="8" t="s">
        <v>270</v>
      </c>
      <c r="C52" s="29" t="n">
        <v>34.1</v>
      </c>
      <c r="D52" s="29" t="n">
        <f aca="false">'Smoothing Range'!B62</f>
        <v>34.1</v>
      </c>
      <c r="E52" s="29" t="n">
        <f aca="false">D52-C52</f>
        <v>0</v>
      </c>
      <c r="F52" s="8" t="n">
        <v>0.05</v>
      </c>
      <c r="G52" s="8" t="str">
        <f aca="false">IF(ISNUMBER(D52),IF(ABS(E52)&lt;=F52,"PASS","FAIL"),"FAIL")</f>
        <v>PASS</v>
      </c>
      <c r="H52" s="8"/>
    </row>
    <row r="53" customFormat="false" ht="15" hidden="false" customHeight="false" outlineLevel="0" collapsed="false">
      <c r="A53" s="34" t="s">
        <v>271</v>
      </c>
      <c r="B53" s="34" t="s">
        <v>272</v>
      </c>
      <c r="C53" s="37" t="n">
        <v>64.44</v>
      </c>
      <c r="D53" s="37" t="n">
        <f aca="false">'Smoothing Range'!B68</f>
        <v>64.4407994732003</v>
      </c>
      <c r="E53" s="37" t="n">
        <f aca="false">D53-C53</f>
        <v>0.000799473200274292</v>
      </c>
      <c r="F53" s="34" t="n">
        <v>0.005</v>
      </c>
      <c r="G53" s="34" t="str">
        <f aca="false">IF(ISNUMBER(D53),IF(ABS(E53)&lt;=F53,"PASS","FAIL"),"FAIL")</f>
        <v>PASS</v>
      </c>
      <c r="H53" s="34" t="s">
        <v>273</v>
      </c>
    </row>
    <row r="54" customFormat="false" ht="15" hidden="false" customHeight="false" outlineLevel="0" collapsed="false">
      <c r="A54" s="8" t="s">
        <v>271</v>
      </c>
      <c r="B54" s="8" t="s">
        <v>274</v>
      </c>
      <c r="C54" s="28" t="n">
        <v>0.129426</v>
      </c>
      <c r="D54" s="28" t="n">
        <f aca="false">'Smoothing Range'!B71</f>
        <v>0.129426324943432</v>
      </c>
      <c r="E54" s="28" t="n">
        <f aca="false">D54-C54</f>
        <v>3.24943431745384E-007</v>
      </c>
      <c r="F54" s="8" t="n">
        <v>5E-007</v>
      </c>
      <c r="G54" s="8" t="str">
        <f aca="false">IF(ISNUMBER(D54),IF(ABS(E54)&lt;=F54,"PASS","FAIL"),"FAIL")</f>
        <v>PASS</v>
      </c>
      <c r="H54" s="8"/>
    </row>
    <row r="55" customFormat="false" ht="15" hidden="false" customHeight="false" outlineLevel="0" collapsed="false">
      <c r="A55" s="34" t="s">
        <v>271</v>
      </c>
      <c r="B55" s="34" t="s">
        <v>275</v>
      </c>
      <c r="C55" s="35" t="n">
        <v>0.031547</v>
      </c>
      <c r="D55" s="35" t="n">
        <f aca="false">'Smoothing Range'!C40</f>
        <v>0.0315469667497703</v>
      </c>
      <c r="E55" s="35" t="n">
        <f aca="false">D55-C55</f>
        <v>-3.32502297223369E-008</v>
      </c>
      <c r="F55" s="34" t="n">
        <v>5E-007</v>
      </c>
      <c r="G55" s="34" t="str">
        <f aca="false">IF(ISNUMBER(D55),IF(ABS(E55)&lt;=F55,"PASS","FAIL"),"FAIL")</f>
        <v>PASS</v>
      </c>
      <c r="H55" s="34"/>
    </row>
    <row r="56" customFormat="false" ht="15" hidden="false" customHeight="false" outlineLevel="0" collapsed="false">
      <c r="A56" s="8" t="s">
        <v>271</v>
      </c>
      <c r="B56" s="8" t="s">
        <v>276</v>
      </c>
      <c r="C56" s="23" t="n">
        <v>0.0707</v>
      </c>
      <c r="D56" s="23" t="n">
        <f aca="false">'Smoothing Range'!D40</f>
        <v>0.0707109411202364</v>
      </c>
      <c r="E56" s="23" t="n">
        <f aca="false">D56-C56</f>
        <v>1.09411202363768E-005</v>
      </c>
      <c r="F56" s="8" t="n">
        <v>5E-005</v>
      </c>
      <c r="G56" s="8" t="str">
        <f aca="false">IF(ISNUMBER(D56),IF(ABS(E56)&lt;=F56,"PASS","FAIL"),"FAIL")</f>
        <v>PASS</v>
      </c>
      <c r="H56" s="8"/>
    </row>
    <row r="57" customFormat="false" ht="15" hidden="false" customHeight="false" outlineLevel="0" collapsed="false">
      <c r="A57" s="34" t="s">
        <v>271</v>
      </c>
      <c r="B57" s="34" t="s">
        <v>277</v>
      </c>
      <c r="C57" s="36" t="n">
        <v>0.0215</v>
      </c>
      <c r="D57" s="36" t="n">
        <f aca="false">'Smoothing Range'!E40</f>
        <v>0.0215104866205186</v>
      </c>
      <c r="E57" s="36" t="n">
        <f aca="false">D57-C57</f>
        <v>1.04866205186266E-005</v>
      </c>
      <c r="F57" s="34" t="n">
        <v>5E-005</v>
      </c>
      <c r="G57" s="34" t="str">
        <f aca="false">IF(ISNUMBER(D57),IF(ABS(E57)&lt;=F57,"PASS","FAIL"),"FAIL")</f>
        <v>PASS</v>
      </c>
      <c r="H57" s="34"/>
    </row>
    <row r="58" customFormat="false" ht="15" hidden="false" customHeight="false" outlineLevel="0" collapsed="false">
      <c r="A58" s="8" t="s">
        <v>271</v>
      </c>
      <c r="B58" s="8" t="s">
        <v>278</v>
      </c>
      <c r="C58" s="28" t="n">
        <v>0.073867</v>
      </c>
      <c r="D58" s="28" t="n">
        <f aca="false">'Smoothing Range'!F40</f>
        <v>0.0738674947306173</v>
      </c>
      <c r="E58" s="28" t="n">
        <f aca="false">D58-C58</f>
        <v>4.94730617306427E-007</v>
      </c>
      <c r="F58" s="8" t="n">
        <v>5E-007</v>
      </c>
      <c r="G58" s="8" t="str">
        <f aca="false">IF(ISNUMBER(D58),IF(ABS(E58)&lt;=F58,"PASS","FAIL"),"FAIL")</f>
        <v>PASS</v>
      </c>
      <c r="H58" s="8"/>
    </row>
    <row r="59" customFormat="false" ht="15" hidden="false" customHeight="false" outlineLevel="0" collapsed="false">
      <c r="A59" s="34" t="s">
        <v>271</v>
      </c>
      <c r="B59" s="34" t="s">
        <v>279</v>
      </c>
      <c r="C59" s="35" t="n">
        <v>0.029836</v>
      </c>
      <c r="D59" s="35" t="n">
        <f aca="false">'Smoothing Range'!G40</f>
        <v>0.0298361428354992</v>
      </c>
      <c r="E59" s="35" t="n">
        <f aca="false">D59-C59</f>
        <v>1.42835499164495E-007</v>
      </c>
      <c r="F59" s="34" t="n">
        <v>5E-007</v>
      </c>
      <c r="G59" s="34" t="str">
        <f aca="false">IF(ISNUMBER(D59),IF(ABS(E59)&lt;=F59,"PASS","FAIL"),"FAIL")</f>
        <v>PASS</v>
      </c>
      <c r="H59" s="34"/>
    </row>
    <row r="60" customFormat="false" ht="15" hidden="false" customHeight="false" outlineLevel="0" collapsed="false">
      <c r="A60" s="8" t="s">
        <v>271</v>
      </c>
      <c r="B60" s="8" t="s">
        <v>280</v>
      </c>
      <c r="C60" s="28" t="n">
        <v>0.035496</v>
      </c>
      <c r="D60" s="28" t="n">
        <f aca="false">'Smoothing Range'!C41</f>
        <v>0.035496175459086</v>
      </c>
      <c r="E60" s="28" t="n">
        <f aca="false">D60-C60</f>
        <v>1.75459086045049E-007</v>
      </c>
      <c r="F60" s="8" t="n">
        <v>5E-007</v>
      </c>
      <c r="G60" s="8" t="str">
        <f aca="false">IF(ISNUMBER(D60),IF(ABS(E60)&lt;=F60,"PASS","FAIL"),"FAIL")</f>
        <v>PASS</v>
      </c>
      <c r="H60" s="8"/>
    </row>
    <row r="61" customFormat="false" ht="15" hidden="false" customHeight="false" outlineLevel="0" collapsed="false">
      <c r="A61" s="34" t="s">
        <v>271</v>
      </c>
      <c r="B61" s="34" t="s">
        <v>281</v>
      </c>
      <c r="C61" s="36" t="n">
        <v>0.1571</v>
      </c>
      <c r="D61" s="36" t="n">
        <f aca="false">'Smoothing Range'!D41</f>
        <v>0.157102035401719</v>
      </c>
      <c r="E61" s="36" t="n">
        <f aca="false">D61-C61</f>
        <v>2.03540171914152E-006</v>
      </c>
      <c r="F61" s="34" t="n">
        <v>5E-005</v>
      </c>
      <c r="G61" s="34" t="str">
        <f aca="false">IF(ISNUMBER(D61),IF(ABS(E61)&lt;=F61,"PASS","FAIL"),"FAIL")</f>
        <v>PASS</v>
      </c>
      <c r="H61" s="34"/>
    </row>
    <row r="62" customFormat="false" ht="15" hidden="false" customHeight="false" outlineLevel="0" collapsed="false">
      <c r="A62" s="8" t="s">
        <v>271</v>
      </c>
      <c r="B62" s="8" t="s">
        <v>282</v>
      </c>
      <c r="C62" s="23" t="n">
        <v>0.0538</v>
      </c>
      <c r="D62" s="23" t="n">
        <f aca="false">'Smoothing Range'!E41</f>
        <v>0.0537736336398388</v>
      </c>
      <c r="E62" s="23" t="n">
        <f aca="false">D62-C62</f>
        <v>-2.63663601612202E-005</v>
      </c>
      <c r="F62" s="8" t="n">
        <v>5E-005</v>
      </c>
      <c r="G62" s="8" t="str">
        <f aca="false">IF(ISNUMBER(D62),IF(ABS(E62)&lt;=F62,"PASS","FAIL"),"FAIL")</f>
        <v>PASS</v>
      </c>
      <c r="H62" s="8"/>
    </row>
    <row r="63" customFormat="false" ht="15" hidden="false" customHeight="false" outlineLevel="0" collapsed="false">
      <c r="A63" s="34" t="s">
        <v>271</v>
      </c>
      <c r="B63" s="34" t="s">
        <v>283</v>
      </c>
      <c r="C63" s="35" t="n">
        <v>0.075006</v>
      </c>
      <c r="D63" s="35" t="n">
        <f aca="false">'Smoothing Range'!F41</f>
        <v>0.0750064275486515</v>
      </c>
      <c r="E63" s="35" t="n">
        <f aca="false">D63-C63</f>
        <v>4.27548651510401E-007</v>
      </c>
      <c r="F63" s="34" t="n">
        <v>5E-007</v>
      </c>
      <c r="G63" s="34" t="str">
        <f aca="false">IF(ISNUMBER(D63),IF(ABS(E63)&lt;=F63,"PASS","FAIL"),"FAIL")</f>
        <v>PASS</v>
      </c>
      <c r="H63" s="34"/>
    </row>
    <row r="64" customFormat="false" ht="15" hidden="false" customHeight="false" outlineLevel="0" collapsed="false">
      <c r="A64" s="8" t="s">
        <v>271</v>
      </c>
      <c r="B64" s="8" t="s">
        <v>284</v>
      </c>
      <c r="C64" s="28" t="n">
        <v>0.028697</v>
      </c>
      <c r="D64" s="28" t="n">
        <f aca="false">'Smoothing Range'!G41</f>
        <v>0.028697210017465</v>
      </c>
      <c r="E64" s="28" t="n">
        <f aca="false">D64-C64</f>
        <v>2.10017464960521E-007</v>
      </c>
      <c r="F64" s="8" t="n">
        <v>5E-007</v>
      </c>
      <c r="G64" s="8" t="str">
        <f aca="false">IF(ISNUMBER(D64),IF(ABS(E64)&lt;=F64,"PASS","FAIL"),"FAIL")</f>
        <v>PASS</v>
      </c>
      <c r="H64" s="8"/>
    </row>
    <row r="65" customFormat="false" ht="15" hidden="false" customHeight="false" outlineLevel="0" collapsed="false">
      <c r="A65" s="34" t="s">
        <v>271</v>
      </c>
      <c r="B65" s="34" t="s">
        <v>285</v>
      </c>
      <c r="C65" s="35" t="n">
        <v>0.038959</v>
      </c>
      <c r="D65" s="35" t="n">
        <f aca="false">'Smoothing Range'!C42</f>
        <v>0.0389594707717109</v>
      </c>
      <c r="E65" s="35" t="n">
        <f aca="false">D65-C65</f>
        <v>4.70771710850415E-007</v>
      </c>
      <c r="F65" s="34" t="n">
        <v>5E-007</v>
      </c>
      <c r="G65" s="34" t="str">
        <f aca="false">IF(ISNUMBER(D65),IF(ABS(E65)&lt;=F65,"PASS","FAIL"),"FAIL")</f>
        <v>PASS</v>
      </c>
      <c r="H65" s="34"/>
    </row>
    <row r="66" customFormat="false" ht="15" hidden="false" customHeight="false" outlineLevel="0" collapsed="false">
      <c r="A66" s="8" t="s">
        <v>271</v>
      </c>
      <c r="B66" s="8" t="s">
        <v>286</v>
      </c>
      <c r="C66" s="23" t="n">
        <v>0.2045</v>
      </c>
      <c r="D66" s="23" t="n">
        <f aca="false">'Smoothing Range'!D42</f>
        <v>0.204478717852803</v>
      </c>
      <c r="E66" s="23" t="n">
        <f aca="false">D66-C66</f>
        <v>-2.12821471968494E-005</v>
      </c>
      <c r="F66" s="8" t="n">
        <v>5E-005</v>
      </c>
      <c r="G66" s="8" t="str">
        <f aca="false">IF(ISNUMBER(D66),IF(ABS(E66)&lt;=F66,"PASS","FAIL"),"FAIL")</f>
        <v>PASS</v>
      </c>
      <c r="H66" s="8"/>
    </row>
    <row r="67" customFormat="false" ht="15" hidden="false" customHeight="false" outlineLevel="0" collapsed="false">
      <c r="A67" s="34" t="s">
        <v>271</v>
      </c>
      <c r="B67" s="34" t="s">
        <v>287</v>
      </c>
      <c r="C67" s="36" t="n">
        <v>0.0768</v>
      </c>
      <c r="D67" s="36" t="n">
        <f aca="false">'Smoothing Range'!E42</f>
        <v>0.0768187386536389</v>
      </c>
      <c r="E67" s="36" t="n">
        <f aca="false">D67-C67</f>
        <v>1.87386536389389E-005</v>
      </c>
      <c r="F67" s="34" t="n">
        <v>5E-005</v>
      </c>
      <c r="G67" s="34" t="str">
        <f aca="false">IF(ISNUMBER(D67),IF(ABS(E67)&lt;=F67,"PASS","FAIL"),"FAIL")</f>
        <v>PASS</v>
      </c>
      <c r="H67" s="34"/>
    </row>
    <row r="68" customFormat="false" ht="15" hidden="false" customHeight="false" outlineLevel="0" collapsed="false">
      <c r="A68" s="8" t="s">
        <v>271</v>
      </c>
      <c r="B68" s="8" t="s">
        <v>288</v>
      </c>
      <c r="C68" s="28" t="n">
        <v>0.07585</v>
      </c>
      <c r="D68" s="28" t="n">
        <f aca="false">'Smoothing Range'!F42</f>
        <v>0.0758502696793547</v>
      </c>
      <c r="E68" s="28" t="n">
        <f aca="false">D68-C68</f>
        <v>2.69679354722441E-007</v>
      </c>
      <c r="F68" s="8" t="n">
        <v>5E-006</v>
      </c>
      <c r="G68" s="8" t="str">
        <f aca="false">IF(ISNUMBER(D68),IF(ABS(E68)&lt;=F68,"PASS","FAIL"),"FAIL")</f>
        <v>PASS</v>
      </c>
      <c r="H68" s="8"/>
    </row>
    <row r="69" customFormat="false" ht="15" hidden="false" customHeight="false" outlineLevel="0" collapsed="false">
      <c r="A69" s="34" t="s">
        <v>271</v>
      </c>
      <c r="B69" s="34" t="s">
        <v>289</v>
      </c>
      <c r="C69" s="35" t="n">
        <v>0.027853</v>
      </c>
      <c r="D69" s="35" t="n">
        <f aca="false">'Smoothing Range'!G42</f>
        <v>0.0278533678867618</v>
      </c>
      <c r="E69" s="35" t="n">
        <f aca="false">D69-C69</f>
        <v>3.67886761751951E-007</v>
      </c>
      <c r="F69" s="34" t="n">
        <v>5E-007</v>
      </c>
      <c r="G69" s="34" t="str">
        <f aca="false">IF(ISNUMBER(D69),IF(ABS(E69)&lt;=F69,"PASS","FAIL"),"FAIL")</f>
        <v>PASS</v>
      </c>
      <c r="H69" s="34"/>
    </row>
    <row r="70" customFormat="false" ht="15" hidden="false" customHeight="false" outlineLevel="0" collapsed="false">
      <c r="A70" s="8" t="s">
        <v>271</v>
      </c>
      <c r="B70" s="8" t="s">
        <v>290</v>
      </c>
      <c r="C70" s="28" t="n">
        <v>0.044167</v>
      </c>
      <c r="D70" s="28" t="n">
        <f aca="false">'Smoothing Range'!C43</f>
        <v>0.0441674842691619</v>
      </c>
      <c r="E70" s="28" t="n">
        <f aca="false">D70-C70</f>
        <v>4.84269161930839E-007</v>
      </c>
      <c r="F70" s="8" t="n">
        <v>5E-007</v>
      </c>
      <c r="G70" s="8" t="str">
        <f aca="false">IF(ISNUMBER(D70),IF(ABS(E70)&lt;=F70,"PASS","FAIL"),"FAIL")</f>
        <v>PASS</v>
      </c>
      <c r="H70" s="8"/>
    </row>
    <row r="71" customFormat="false" ht="15" hidden="false" customHeight="false" outlineLevel="0" collapsed="false">
      <c r="A71" s="34" t="s">
        <v>271</v>
      </c>
      <c r="B71" s="34" t="s">
        <v>291</v>
      </c>
      <c r="C71" s="36" t="n">
        <v>0.2525</v>
      </c>
      <c r="D71" s="36" t="n">
        <f aca="false">'Smoothing Range'!D43</f>
        <v>0.252513006801307</v>
      </c>
      <c r="E71" s="36" t="n">
        <f aca="false">D71-C71</f>
        <v>1.30068013065587E-005</v>
      </c>
      <c r="F71" s="34" t="n">
        <v>5E-005</v>
      </c>
      <c r="G71" s="34" t="str">
        <f aca="false">IF(ISNUMBER(D71),IF(ABS(E71)&lt;=F71,"PASS","FAIL"),"FAIL")</f>
        <v>PASS</v>
      </c>
      <c r="H71" s="34"/>
    </row>
    <row r="72" customFormat="false" ht="15" hidden="false" customHeight="false" outlineLevel="0" collapsed="false">
      <c r="A72" s="8" t="s">
        <v>271</v>
      </c>
      <c r="B72" s="8" t="s">
        <v>292</v>
      </c>
      <c r="C72" s="23" t="n">
        <v>0.1075</v>
      </c>
      <c r="D72" s="23" t="n">
        <f aca="false">'Smoothing Range'!E43</f>
        <v>0.107545545338706</v>
      </c>
      <c r="E72" s="23" t="n">
        <f aca="false">D72-C72</f>
        <v>4.55453387057381E-005</v>
      </c>
      <c r="F72" s="8" t="n">
        <v>5E-005</v>
      </c>
      <c r="G72" s="8" t="str">
        <f aca="false">IF(ISNUMBER(D72),IF(ABS(E72)&lt;=F72,"PASS","FAIL"),"FAIL")</f>
        <v>PASS</v>
      </c>
      <c r="H72" s="8"/>
    </row>
    <row r="73" customFormat="false" ht="15" hidden="false" customHeight="false" outlineLevel="0" collapsed="false">
      <c r="A73" s="34" t="s">
        <v>271</v>
      </c>
      <c r="B73" s="34" t="s">
        <v>293</v>
      </c>
      <c r="C73" s="35" t="n">
        <v>0.077013</v>
      </c>
      <c r="D73" s="35" t="n">
        <f aca="false">'Smoothing Range'!F43</f>
        <v>0.0770130876323412</v>
      </c>
      <c r="E73" s="35" t="n">
        <f aca="false">D73-C73</f>
        <v>8.76323411891367E-008</v>
      </c>
      <c r="F73" s="34" t="n">
        <v>5E-007</v>
      </c>
      <c r="G73" s="34" t="str">
        <f aca="false">IF(ISNUMBER(D73),IF(ABS(E73)&lt;=F73,"PASS","FAIL"),"FAIL")</f>
        <v>PASS</v>
      </c>
      <c r="H73" s="34"/>
    </row>
    <row r="74" customFormat="false" ht="15" hidden="false" customHeight="false" outlineLevel="0" collapsed="false">
      <c r="A74" s="8" t="s">
        <v>271</v>
      </c>
      <c r="B74" s="8" t="s">
        <v>294</v>
      </c>
      <c r="C74" s="28" t="n">
        <v>0.026691</v>
      </c>
      <c r="D74" s="28" t="n">
        <f aca="false">'Smoothing Range'!G43</f>
        <v>0.0266905499337753</v>
      </c>
      <c r="E74" s="28" t="n">
        <f aca="false">D74-C74</f>
        <v>-4.50066224712276E-007</v>
      </c>
      <c r="F74" s="8" t="n">
        <v>5E-007</v>
      </c>
      <c r="G74" s="8" t="str">
        <f aca="false">IF(ISNUMBER(D74),IF(ABS(E74)&lt;=F74,"PASS","FAIL"),"FAIL")</f>
        <v>PASS</v>
      </c>
      <c r="H74" s="8"/>
    </row>
    <row r="75" customFormat="false" ht="15" hidden="false" customHeight="false" outlineLevel="0" collapsed="false">
      <c r="A75" s="34" t="s">
        <v>271</v>
      </c>
      <c r="B75" s="34" t="s">
        <v>295</v>
      </c>
      <c r="C75" s="35" t="n">
        <v>0.05223</v>
      </c>
      <c r="D75" s="35" t="n">
        <f aca="false">'Smoothing Range'!C44</f>
        <v>0.0522298339606355</v>
      </c>
      <c r="E75" s="35" t="n">
        <f aca="false">D75-C75</f>
        <v>-1.66039364479786E-007</v>
      </c>
      <c r="F75" s="34" t="n">
        <v>5E-006</v>
      </c>
      <c r="G75" s="34" t="str">
        <f aca="false">IF(ISNUMBER(D75),IF(ABS(E75)&lt;=F75,"PASS","FAIL"),"FAIL")</f>
        <v>PASS</v>
      </c>
      <c r="H75" s="34"/>
    </row>
    <row r="76" customFormat="false" ht="15" hidden="false" customHeight="false" outlineLevel="0" collapsed="false">
      <c r="A76" s="8" t="s">
        <v>271</v>
      </c>
      <c r="B76" s="8" t="s">
        <v>296</v>
      </c>
      <c r="C76" s="23" t="n">
        <v>0.2989</v>
      </c>
      <c r="D76" s="23" t="n">
        <f aca="false">'Smoothing Range'!D44</f>
        <v>0.298946738775172</v>
      </c>
      <c r="E76" s="23" t="n">
        <f aca="false">D76-C76</f>
        <v>4.67387751717507E-005</v>
      </c>
      <c r="F76" s="8" t="n">
        <v>5E-005</v>
      </c>
      <c r="G76" s="8" t="str">
        <f aca="false">IF(ISNUMBER(D76),IF(ABS(E76)&lt;=F76,"PASS","FAIL"),"FAIL")</f>
        <v>PASS</v>
      </c>
      <c r="H76" s="8"/>
    </row>
    <row r="77" customFormat="false" ht="15" hidden="false" customHeight="false" outlineLevel="0" collapsed="false">
      <c r="A77" s="34" t="s">
        <v>271</v>
      </c>
      <c r="B77" s="34" t="s">
        <v>297</v>
      </c>
      <c r="C77" s="36" t="n">
        <v>0.1506</v>
      </c>
      <c r="D77" s="36" t="n">
        <f aca="false">'Smoothing Range'!E44</f>
        <v>0.150563074697799</v>
      </c>
      <c r="E77" s="36" t="n">
        <f aca="false">D77-C77</f>
        <v>-3.69253022007021E-005</v>
      </c>
      <c r="F77" s="34" t="n">
        <v>5E-005</v>
      </c>
      <c r="G77" s="34" t="str">
        <f aca="false">IF(ISNUMBER(D77),IF(ABS(E77)&lt;=F77,"PASS","FAIL"),"FAIL")</f>
        <v>PASS</v>
      </c>
      <c r="H77" s="34"/>
    </row>
    <row r="78" customFormat="false" ht="15" hidden="false" customHeight="false" outlineLevel="0" collapsed="false">
      <c r="A78" s="8" t="s">
        <v>271</v>
      </c>
      <c r="B78" s="8" t="s">
        <v>298</v>
      </c>
      <c r="C78" s="28" t="n">
        <v>0.07871</v>
      </c>
      <c r="D78" s="28" t="n">
        <f aca="false">'Smoothing Range'!F44</f>
        <v>0.0787100191278792</v>
      </c>
      <c r="E78" s="28" t="n">
        <f aca="false">D78-C78</f>
        <v>1.91278791972227E-008</v>
      </c>
      <c r="F78" s="8" t="n">
        <v>5E-006</v>
      </c>
      <c r="G78" s="8" t="str">
        <f aca="false">IF(ISNUMBER(D78),IF(ABS(E78)&lt;=F78,"PASS","FAIL"),"FAIL")</f>
        <v>PASS</v>
      </c>
      <c r="H78" s="8"/>
    </row>
    <row r="79" customFormat="false" ht="15" hidden="false" customHeight="false" outlineLevel="0" collapsed="false">
      <c r="A79" s="34" t="s">
        <v>271</v>
      </c>
      <c r="B79" s="34" t="s">
        <v>299</v>
      </c>
      <c r="C79" s="35" t="n">
        <v>0.024994</v>
      </c>
      <c r="D79" s="35" t="n">
        <f aca="false">'Smoothing Range'!G44</f>
        <v>0.0249936184382373</v>
      </c>
      <c r="E79" s="35" t="n">
        <f aca="false">D79-C79</f>
        <v>-3.81561762723831E-007</v>
      </c>
      <c r="F79" s="34" t="n">
        <v>5E-007</v>
      </c>
      <c r="G79" s="34" t="str">
        <f aca="false">IF(ISNUMBER(D79),IF(ABS(E79)&lt;=F79,"PASS","FAIL"),"FAIL")</f>
        <v>PASS</v>
      </c>
      <c r="H79" s="34"/>
    </row>
    <row r="80" customFormat="false" ht="15" hidden="false" customHeight="false" outlineLevel="0" collapsed="false">
      <c r="A80" s="8" t="s">
        <v>271</v>
      </c>
      <c r="B80" s="8" t="s">
        <v>300</v>
      </c>
      <c r="C80" s="28" t="n">
        <v>0.06533</v>
      </c>
      <c r="D80" s="28" t="n">
        <f aca="false">'Smoothing Range'!C45</f>
        <v>0.0653299531438511</v>
      </c>
      <c r="E80" s="28" t="n">
        <f aca="false">D80-C80</f>
        <v>-4.68561489053165E-008</v>
      </c>
      <c r="F80" s="8" t="n">
        <v>5E-006</v>
      </c>
      <c r="G80" s="8" t="str">
        <f aca="false">IF(ISNUMBER(D80),IF(ABS(E80)&lt;=F80,"PASS","FAIL"),"FAIL")</f>
        <v>PASS</v>
      </c>
      <c r="H80" s="8"/>
    </row>
    <row r="81" customFormat="false" ht="15" hidden="false" customHeight="false" outlineLevel="0" collapsed="false">
      <c r="A81" s="34" t="s">
        <v>271</v>
      </c>
      <c r="B81" s="34" t="s">
        <v>301</v>
      </c>
      <c r="C81" s="36" t="n">
        <v>0.3414</v>
      </c>
      <c r="D81" s="36" t="n">
        <f aca="false">'Smoothing Range'!D45</f>
        <v>0.341429143392367</v>
      </c>
      <c r="E81" s="36" t="n">
        <f aca="false">D81-C81</f>
        <v>2.91433923665374E-005</v>
      </c>
      <c r="F81" s="34" t="n">
        <v>5E-005</v>
      </c>
      <c r="G81" s="34" t="str">
        <f aca="false">IF(ISNUMBER(D81),IF(ABS(E81)&lt;=F81,"PASS","FAIL"),"FAIL")</f>
        <v>PASS</v>
      </c>
      <c r="H81" s="34"/>
    </row>
    <row r="82" customFormat="false" ht="15" hidden="false" customHeight="false" outlineLevel="0" collapsed="false">
      <c r="A82" s="8" t="s">
        <v>271</v>
      </c>
      <c r="B82" s="8" t="s">
        <v>302</v>
      </c>
      <c r="C82" s="23" t="n">
        <v>0.2151</v>
      </c>
      <c r="D82" s="23" t="n">
        <f aca="false">'Smoothing Range'!E45</f>
        <v>0.21508936873644</v>
      </c>
      <c r="E82" s="23" t="n">
        <f aca="false">D82-C82</f>
        <v>-1.06312635603789E-005</v>
      </c>
      <c r="F82" s="8" t="n">
        <v>5E-005</v>
      </c>
      <c r="G82" s="8" t="str">
        <f aca="false">IF(ISNUMBER(D82),IF(ABS(E82)&lt;=F82,"PASS","FAIL"),"FAIL")</f>
        <v>PASS</v>
      </c>
      <c r="H82" s="8"/>
    </row>
    <row r="83" customFormat="false" ht="15" hidden="false" customHeight="false" outlineLevel="0" collapsed="false">
      <c r="A83" s="34" t="s">
        <v>271</v>
      </c>
      <c r="B83" s="34" t="s">
        <v>303</v>
      </c>
      <c r="C83" s="35" t="n">
        <v>0.081396</v>
      </c>
      <c r="D83" s="35" t="n">
        <f aca="false">'Smoothing Range'!F45</f>
        <v>0.0813961180141767</v>
      </c>
      <c r="E83" s="35" t="n">
        <f aca="false">D83-C83</f>
        <v>1.18014176667125E-007</v>
      </c>
      <c r="F83" s="34" t="n">
        <v>5E-007</v>
      </c>
      <c r="G83" s="34" t="str">
        <f aca="false">IF(ISNUMBER(D83),IF(ABS(E83)&lt;=F83,"PASS","FAIL"),"FAIL")</f>
        <v>PASS</v>
      </c>
      <c r="H83" s="34"/>
    </row>
    <row r="84" customFormat="false" ht="15" hidden="false" customHeight="false" outlineLevel="0" collapsed="false">
      <c r="A84" s="8" t="s">
        <v>271</v>
      </c>
      <c r="B84" s="8" t="s">
        <v>304</v>
      </c>
      <c r="C84" s="28" t="n">
        <v>0.022308</v>
      </c>
      <c r="D84" s="28" t="n">
        <f aca="false">'Smoothing Range'!G45</f>
        <v>0.0223075195519398</v>
      </c>
      <c r="E84" s="28" t="n">
        <f aca="false">D84-C84</f>
        <v>-4.80448060190264E-007</v>
      </c>
      <c r="F84" s="8" t="n">
        <v>5E-007</v>
      </c>
      <c r="G84" s="8" t="str">
        <f aca="false">IF(ISNUMBER(D84),IF(ABS(E84)&lt;=F84,"PASS","FAIL"),"FAIL")</f>
        <v>PASS</v>
      </c>
      <c r="H84" s="8"/>
    </row>
    <row r="85" customFormat="false" ht="15" hidden="false" customHeight="false" outlineLevel="0" collapsed="false">
      <c r="A85" s="34" t="s">
        <v>241</v>
      </c>
      <c r="B85" s="34" t="s">
        <v>305</v>
      </c>
      <c r="C85" s="35" t="n">
        <v>0.547135</v>
      </c>
      <c r="D85" s="35" t="n">
        <f aca="false">'Fees and Exit Detail'!B7</f>
        <v>0.547134935304991</v>
      </c>
      <c r="E85" s="35" t="n">
        <f aca="false">D85-C85</f>
        <v>-6.46950092386689E-008</v>
      </c>
      <c r="F85" s="34" t="n">
        <v>5E-007</v>
      </c>
      <c r="G85" s="34" t="str">
        <f aca="false">IF(ISNUMBER(D85),IF(ABS(E85)&lt;=F85,"PASS","FAIL"),"FAIL")</f>
        <v>PASS</v>
      </c>
      <c r="H85" s="34" t="s">
        <v>306</v>
      </c>
    </row>
    <row r="86" customFormat="false" ht="15" hidden="false" customHeight="false" outlineLevel="0" collapsed="false">
      <c r="A86" s="8" t="s">
        <v>241</v>
      </c>
      <c r="B86" s="8" t="s">
        <v>307</v>
      </c>
      <c r="C86" s="28" t="n">
        <v>0.328651</v>
      </c>
      <c r="D86" s="28" t="n">
        <f aca="false">'Fees and Exit Detail'!B8</f>
        <v>0.328650646950092</v>
      </c>
      <c r="E86" s="28" t="n">
        <f aca="false">D86-C86</f>
        <v>-3.53049907586556E-007</v>
      </c>
      <c r="F86" s="8" t="n">
        <v>5E-007</v>
      </c>
      <c r="G86" s="8" t="str">
        <f aca="false">IF(ISNUMBER(D86),IF(ABS(E86)&lt;=F86,"PASS","FAIL"),"FAIL")</f>
        <v>PASS</v>
      </c>
      <c r="H86" s="8" t="s">
        <v>308</v>
      </c>
    </row>
    <row r="87" customFormat="false" ht="15" hidden="false" customHeight="false" outlineLevel="0" collapsed="false">
      <c r="A87" s="34" t="s">
        <v>241</v>
      </c>
      <c r="B87" s="34" t="s">
        <v>309</v>
      </c>
      <c r="C87" s="35" t="n">
        <v>0.124214</v>
      </c>
      <c r="D87" s="35" t="n">
        <f aca="false">'Fees and Exit Detail'!B9</f>
        <v>0.124214417744917</v>
      </c>
      <c r="E87" s="35" t="n">
        <f aca="false">D87-C87</f>
        <v>4.17744916811347E-007</v>
      </c>
      <c r="F87" s="34" t="n">
        <v>5E-007</v>
      </c>
      <c r="G87" s="34" t="str">
        <f aca="false">IF(ISNUMBER(D87),IF(ABS(E87)&lt;=F87,"PASS","FAIL"),"FAIL")</f>
        <v>PASS</v>
      </c>
      <c r="H87" s="34" t="s">
        <v>310</v>
      </c>
    </row>
    <row r="88" customFormat="false" ht="15" hidden="false" customHeight="false" outlineLevel="0" collapsed="false">
      <c r="A88" s="8" t="s">
        <v>241</v>
      </c>
      <c r="B88" s="8" t="s">
        <v>311</v>
      </c>
      <c r="C88" s="30" t="n">
        <v>52.5</v>
      </c>
      <c r="D88" s="30" t="n">
        <f aca="false">'Fees and Exit Detail'!B10</f>
        <v>52.5</v>
      </c>
      <c r="E88" s="30" t="n">
        <f aca="false">D88-C88</f>
        <v>0</v>
      </c>
      <c r="F88" s="8" t="n">
        <v>0.05</v>
      </c>
      <c r="G88" s="8" t="str">
        <f aca="false">IF(ISNUMBER(D88),IF(ABS(E88)&lt;=F88,"PASS","FAIL"),"FAIL")</f>
        <v>PASS</v>
      </c>
      <c r="H88" s="8"/>
    </row>
    <row r="89" customFormat="false" ht="15" hidden="false" customHeight="false" outlineLevel="0" collapsed="false">
      <c r="A89" s="34" t="s">
        <v>241</v>
      </c>
      <c r="B89" s="34" t="s">
        <v>312</v>
      </c>
      <c r="C89" s="35" t="n">
        <v>0.9449</v>
      </c>
      <c r="D89" s="35" t="n">
        <f aca="false">'Fees and Exit Detail'!B11</f>
        <v>0.94488188976378</v>
      </c>
      <c r="E89" s="35" t="n">
        <f aca="false">D89-C89</f>
        <v>-1.81102362204477E-005</v>
      </c>
      <c r="F89" s="34" t="n">
        <v>5E-005</v>
      </c>
      <c r="G89" s="34" t="str">
        <f aca="false">IF(ISNUMBER(D89),IF(ABS(E89)&lt;=F89,"PASS","FAIL"),"FAIL")</f>
        <v>PASS</v>
      </c>
      <c r="H89" s="34" t="s">
        <v>176</v>
      </c>
    </row>
    <row r="90" customFormat="false" ht="15" hidden="false" customHeight="false" outlineLevel="0" collapsed="false">
      <c r="A90" s="8" t="s">
        <v>313</v>
      </c>
      <c r="B90" s="8" t="s">
        <v>314</v>
      </c>
      <c r="C90" s="28" t="n">
        <v>0.116667</v>
      </c>
      <c r="D90" s="28" t="n">
        <f aca="false">'Fees and Exit Detail'!B12</f>
        <v>0.116666666666667</v>
      </c>
      <c r="E90" s="28" t="n">
        <f aca="false">D90-C90</f>
        <v>-3.33333333324415E-007</v>
      </c>
      <c r="F90" s="8" t="n">
        <v>5E-007</v>
      </c>
      <c r="G90" s="8" t="str">
        <f aca="false">IF(ISNUMBER(D90),IF(ABS(E90)&lt;=F90,"PASS","FAIL"),"FAIL")</f>
        <v>PASS</v>
      </c>
      <c r="H90" s="8"/>
    </row>
    <row r="91" customFormat="false" ht="15" hidden="false" customHeight="false" outlineLevel="0" collapsed="false">
      <c r="A91" s="34" t="s">
        <v>241</v>
      </c>
      <c r="B91" s="34" t="s">
        <v>315</v>
      </c>
      <c r="C91" s="36" t="n">
        <v>2.695</v>
      </c>
      <c r="D91" s="36" t="n">
        <f aca="false">'Fees and Exit Detail'!B13</f>
        <v>2.695</v>
      </c>
      <c r="E91" s="36" t="n">
        <f aca="false">D91-C91</f>
        <v>0</v>
      </c>
      <c r="F91" s="34" t="n">
        <v>5E-005</v>
      </c>
      <c r="G91" s="34" t="str">
        <f aca="false">IF(ISNUMBER(D91),IF(ABS(E91)&lt;=F91,"PASS","FAIL"),"FAIL")</f>
        <v>PASS</v>
      </c>
      <c r="H91" s="34"/>
    </row>
    <row r="92" customFormat="false" ht="15" hidden="false" customHeight="false" outlineLevel="0" collapsed="false">
      <c r="A92" s="8" t="s">
        <v>241</v>
      </c>
      <c r="B92" s="8" t="s">
        <v>316</v>
      </c>
      <c r="C92" s="23" t="n">
        <v>0.3675</v>
      </c>
      <c r="D92" s="23" t="n">
        <f aca="false">'Fees and Exit Detail'!B14</f>
        <v>0.3675</v>
      </c>
      <c r="E92" s="23" t="n">
        <f aca="false">D92-C92</f>
        <v>0</v>
      </c>
      <c r="F92" s="8" t="n">
        <v>5E-005</v>
      </c>
      <c r="G92" s="8" t="str">
        <f aca="false">IF(ISNUMBER(D92),IF(ABS(E92)&lt;=F92,"PASS","FAIL"),"FAIL")</f>
        <v>PASS</v>
      </c>
      <c r="H92" s="8"/>
    </row>
    <row r="93" customFormat="false" ht="15" hidden="false" customHeight="false" outlineLevel="0" collapsed="false">
      <c r="A93" s="34" t="s">
        <v>241</v>
      </c>
      <c r="B93" s="34" t="s">
        <v>317</v>
      </c>
      <c r="C93" s="35" t="n">
        <v>0.743333</v>
      </c>
      <c r="D93" s="35" t="n">
        <f aca="false">'Fees and Exit Detail'!B15</f>
        <v>0.743333333333333</v>
      </c>
      <c r="E93" s="35" t="n">
        <f aca="false">D93-C93</f>
        <v>3.33333333379926E-007</v>
      </c>
      <c r="F93" s="34" t="n">
        <v>5E-007</v>
      </c>
      <c r="G93" s="34" t="str">
        <f aca="false">IF(ISNUMBER(D93),IF(ABS(E93)&lt;=F93,"PASS","FAIL"),"FAIL")</f>
        <v>PASS</v>
      </c>
      <c r="H93" s="34"/>
    </row>
    <row r="94" customFormat="false" ht="15" hidden="false" customHeight="false" outlineLevel="0" collapsed="false">
      <c r="A94" s="8" t="s">
        <v>241</v>
      </c>
      <c r="B94" s="8" t="s">
        <v>318</v>
      </c>
      <c r="C94" s="30" t="n">
        <v>462.5</v>
      </c>
      <c r="D94" s="30" t="n">
        <f aca="false">'Fees and Exit Detail'!B16</f>
        <v>462.5</v>
      </c>
      <c r="E94" s="30" t="n">
        <f aca="false">D94-C94</f>
        <v>0</v>
      </c>
      <c r="F94" s="8" t="n">
        <v>0.05</v>
      </c>
      <c r="G94" s="8" t="str">
        <f aca="false">IF(ISNUMBER(D94),IF(ABS(E94)&lt;=F94,"PASS","FAIL"),"FAIL")</f>
        <v>PASS</v>
      </c>
      <c r="H94" s="8"/>
    </row>
    <row r="95" customFormat="false" ht="15" hidden="false" customHeight="false" outlineLevel="0" collapsed="false">
      <c r="A95" s="34" t="s">
        <v>241</v>
      </c>
      <c r="B95" s="34" t="s">
        <v>319</v>
      </c>
      <c r="C95" s="37" t="n">
        <v>349</v>
      </c>
      <c r="D95" s="37" t="n">
        <f aca="false">'Fees and Exit Detail'!B18</f>
        <v>349</v>
      </c>
      <c r="E95" s="37" t="n">
        <f aca="false">D95-C95</f>
        <v>0</v>
      </c>
      <c r="F95" s="34" t="n">
        <v>0.005</v>
      </c>
      <c r="G95" s="34" t="str">
        <f aca="false">IF(ISNUMBER(D95),IF(ABS(E95)&lt;=F95,"PASS","FAIL"),"FAIL")</f>
        <v>PASS</v>
      </c>
      <c r="H95" s="34" t="s">
        <v>254</v>
      </c>
    </row>
    <row r="96" customFormat="false" ht="15" hidden="false" customHeight="false" outlineLevel="0" collapsed="false">
      <c r="A96" s="8" t="s">
        <v>241</v>
      </c>
      <c r="B96" s="8" t="s">
        <v>320</v>
      </c>
      <c r="C96" s="28" t="n">
        <v>0.48442</v>
      </c>
      <c r="D96" s="28" t="n">
        <f aca="false">'Fees and Exit Detail'!B19</f>
        <v>0.484419770773639</v>
      </c>
      <c r="E96" s="28" t="n">
        <f aca="false">D96-C96</f>
        <v>-2.29226361059265E-007</v>
      </c>
      <c r="F96" s="8" t="n">
        <v>5E-006</v>
      </c>
      <c r="G96" s="8" t="str">
        <f aca="false">IF(ISNUMBER(D96),IF(ABS(E96)&lt;=F96,"PASS","FAIL"),"FAIL")</f>
        <v>PASS</v>
      </c>
      <c r="H96" s="8" t="s">
        <v>254</v>
      </c>
    </row>
    <row r="97" customFormat="false" ht="15" hidden="false" customHeight="false" outlineLevel="0" collapsed="false">
      <c r="A97" s="34" t="s">
        <v>241</v>
      </c>
      <c r="B97" s="34" t="s">
        <v>321</v>
      </c>
      <c r="C97" s="37" t="n">
        <v>1.26</v>
      </c>
      <c r="D97" s="37" t="n">
        <f aca="false">'Fees and Exit Detail'!B20</f>
        <v>1.26</v>
      </c>
      <c r="E97" s="37" t="n">
        <f aca="false">D97-C97</f>
        <v>0</v>
      </c>
      <c r="F97" s="34" t="n">
        <v>5E-005</v>
      </c>
      <c r="G97" s="34" t="str">
        <f aca="false">IF(ISNUMBER(D97),IF(ABS(E97)&lt;=F97,"PASS","FAIL"),"FAIL")</f>
        <v>PASS</v>
      </c>
      <c r="H97" s="34"/>
    </row>
    <row r="98" customFormat="false" ht="15" hidden="false" customHeight="false" outlineLevel="0" collapsed="false">
      <c r="A98" s="8" t="s">
        <v>241</v>
      </c>
      <c r="B98" s="8" t="s">
        <v>322</v>
      </c>
      <c r="C98" s="28" t="n">
        <v>0.281771</v>
      </c>
      <c r="D98" s="28" t="n">
        <f aca="false">'Fees and Exit Detail'!C25</f>
        <v>0.281770833333333</v>
      </c>
      <c r="E98" s="28" t="n">
        <f aca="false">D98-C98</f>
        <v>-1.66666666634452E-007</v>
      </c>
      <c r="F98" s="8" t="n">
        <v>5E-007</v>
      </c>
      <c r="G98" s="8" t="str">
        <f aca="false">IF(ISNUMBER(D98),IF(ABS(E98)&lt;=F98,"PASS","FAIL"),"FAIL")</f>
        <v>PASS</v>
      </c>
      <c r="H98" s="8" t="s">
        <v>323</v>
      </c>
    </row>
    <row r="99" customFormat="false" ht="15" hidden="false" customHeight="false" outlineLevel="0" collapsed="false">
      <c r="A99" s="34" t="s">
        <v>241</v>
      </c>
      <c r="B99" s="34" t="s">
        <v>324</v>
      </c>
      <c r="C99" s="35" t="n">
        <v>0.299756</v>
      </c>
      <c r="D99" s="35" t="n">
        <f aca="false">'Fees and Exit Detail'!C26</f>
        <v>0.299756205673759</v>
      </c>
      <c r="E99" s="35" t="n">
        <f aca="false">D99-C99</f>
        <v>2.05673758857383E-007</v>
      </c>
      <c r="F99" s="34" t="n">
        <v>5E-007</v>
      </c>
      <c r="G99" s="34" t="str">
        <f aca="false">IF(ISNUMBER(D99),IF(ABS(E99)&lt;=F99,"PASS","FAIL"),"FAIL")</f>
        <v>PASS</v>
      </c>
      <c r="H99" s="34" t="s">
        <v>325</v>
      </c>
    </row>
    <row r="100" customFormat="false" ht="15" hidden="false" customHeight="false" outlineLevel="0" collapsed="false">
      <c r="A100" s="8" t="s">
        <v>241</v>
      </c>
      <c r="B100" s="8" t="s">
        <v>326</v>
      </c>
      <c r="C100" s="28" t="n">
        <v>0.441416</v>
      </c>
      <c r="D100" s="28" t="n">
        <f aca="false">'Fees and Exit Detail'!C27</f>
        <v>0.441416449086162</v>
      </c>
      <c r="E100" s="28" t="n">
        <f aca="false">D100-C100</f>
        <v>4.49086161924406E-007</v>
      </c>
      <c r="F100" s="8" t="n">
        <v>5E-007</v>
      </c>
      <c r="G100" s="8" t="str">
        <f aca="false">IF(ISNUMBER(D100),IF(ABS(E100)&lt;=F100,"PASS","FAIL"),"FAIL")</f>
        <v>PASS</v>
      </c>
      <c r="H100" s="8" t="s">
        <v>327</v>
      </c>
    </row>
    <row r="101" customFormat="false" ht="15" hidden="false" customHeight="false" outlineLevel="0" collapsed="false">
      <c r="A101" s="34" t="s">
        <v>241</v>
      </c>
      <c r="B101" s="34" t="s">
        <v>328</v>
      </c>
      <c r="C101" s="35" t="n">
        <v>0.313623</v>
      </c>
      <c r="D101" s="35" t="n">
        <f aca="false">'Fees and Exit Detail'!C28</f>
        <v>0.313623188405797</v>
      </c>
      <c r="E101" s="35" t="n">
        <f aca="false">D101-C101</f>
        <v>1.88405797130198E-007</v>
      </c>
      <c r="F101" s="34" t="n">
        <v>5E-007</v>
      </c>
      <c r="G101" s="34" t="str">
        <f aca="false">IF(ISNUMBER(D101),IF(ABS(E101)&lt;=F101,"PASS","FAIL"),"FAIL")</f>
        <v>PASS</v>
      </c>
      <c r="H101" s="34" t="s">
        <v>329</v>
      </c>
    </row>
    <row r="102" customFormat="false" ht="15" hidden="false" customHeight="false" outlineLevel="0" collapsed="false">
      <c r="A102" s="8" t="s">
        <v>241</v>
      </c>
      <c r="B102" s="8" t="s">
        <v>330</v>
      </c>
      <c r="C102" s="28" t="n">
        <v>0.213733</v>
      </c>
      <c r="D102" s="28" t="n">
        <f aca="false">'Fees and Exit Detail'!C30</f>
        <v>0.213732616940582</v>
      </c>
      <c r="E102" s="28" t="n">
        <f aca="false">D102-C102</f>
        <v>-3.83059418462839E-007</v>
      </c>
      <c r="F102" s="8" t="n">
        <v>5E-007</v>
      </c>
      <c r="G102" s="8" t="str">
        <f aca="false">IF(ISNUMBER(D102),IF(ABS(E102)&lt;=F102,"PASS","FAIL"),"FAIL")</f>
        <v>PASS</v>
      </c>
      <c r="H102" s="8" t="s">
        <v>331</v>
      </c>
    </row>
    <row r="103" customFormat="false" ht="15" hidden="false" customHeight="false" outlineLevel="0" collapsed="false">
      <c r="A103" s="34" t="s">
        <v>241</v>
      </c>
      <c r="B103" s="34" t="s">
        <v>332</v>
      </c>
      <c r="C103" s="35" t="n">
        <v>0.028177</v>
      </c>
      <c r="D103" s="35" t="n">
        <f aca="false">'Fees and Exit Detail'!D25</f>
        <v>0.0281770833333333</v>
      </c>
      <c r="E103" s="35" t="n">
        <f aca="false">D103-C103</f>
        <v>8.33333333345732E-008</v>
      </c>
      <c r="F103" s="34" t="n">
        <v>5E-007</v>
      </c>
      <c r="G103" s="34" t="str">
        <f aca="false">IF(ISNUMBER(D103),IF(ABS(E103)&lt;=F103,"PASS","FAIL"),"FAIL")</f>
        <v>PASS</v>
      </c>
      <c r="H103" s="34"/>
    </row>
    <row r="104" customFormat="false" ht="15" hidden="false" customHeight="false" outlineLevel="0" collapsed="false">
      <c r="A104" s="8" t="s">
        <v>241</v>
      </c>
      <c r="B104" s="8" t="s">
        <v>333</v>
      </c>
      <c r="C104" s="28" t="n">
        <v>0.044142</v>
      </c>
      <c r="D104" s="28" t="n">
        <f aca="false">'Fees and Exit Detail'!D27</f>
        <v>0.0441416449086162</v>
      </c>
      <c r="E104" s="28" t="n">
        <f aca="false">D104-C104</f>
        <v>-3.55091383810735E-007</v>
      </c>
      <c r="F104" s="8" t="n">
        <v>5E-007</v>
      </c>
      <c r="G104" s="8" t="str">
        <f aca="false">IF(ISNUMBER(D104),IF(ABS(E104)&lt;=F104,"PASS","FAIL"),"FAIL")</f>
        <v>PASS</v>
      </c>
      <c r="H104" s="8" t="s">
        <v>334</v>
      </c>
    </row>
    <row r="105" customFormat="false" ht="15" hidden="false" customHeight="false" outlineLevel="0" collapsed="false">
      <c r="A105" s="34" t="s">
        <v>241</v>
      </c>
      <c r="B105" s="34" t="s">
        <v>335</v>
      </c>
      <c r="C105" s="36" t="n">
        <v>1.5666</v>
      </c>
      <c r="D105" s="36" t="n">
        <f aca="false">'Fees and Exit Detail'!B31</f>
        <v>1.56657963446475</v>
      </c>
      <c r="E105" s="36" t="n">
        <f aca="false">D105-C105</f>
        <v>-2.03655352479792E-005</v>
      </c>
      <c r="F105" s="34" t="n">
        <v>5E-005</v>
      </c>
      <c r="G105" s="34" t="str">
        <f aca="false">IF(ISNUMBER(D105),IF(ABS(E105)&lt;=F105,"PASS","FAIL"),"FAIL")</f>
        <v>PASS</v>
      </c>
      <c r="H105" s="34"/>
    </row>
    <row r="106" customFormat="false" ht="15" hidden="false" customHeight="false" outlineLevel="0" collapsed="false">
      <c r="A106" s="8" t="s">
        <v>243</v>
      </c>
      <c r="B106" s="8" t="s">
        <v>336</v>
      </c>
      <c r="C106" s="28" t="n">
        <v>0.098956</v>
      </c>
      <c r="D106" s="28" t="n">
        <f aca="false">'Fees and Exit Detail'!B35</f>
        <v>0.0989561949960901</v>
      </c>
      <c r="E106" s="28" t="n">
        <f aca="false">D106-C106</f>
        <v>1.94996090080446E-007</v>
      </c>
      <c r="F106" s="8" t="n">
        <v>5E-007</v>
      </c>
      <c r="G106" s="8" t="str">
        <f aca="false">IF(ISNUMBER(D106),IF(ABS(E106)&lt;=F106,"PASS","FAIL"),"FAIL")</f>
        <v>PASS</v>
      </c>
      <c r="H106" s="8"/>
    </row>
    <row r="107" customFormat="false" ht="15" hidden="false" customHeight="false" outlineLevel="0" collapsed="false">
      <c r="A107" s="34" t="s">
        <v>243</v>
      </c>
      <c r="B107" s="34" t="s">
        <v>337</v>
      </c>
      <c r="C107" s="35" t="n">
        <v>0.029687</v>
      </c>
      <c r="D107" s="35" t="n">
        <f aca="false">'Fees and Exit Detail'!B36</f>
        <v>0.029686858498827</v>
      </c>
      <c r="E107" s="35" t="n">
        <f aca="false">D107-C107</f>
        <v>-1.4150117297676E-007</v>
      </c>
      <c r="F107" s="34" t="n">
        <v>5E-007</v>
      </c>
      <c r="G107" s="34" t="str">
        <f aca="false">IF(ISNUMBER(D107),IF(ABS(E107)&lt;=F107,"PASS","FAIL"),"FAIL")</f>
        <v>PASS</v>
      </c>
      <c r="H107" s="34"/>
    </row>
    <row r="108" customFormat="false" ht="15" hidden="false" customHeight="false" outlineLevel="0" collapsed="false">
      <c r="A108" s="8" t="s">
        <v>243</v>
      </c>
      <c r="B108" s="8" t="s">
        <v>338</v>
      </c>
      <c r="C108" s="28" t="n">
        <v>0.003286</v>
      </c>
      <c r="D108" s="28" t="n">
        <f aca="false">'Fees and Exit Detail'!B37</f>
        <v>0.003285578071762</v>
      </c>
      <c r="E108" s="28" t="n">
        <f aca="false">D108-C108</f>
        <v>-4.21928238003404E-007</v>
      </c>
      <c r="F108" s="8" t="n">
        <v>5E-007</v>
      </c>
      <c r="G108" s="8" t="str">
        <f aca="false">IF(ISNUMBER(D108),IF(ABS(E108)&lt;=F108,"PASS","FAIL"),"FAIL")</f>
        <v>PASS</v>
      </c>
      <c r="H108" s="8" t="s">
        <v>339</v>
      </c>
    </row>
    <row r="109" customFormat="false" ht="15" hidden="false" customHeight="false" outlineLevel="0" collapsed="false">
      <c r="A109" s="34" t="s">
        <v>243</v>
      </c>
      <c r="B109" s="34" t="s">
        <v>340</v>
      </c>
      <c r="C109" s="35" t="n">
        <v>0.00218</v>
      </c>
      <c r="D109" s="35" t="n">
        <f aca="false">'Fees and Exit Detail'!B38</f>
        <v>0.00218045256864019</v>
      </c>
      <c r="E109" s="35" t="n">
        <f aca="false">D109-C109</f>
        <v>4.52568640189801E-007</v>
      </c>
      <c r="F109" s="34" t="n">
        <v>5E-006</v>
      </c>
      <c r="G109" s="34" t="str">
        <f aca="false">IF(ISNUMBER(D109),IF(ABS(E109)&lt;=F109,"PASS","FAIL"),"FAIL")</f>
        <v>PASS</v>
      </c>
      <c r="H109" s="34"/>
    </row>
    <row r="110" customFormat="false" ht="15" hidden="false" customHeight="false" outlineLevel="0" collapsed="false">
      <c r="A110" s="8" t="s">
        <v>243</v>
      </c>
      <c r="B110" s="8" t="s">
        <v>341</v>
      </c>
      <c r="C110" s="28" t="n">
        <v>0.001085</v>
      </c>
      <c r="D110" s="28" t="n">
        <f aca="false">'Fees and Exit Detail'!B39</f>
        <v>0.00108532286850194</v>
      </c>
      <c r="E110" s="28" t="n">
        <f aca="false">D110-C110</f>
        <v>3.22868501936684E-007</v>
      </c>
      <c r="F110" s="8" t="n">
        <v>5E-007</v>
      </c>
      <c r="G110" s="8" t="str">
        <f aca="false">IF(ISNUMBER(D110),IF(ABS(E110)&lt;=F110,"PASS","FAIL"),"FAIL")</f>
        <v>PASS</v>
      </c>
      <c r="H110" s="8"/>
    </row>
    <row r="111" customFormat="false" ht="15" hidden="false" customHeight="false" outlineLevel="0" collapsed="false">
      <c r="A111" s="34" t="s">
        <v>243</v>
      </c>
      <c r="B111" s="34" t="s">
        <v>342</v>
      </c>
      <c r="C111" s="35" t="n">
        <v>0.002969</v>
      </c>
      <c r="D111" s="35" t="n">
        <f aca="false">'Fees and Exit Detail'!B40</f>
        <v>0.0029686858498827</v>
      </c>
      <c r="E111" s="35" t="n">
        <f aca="false">D111-C111</f>
        <v>-3.14150117297456E-007</v>
      </c>
      <c r="F111" s="34" t="n">
        <v>5E-007</v>
      </c>
      <c r="G111" s="34" t="str">
        <f aca="false">IF(ISNUMBER(D111),IF(ABS(E111)&lt;=F111,"PASS","FAIL"),"FAIL")</f>
        <v>PASS</v>
      </c>
      <c r="H111" s="34"/>
    </row>
    <row r="112" customFormat="false" ht="15" hidden="false" customHeight="false" outlineLevel="0" collapsed="false">
      <c r="A112" s="8" t="s">
        <v>243</v>
      </c>
      <c r="B112" s="8" t="s">
        <v>343</v>
      </c>
      <c r="C112" s="28" t="n">
        <v>0.003241</v>
      </c>
      <c r="D112" s="28" t="n">
        <f aca="false">'Fees and Exit Detail'!B41</f>
        <v>0.00324144324874846</v>
      </c>
      <c r="E112" s="28" t="n">
        <f aca="false">D112-C112</f>
        <v>4.43248748460776E-007</v>
      </c>
      <c r="F112" s="8" t="n">
        <v>5E-007</v>
      </c>
      <c r="G112" s="8" t="str">
        <f aca="false">IF(ISNUMBER(D112),IF(ABS(E112)&lt;=F112,"PASS","FAIL"),"FAIL")</f>
        <v>PASS</v>
      </c>
      <c r="H112" s="8" t="s">
        <v>254</v>
      </c>
    </row>
    <row r="113" customFormat="false" ht="15" hidden="false" customHeight="false" outlineLevel="0" collapsed="false">
      <c r="A113" s="34" t="s">
        <v>243</v>
      </c>
      <c r="B113" s="34" t="s">
        <v>344</v>
      </c>
      <c r="C113" s="35" t="n">
        <v>0.000317</v>
      </c>
      <c r="D113" s="35" t="n">
        <f aca="false">'Fees and Exit Detail'!B42</f>
        <v>0.000316892221879294</v>
      </c>
      <c r="E113" s="35" t="n">
        <f aca="false">D113-C113</f>
        <v>-1.07778120705948E-007</v>
      </c>
      <c r="F113" s="34" t="n">
        <v>5E-007</v>
      </c>
      <c r="G113" s="34" t="str">
        <f aca="false">IF(ISNUMBER(D113),IF(ABS(E113)&lt;=F113,"PASS","FAIL"),"FAIL")</f>
        <v>PASS</v>
      </c>
      <c r="H113" s="34" t="s">
        <v>345</v>
      </c>
    </row>
    <row r="114" customFormat="false" ht="15" hidden="false" customHeight="false" outlineLevel="0" collapsed="false">
      <c r="A114" s="8" t="s">
        <v>243</v>
      </c>
      <c r="B114" s="8" t="s">
        <v>346</v>
      </c>
      <c r="C114" s="28" t="n">
        <v>0.08056</v>
      </c>
      <c r="D114" s="28" t="n">
        <f aca="false">'Fees and Exit Detail'!B43</f>
        <v>0.080559710360915</v>
      </c>
      <c r="E114" s="28" t="n">
        <f aca="false">D114-C114</f>
        <v>-2.8963908497992E-007</v>
      </c>
      <c r="F114" s="8" t="n">
        <v>5E-006</v>
      </c>
      <c r="G114" s="8" t="str">
        <f aca="false">IF(ISNUMBER(D114),IF(ABS(E114)&lt;=F114,"PASS","FAIL"),"FAIL")</f>
        <v>PASS</v>
      </c>
      <c r="H114" s="8" t="s">
        <v>347</v>
      </c>
    </row>
    <row r="115" customFormat="false" ht="15" hidden="false" customHeight="false" outlineLevel="0" collapsed="false">
      <c r="A115" s="34" t="s">
        <v>243</v>
      </c>
      <c r="B115" s="34" t="s">
        <v>348</v>
      </c>
      <c r="C115" s="35" t="n">
        <v>0.009248</v>
      </c>
      <c r="D115" s="35" t="n">
        <f aca="false">'Fees and Exit Detail'!B44</f>
        <v>0.00924817434614145</v>
      </c>
      <c r="E115" s="35" t="n">
        <f aca="false">D115-C115</f>
        <v>1.74346141447457E-007</v>
      </c>
      <c r="F115" s="34" t="n">
        <v>5E-007</v>
      </c>
      <c r="G115" s="34" t="str">
        <f aca="false">IF(ISNUMBER(D115),IF(ABS(E115)&lt;=F115,"PASS","FAIL"),"FAIL")</f>
        <v>PASS</v>
      </c>
      <c r="H115" s="34" t="s">
        <v>349</v>
      </c>
    </row>
    <row r="116" customFormat="false" ht="15" hidden="false" customHeight="false" outlineLevel="0" collapsed="false">
      <c r="A116" s="8" t="s">
        <v>243</v>
      </c>
      <c r="B116" s="8" t="s">
        <v>350</v>
      </c>
      <c r="C116" s="30" t="n">
        <v>107.25</v>
      </c>
      <c r="D116" s="30" t="n">
        <f aca="false">'Fees and Exit Detail'!B45</f>
        <v>107.245750593743</v>
      </c>
      <c r="E116" s="30" t="n">
        <f aca="false">D116-C116</f>
        <v>-0.00424940625725867</v>
      </c>
      <c r="F116" s="8" t="n">
        <v>0.005</v>
      </c>
      <c r="G116" s="8" t="str">
        <f aca="false">IF(ISNUMBER(D116),IF(ABS(E116)&lt;=F116,"PASS","FAIL"),"FAIL")</f>
        <v>PASS</v>
      </c>
      <c r="H116" s="8" t="s">
        <v>351</v>
      </c>
    </row>
    <row r="117" customFormat="false" ht="15" hidden="false" customHeight="false" outlineLevel="0" collapsed="false">
      <c r="A117" s="34" t="s">
        <v>243</v>
      </c>
      <c r="B117" s="34" t="s">
        <v>352</v>
      </c>
      <c r="C117" s="35" t="n">
        <v>0.0728</v>
      </c>
      <c r="D117" s="35" t="n">
        <f aca="false">'Fees and Exit Detail'!C48</f>
        <v>0.0727659828951441</v>
      </c>
      <c r="E117" s="35" t="n">
        <f aca="false">D117-C117</f>
        <v>-3.40171048558713E-005</v>
      </c>
      <c r="F117" s="34" t="n">
        <v>5E-005</v>
      </c>
      <c r="G117" s="34" t="str">
        <f aca="false">IF(ISNUMBER(D117),IF(ABS(E117)&lt;=F117,"PASS","FAIL"),"FAIL")</f>
        <v>PASS</v>
      </c>
      <c r="H117" s="34"/>
    </row>
    <row r="118" customFormat="false" ht="15" hidden="false" customHeight="false" outlineLevel="0" collapsed="false">
      <c r="A118" s="8" t="s">
        <v>243</v>
      </c>
      <c r="B118" s="8" t="s">
        <v>353</v>
      </c>
      <c r="C118" s="28" t="n">
        <v>0.1144</v>
      </c>
      <c r="D118" s="28" t="n">
        <f aca="false">'Fees and Exit Detail'!C49</f>
        <v>0.114433220218717</v>
      </c>
      <c r="E118" s="28" t="n">
        <f aca="false">D118-C118</f>
        <v>3.3220218717267E-005</v>
      </c>
      <c r="F118" s="8" t="n">
        <v>5E-005</v>
      </c>
      <c r="G118" s="8" t="str">
        <f aca="false">IF(ISNUMBER(D118),IF(ABS(E118)&lt;=F118,"PASS","FAIL"),"FAIL")</f>
        <v>PASS</v>
      </c>
      <c r="H118" s="8"/>
    </row>
    <row r="119" customFormat="false" ht="15" hidden="false" customHeight="false" outlineLevel="0" collapsed="false">
      <c r="A119" s="34" t="s">
        <v>243</v>
      </c>
      <c r="B119" s="34" t="s">
        <v>354</v>
      </c>
      <c r="C119" s="35" t="n">
        <v>0.1604</v>
      </c>
      <c r="D119" s="35" t="n">
        <f aca="false">'Fees and Exit Detail'!C50</f>
        <v>0.160397208403195</v>
      </c>
      <c r="E119" s="35" t="n">
        <f aca="false">D119-C119</f>
        <v>-2.79159680516283E-006</v>
      </c>
      <c r="F119" s="34" t="n">
        <v>5E-005</v>
      </c>
      <c r="G119" s="34" t="str">
        <f aca="false">IF(ISNUMBER(D119),IF(ABS(E119)&lt;=F119,"PASS","FAIL"),"FAIL")</f>
        <v>PASS</v>
      </c>
      <c r="H119" s="34"/>
    </row>
    <row r="120" customFormat="false" ht="15" hidden="false" customHeight="false" outlineLevel="0" collapsed="false">
      <c r="A120" s="8" t="s">
        <v>243</v>
      </c>
      <c r="B120" s="8" t="s">
        <v>355</v>
      </c>
      <c r="C120" s="28" t="n">
        <v>0.2684</v>
      </c>
      <c r="D120" s="28" t="n">
        <f aca="false">'Fees and Exit Detail'!C51</f>
        <v>0.268434288203715</v>
      </c>
      <c r="E120" s="28" t="n">
        <f aca="false">D120-C120</f>
        <v>3.42882037153713E-005</v>
      </c>
      <c r="F120" s="8" t="n">
        <v>5E-005</v>
      </c>
      <c r="G120" s="8" t="str">
        <f aca="false">IF(ISNUMBER(D120),IF(ABS(E120)&lt;=F120,"PASS","FAIL"),"FAIL")</f>
        <v>PASS</v>
      </c>
      <c r="H120" s="8"/>
    </row>
    <row r="121" customFormat="false" ht="15" hidden="false" customHeight="false" outlineLevel="0" collapsed="false">
      <c r="A121" s="34" t="s">
        <v>243</v>
      </c>
      <c r="B121" s="34" t="s">
        <v>356</v>
      </c>
      <c r="C121" s="35" t="n">
        <v>0.1262</v>
      </c>
      <c r="D121" s="35" t="n">
        <f aca="false">'Fees and Exit Detail'!B52</f>
        <v>0.126247880443606</v>
      </c>
      <c r="E121" s="35" t="n">
        <f aca="false">D121-C121</f>
        <v>4.78804436060132E-005</v>
      </c>
      <c r="F121" s="34" t="n">
        <v>5E-005</v>
      </c>
      <c r="G121" s="34" t="str">
        <f aca="false">IF(ISNUMBER(D121),IF(ABS(E121)&lt;=F121,"PASS","FAIL"),"FAIL")</f>
        <v>PASS</v>
      </c>
      <c r="H121" s="34"/>
    </row>
    <row r="122" customFormat="false" ht="15" hidden="false" customHeight="false" outlineLevel="0" collapsed="false">
      <c r="A122" s="8" t="s">
        <v>243</v>
      </c>
      <c r="B122" s="8" t="s">
        <v>357</v>
      </c>
      <c r="C122" s="30" t="n">
        <v>169.2</v>
      </c>
      <c r="D122" s="30" t="n">
        <f aca="false">'Fees and Exit Detail'!B53</f>
        <v>169.2</v>
      </c>
      <c r="E122" s="30" t="n">
        <f aca="false">D122-C122</f>
        <v>0</v>
      </c>
      <c r="F122" s="8" t="n">
        <v>0.05</v>
      </c>
      <c r="G122" s="8" t="str">
        <f aca="false">IF(ISNUMBER(D122),IF(ABS(E122)&lt;=F122,"PASS","FAIL"),"FAIL")</f>
        <v>PASS</v>
      </c>
      <c r="H122" s="8"/>
    </row>
    <row r="123" customFormat="false" ht="15" hidden="false" customHeight="false" outlineLevel="0" collapsed="false">
      <c r="A123" s="34" t="s">
        <v>243</v>
      </c>
      <c r="B123" s="34" t="s">
        <v>358</v>
      </c>
      <c r="C123" s="36" t="n">
        <v>3.9441</v>
      </c>
      <c r="D123" s="36" t="n">
        <f aca="false">'Fees and Exit Detail'!B54</f>
        <v>3.94405594405594</v>
      </c>
      <c r="E123" s="36" t="n">
        <f aca="false">D123-C123</f>
        <v>-4.40559440564314E-005</v>
      </c>
      <c r="F123" s="34" t="n">
        <v>5E-005</v>
      </c>
      <c r="G123" s="34" t="str">
        <f aca="false">IF(ISNUMBER(D123),IF(ABS(E123)&lt;=F123,"PASS","FAIL"),"FAIL")</f>
        <v>PASS</v>
      </c>
      <c r="H123" s="34"/>
    </row>
    <row r="124" customFormat="false" ht="15" hidden="false" customHeight="false" outlineLevel="0" collapsed="false">
      <c r="A124" s="8" t="s">
        <v>243</v>
      </c>
      <c r="B124" s="8" t="s">
        <v>359</v>
      </c>
      <c r="C124" s="28" t="n">
        <v>0.090793</v>
      </c>
      <c r="D124" s="28" t="n">
        <f aca="false">'The Exit'!D7</f>
        <v>0.090792838937179</v>
      </c>
      <c r="E124" s="28" t="n">
        <f aca="false">D124-C124</f>
        <v>-1.61062820955293E-007</v>
      </c>
      <c r="F124" s="8" t="n">
        <v>5E-007</v>
      </c>
      <c r="G124" s="8" t="str">
        <f aca="false">IF(ISNUMBER(D124),IF(ABS(E124)&lt;=F124,"PASS","FAIL"),"FAIL")</f>
        <v>PASS</v>
      </c>
      <c r="H124" s="8"/>
    </row>
    <row r="125" customFormat="false" ht="15" hidden="false" customHeight="false" outlineLevel="0" collapsed="false">
      <c r="A125" s="34" t="s">
        <v>243</v>
      </c>
      <c r="B125" s="34" t="s">
        <v>360</v>
      </c>
      <c r="C125" s="35" t="n">
        <v>0.090247</v>
      </c>
      <c r="D125" s="35" t="n">
        <f aca="false">'The Exit'!D8</f>
        <v>0.0902465116227555</v>
      </c>
      <c r="E125" s="35" t="n">
        <f aca="false">D125-C125</f>
        <v>-4.88377244450833E-007</v>
      </c>
      <c r="F125" s="34" t="n">
        <v>5E-007</v>
      </c>
      <c r="G125" s="34" t="str">
        <f aca="false">IF(ISNUMBER(D125),IF(ABS(E125)&lt;=F125,"PASS","FAIL"),"FAIL")</f>
        <v>PASS</v>
      </c>
      <c r="H125" s="34"/>
    </row>
    <row r="126" customFormat="false" ht="15" hidden="false" customHeight="false" outlineLevel="0" collapsed="false">
      <c r="A126" s="8" t="s">
        <v>243</v>
      </c>
      <c r="B126" s="8" t="s">
        <v>361</v>
      </c>
      <c r="C126" s="30" t="n">
        <v>1402.18</v>
      </c>
      <c r="D126" s="30" t="n">
        <f aca="false">'The Exit'!C10</f>
        <v>1402.1838576165</v>
      </c>
      <c r="E126" s="30" t="n">
        <f aca="false">D126-C126</f>
        <v>0.00385761649522465</v>
      </c>
      <c r="F126" s="8" t="n">
        <v>0.005</v>
      </c>
      <c r="G126" s="8" t="str">
        <f aca="false">IF(ISNUMBER(D126),IF(ABS(E126)&lt;=F126,"PASS","FAIL"),"FAIL")</f>
        <v>PASS</v>
      </c>
      <c r="H126" s="8"/>
    </row>
    <row r="128" customFormat="false" ht="15" hidden="false" customHeight="false" outlineLevel="0" collapsed="false">
      <c r="B128" s="8" t="s">
        <v>362</v>
      </c>
      <c r="C128" s="39" t="n">
        <f aca="false">COUNTIF(G6:G126,"PASS")</f>
        <v>121</v>
      </c>
    </row>
    <row r="129" customFormat="false" ht="15" hidden="false" customHeight="false" outlineLevel="0" collapsed="false">
      <c r="B129" s="8" t="s">
        <v>363</v>
      </c>
      <c r="C129" s="39" t="n">
        <f aca="false">COUNTIF(G6:G126,"FAIL")</f>
        <v>0</v>
      </c>
    </row>
    <row r="130" customFormat="false" ht="15" hidden="false" customHeight="false" outlineLevel="0" collapsed="false">
      <c r="B130" s="40" t="s">
        <v>364</v>
      </c>
      <c r="C130" s="40" t="str">
        <f aca="false">IF(C129=0,"ALL OK",C129&amp;"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2026-08-29T05:11:43Z</dcterms:created>
  <dc:creator>openpyxl</dc:creator>
  <dc:description/>
  <dc:language>en-US</dc:language>
  <cp:lastModifiedBy/>
  <dcterms:modified xsi:type="dcterms:W3CDTF">2026-09-24T01:15:26Z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