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Engine" sheetId="3" state="visible" r:id="rId5"/>
    <sheet name="Multiples and the Ramp" sheetId="4" state="visible" r:id="rId6"/>
    <sheet name="The Ramp in Detail" sheetId="5" state="visible" r:id="rId7"/>
    <sheet name="Checks"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<sst xmlns="http://schemas.openxmlformats.org/spreadsheetml/2006/main" count="434" uniqueCount="260">
  <si>
    <t xml:space="preserve">The Cash-Flow Engine</t>
  </si>
  <si>
    <t xml:space="preserve">Companion workbook 2 to Alternative Investments, by Julian R. Sterling</t>
  </si>
  <si>
    <t xml:space="preserve">What this workbook is</t>
  </si>
  <si>
    <t xml:space="preserve">The shape of the programme rather than its return: the multiples, the J-curve of net capital at work, the peak, and the over-commitment that holding a target allocation actually requires.</t>
  </si>
  <si>
    <t xml:space="preserve">The experiment to run first</t>
  </si>
  <si>
    <t xml:space="preserve">On the Inputs sheet, push every capital call one year later and leave the distributions where they are. The multiples do not change at all — they have no clock in them. The internal rate of return changes, and so does the peak capital at work, and so does the commitment you would need to hold the target. That is Chapter 5 and Chapter 10 in one edit.</t>
  </si>
  <si>
    <t xml:space="preserve">On the over-commitment ratio</t>
  </si>
  <si>
    <t xml:space="preserve">It is a property of this call and distribution schedule, not a rule of thumb. Change the schedule and the ratio changes. That is the point: the number belongs in an allocation paper, computed on the manager's own projected schedule.</t>
  </si>
  <si>
    <t xml:space="preserve">The Checks sheet reproduces every figure the book prints from this workbook's own formulas. If a check ever reads FAIL, the workbook is wrong, not the book.</t>
  </si>
  <si>
    <t xml:space="preserve">Revised 24 September 2026</t>
  </si>
  <si>
    <t xml:space="preserve">Every check now passes to half a unit of the last printed digit. New sheet, The Ramp in Detail: the rates a multiple implies (the TVPI stops beating the index at 7.32 years, not a shade under seven), the slow-exit peak, the 939.95 schedule, the denominator effect (27.87 per cent if the Year 5 distributions arrive with the call), the timing experiments and the brackets of Chapter 4. Revised: 258 had come back by the end of Year 5, not 291; the largest call is 2.27 times the Year 5 call, not two and a half.</t>
  </si>
  <si>
    <t xml:space="preserve">Thornbury — inputs</t>
  </si>
  <si>
    <t xml:space="preserve">Blue cells on a yellow fill are inputs. Everything else in this workbook is a formula.</t>
  </si>
  <si>
    <t xml:space="preserve">The foundation and the programme</t>
  </si>
  <si>
    <t xml:space="preserve">Total assets of the foundation</t>
  </si>
  <si>
    <t xml:space="preserve">Target allocation to alternatives</t>
  </si>
  <si>
    <t xml:space="preserve">Capital set aside for the sleeve</t>
  </si>
  <si>
    <t xml:space="preserve">Commitment to the programme</t>
  </si>
  <si>
    <t xml:space="preserve">Residual net asset value, end of Year 10</t>
  </si>
  <si>
    <t xml:space="preserve">Fees and the benchmark</t>
  </si>
  <si>
    <t xml:space="preserve">Management fee rate</t>
  </si>
  <si>
    <t xml:space="preserve">Carried interest</t>
  </si>
  <si>
    <t xml:space="preserve">Advisory and administration layer</t>
  </si>
  <si>
    <t xml:space="preserve">Beta for the leverage-matched index</t>
  </si>
  <si>
    <t xml:space="preserve">Funding rate for the levered index</t>
  </si>
  <si>
    <t xml:space="preserve">Smoothing coefficient</t>
  </si>
  <si>
    <t xml:space="preserve">Ten years, per cent and millions</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</si>
  <si>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</si>
  <si>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</si>
  <si>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</si>
  <si>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</si>
  <si>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</si>
  <si>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</si>
  <si>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</si>
  <si>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</si>
  <si>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</si>
  <si>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</si>
  <si>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Listed index return, %</t>
  </si>
  <si>
    <t xml:space="preserve">Cash return, %</t>
  </si>
  <si>
    <t xml:space="preserve">Capital calls</t>
  </si>
  <si>
    <t xml:space="preserve">Distributions</t>
  </si>
  <si>
    <t xml:space="preserve">Reported sleeve return, %</t>
  </si>
  <si>
    <t xml:space="preserve">Move a call or a distribution to another year and every number in this workbook moves.</t>
  </si>
  <si>
    <t xml:space="preserve">The engine</t>
  </si>
  <si>
    <t xml:space="preserve">The fund's flows, the sleeve on both idle policies, and the capital actually at work.</t>
  </si>
  <si>
    <t xml:space="preserve">Fund net flow (distributions less calls)</t>
  </si>
  <si>
    <t xml:space="preserve">Net capital at work, cumulative</t>
  </si>
  <si>
    <t xml:space="preserve">The sleeve, uncalled commitment held in CASH</t>
  </si>
  <si>
    <t xml:space="preserve">Balance after the flows</t>
  </si>
  <si>
    <t xml:space="preserve">Return earned on the balance</t>
  </si>
  <si>
    <t xml:space="preserve">Balance</t>
  </si>
  <si>
    <t xml:space="preserve">The sleeve, uncalled commitment held in the LISTED INDEX</t>
  </si>
  <si>
    <t xml:space="preserve">Compounding factors to the end of Year 10</t>
  </si>
  <si>
    <t xml:space="preserve">At the index</t>
  </si>
  <si>
    <t xml:space="preserve">At the leverage-matched index</t>
  </si>
  <si>
    <t xml:space="preserve">Totals</t>
  </si>
  <si>
    <t xml:space="preserve">Capital called</t>
  </si>
  <si>
    <t xml:space="preserve">Distributed</t>
  </si>
  <si>
    <t xml:space="preserve">Uncalled commitment</t>
  </si>
  <si>
    <t xml:space="preserve">Terminal value, cash policy</t>
  </si>
  <si>
    <t xml:space="preserve">Terminal value, index policy</t>
  </si>
  <si>
    <t xml:space="preserve">Peak net capital at work</t>
  </si>
  <si>
    <t xml:space="preserve">The shape of the programme</t>
  </si>
  <si>
    <t xml:space="preserve">Multiples, the J-curve, the peak, and the commitment the target really needs.</t>
  </si>
  <si>
    <t xml:space="preserve">Multiples</t>
  </si>
  <si>
    <t xml:space="preserve">Residual value</t>
  </si>
  <si>
    <t xml:space="preserve">TVPI</t>
  </si>
  <si>
    <t xml:space="preserve">DPI</t>
  </si>
  <si>
    <t xml:space="preserve">RVPI</t>
  </si>
  <si>
    <t xml:space="preserve">Share of the multiple already banked</t>
  </si>
  <si>
    <t xml:space="preserve">Value against the commitment, not the capital called</t>
  </si>
  <si>
    <t xml:space="preserve">The J-curve — net capital at work, year by year</t>
  </si>
  <si>
    <t xml:space="preserve">Cumulative calls less distributions</t>
  </si>
  <si>
    <t xml:space="preserve">Over-commitment</t>
  </si>
  <si>
    <t xml:space="preserve">Commitment</t>
  </si>
  <si>
    <t xml:space="preserve">Peak as a share of the commitment</t>
  </si>
  <si>
    <t xml:space="preserve">Share of the commitment never at work</t>
  </si>
  <si>
    <t xml:space="preserve">Target capital to hold invested</t>
  </si>
  <si>
    <t xml:space="preserve">Commitment required to hold the target</t>
  </si>
  <si>
    <t xml:space="preserve">What the residual is worth to the internal rate of return</t>
  </si>
  <si>
    <t xml:space="preserve">Residual written down by</t>
  </si>
  <si>
    <t xml:space="preserve">Residual</t>
  </si>
  <si>
    <t xml:space="preserve">Fund IRR</t>
  </si>
  <si>
    <t xml:space="preserve">0 per cent</t>
  </si>
  <si>
    <t xml:space="preserve">10 per cent</t>
  </si>
  <si>
    <t xml:space="preserve">20 per cent</t>
  </si>
  <si>
    <t xml:space="preserve">30 per cent</t>
  </si>
  <si>
    <t xml:space="preserve">50 per cent</t>
  </si>
  <si>
    <t xml:space="preserve">100 per cent</t>
  </si>
  <si>
    <t xml:space="preserve">The flow series behind each line above</t>
  </si>
  <si>
    <t xml:space="preserve">t = 0</t>
  </si>
  <si>
    <t xml:space="preserve">t = 1</t>
  </si>
  <si>
    <t xml:space="preserve">t = 2</t>
  </si>
  <si>
    <t xml:space="preserve">t = 3</t>
  </si>
  <si>
    <t xml:space="preserve">t = 4</t>
  </si>
  <si>
    <t xml:space="preserve">t = 5</t>
  </si>
  <si>
    <t xml:space="preserve">t = 6</t>
  </si>
  <si>
    <t xml:space="preserve">t = 7</t>
  </si>
  <si>
    <t xml:space="preserve">t = 8</t>
  </si>
  <si>
    <t xml:space="preserve">t = 9</t>
  </si>
  <si>
    <t xml:space="preserve">Residual written down by 0 per cent</t>
  </si>
  <si>
    <t xml:space="preserve">Residual written down by 10 per cent</t>
  </si>
  <si>
    <t xml:space="preserve">Residual written down by 20 per cent</t>
  </si>
  <si>
    <t xml:space="preserve">Residual written down by 30 per cent</t>
  </si>
  <si>
    <t xml:space="preserve">Residual written down by 50 per cent</t>
  </si>
  <si>
    <t xml:space="preserve">Residual written down by 100 per cent</t>
  </si>
  <si>
    <t xml:space="preserve">The ramp in detail: what Chapters 3, 4, 5 and 10 compute in the text</t>
  </si>
  <si>
    <t xml:space="preserve">Every line is a formula on the Inputs sheet. Rows marked revised give the right figure where the book prints another.</t>
  </si>
  <si>
    <t xml:space="preserve">The multiple has no clock (Chapter 5)</t>
  </si>
  <si>
    <t xml:space="preserve">Annual rate implied by the TVPI over 4 years</t>
  </si>
  <si>
    <t xml:space="preserve">Annual rate implied by the TVPI over 6 years</t>
  </si>
  <si>
    <t xml:space="preserve">Annual rate implied by the TVPI over 8 years</t>
  </si>
  <si>
    <t xml:space="preserve">Annual rate implied by the TVPI over 10 years</t>
  </si>
  <si>
    <t xml:space="preserve">Annual rate implied by the TVPI over 11 years</t>
  </si>
  <si>
    <t xml:space="preserve">Annual rate implied by the TVPI over 12 years</t>
  </si>
  <si>
    <t xml:space="preserve">Annual rate implied by the DPI over 10 years</t>
  </si>
  <si>
    <t xml:space="preserve">Years at which the TVPI stops beating the index</t>
  </si>
  <si>
    <t xml:space="preserve">revised: the book says a shade under seven</t>
  </si>
  <si>
    <t xml:space="preserve">Value against the commitment</t>
  </si>
  <si>
    <t xml:space="preserve">  annualised over ten years</t>
  </si>
  <si>
    <t xml:space="preserve">Sleeve multiple, uncalled in the index</t>
  </si>
  <si>
    <t xml:space="preserve">Sleeve multiple, uncalled in cash</t>
  </si>
  <si>
    <t xml:space="preserve">The index alone, multiple on 600</t>
  </si>
  <si>
    <t xml:space="preserve">Share of total value banked</t>
  </si>
  <si>
    <t xml:space="preserve">Share of total value still a mark</t>
  </si>
  <si>
    <t xml:space="preserve">Residual per unit already collected</t>
  </si>
  <si>
    <t xml:space="preserve">Net capital at work (Chapters 3 and 10)</t>
  </si>
  <si>
    <t xml:space="preserve">Average over the ten years</t>
  </si>
  <si>
    <t xml:space="preserve">  as a share of the commitment</t>
  </si>
  <si>
    <t xml:space="preserve">Average over the five years of the investment period</t>
  </si>
  <si>
    <t xml:space="preserve">Part of Year 8 before the balance turns negative (distributions spread evenly)</t>
  </si>
  <si>
    <t xml:space="preserve">Distributions received up to and including the peak year</t>
  </si>
  <si>
    <t xml:space="preserve">Distributions received by the end of Year 5</t>
  </si>
  <si>
    <t xml:space="preserve">revised: the book says 291</t>
  </si>
  <si>
    <t xml:space="preserve">Largest single call, as a multiple of the Year 5 call</t>
  </si>
  <si>
    <t xml:space="preserve">revised: the book says two and a half times</t>
  </si>
  <si>
    <t xml:space="preserve">Largest single call, as a share of the commitment</t>
  </si>
  <si>
    <t xml:space="preserve">Commitment needed if nothing came back until the calls were done</t>
  </si>
  <si>
    <t xml:space="preserve">  over-commitment on that schedule</t>
  </si>
  <si>
    <t xml:space="preserve">The slow-exit case: every distribution two years later (Chapter 3)</t>
  </si>
  <si>
    <t xml:space="preserve">Distributions, two years later</t>
  </si>
  <si>
    <t xml:space="preserve">Net capital at work</t>
  </si>
  <si>
    <t xml:space="preserve">Peak on the slow-exit schedule</t>
  </si>
  <si>
    <t xml:space="preserve">  above the base-case peak</t>
  </si>
  <si>
    <t xml:space="preserve">  as a share of the base-case peak</t>
  </si>
  <si>
    <t xml:space="preserve">Committing 939.95 on the same schedule (Chapter 10)</t>
  </si>
  <si>
    <t xml:space="preserve">Scale factor on every call and distribution</t>
  </si>
  <si>
    <t xml:space="preserve">Calls</t>
  </si>
  <si>
    <t xml:space="preserve">Total called</t>
  </si>
  <si>
    <t xml:space="preserve">Never called</t>
  </si>
  <si>
    <t xml:space="preserve">The commitment as a share of total assets</t>
  </si>
  <si>
    <t xml:space="preserve">Average net capital at work</t>
  </si>
  <si>
    <t xml:space="preserve">  as a share of total assets</t>
  </si>
  <si>
    <t xml:space="preserve">Net capital at work in Year 7</t>
  </si>
  <si>
    <t xml:space="preserve">The denominator effect (Chapter 10)</t>
  </si>
  <si>
    <t xml:space="preserve">Fall in the listed book (a step, not an input)</t>
  </si>
  <si>
    <t xml:space="preserve">Year 4, commitment 600: private weight before the fall</t>
  </si>
  <si>
    <t xml:space="preserve">  after the fall, the private position not yet marked</t>
  </si>
  <si>
    <t xml:space="preserve">  rise in points</t>
  </si>
  <si>
    <t xml:space="preserve">  relative rise</t>
  </si>
  <si>
    <t xml:space="preserve">Year 4, commitment 939.95: after the fall</t>
  </si>
  <si>
    <t xml:space="preserve">  then the Year 5 call, funded from the listed book</t>
  </si>
  <si>
    <t xml:space="preserve">  if the Year 5 distributions arrive as scheduled</t>
  </si>
  <si>
    <t xml:space="preserve">new: the book's 40.90 assumes they do not</t>
  </si>
  <si>
    <t xml:space="preserve">Timing experiments on the IRR (Chapter 4)</t>
  </si>
  <si>
    <t xml:space="preserve">Base net flows</t>
  </si>
  <si>
    <t xml:space="preserve">Year 6 distribution moved to Year 5</t>
  </si>
  <si>
    <t xml:space="preserve">Year 7 distribution moved to Year 4</t>
  </si>
  <si>
    <t xml:space="preserve">IRR, Year 6 distribution a year earlier</t>
  </si>
  <si>
    <t xml:space="preserve">IRR, Year 7 distribution three years earlier</t>
  </si>
  <si>
    <t xml:space="preserve">  gain in points</t>
  </si>
  <si>
    <t xml:space="preserve">Sum of the flows discounted at 12 per cent (year-end dating, as Chapter 4 prints it)</t>
  </si>
  <si>
    <t xml:space="preserve">Sum of the flows discounted at 13 per cent (year-end dating, as Chapter 4 prints it)</t>
  </si>
  <si>
    <t xml:space="preserve">Sum of the flows discounted at 14 per cent (year-end dating, as Chapter 4 prints it)</t>
  </si>
  <si>
    <t xml:space="preserve">Sum of the flows discounted at 15 per cent (year-end dating, as Chapter 4 prints it)</t>
  </si>
  <si>
    <t xml:space="preserve">The IRR</t>
  </si>
  <si>
    <t xml:space="preserve">Present value of the residual at the IRR, ten years out</t>
  </si>
  <si>
    <t xml:space="preserve">Present value of all positive flows</t>
  </si>
  <si>
    <t xml:space="preserve">  share carried by the residual</t>
  </si>
  <si>
    <t xml:space="preserve">Fund IRR lost if the residual is written off</t>
  </si>
  <si>
    <t xml:space="preserve">Checks</t>
  </si>
  <si>
    <t xml:space="preserve">Each row sets a figure printed in the book beside the figure this workbook computes. Revised 24 September 2026: tolerances are now half a unit of the last printed digit, and every row must pass.</t>
  </si>
  <si>
    <t xml:space="preserve">Ch.</t>
  </si>
  <si>
    <t xml:space="preserve">Figure</t>
  </si>
  <si>
    <t xml:space="preserve">Printed</t>
  </si>
  <si>
    <t xml:space="preserve">Workbook</t>
  </si>
  <si>
    <t xml:space="preserve">Difference</t>
  </si>
  <si>
    <t xml:space="preserve">Tolerance</t>
  </si>
  <si>
    <t xml:space="preserve">Result</t>
  </si>
  <si>
    <t xml:space="preserve">Note</t>
  </si>
  <si>
    <t xml:space="preserve">5</t>
  </si>
  <si>
    <t xml:space="preserve">2</t>
  </si>
  <si>
    <t xml:space="preserve">3</t>
  </si>
  <si>
    <t xml:space="preserve">Net capital at work, Year 2</t>
  </si>
  <si>
    <t xml:space="preserve">Net capital at work, Year 4</t>
  </si>
  <si>
    <t xml:space="preserve">Net capital at work, Year 7</t>
  </si>
  <si>
    <t xml:space="preserve">Net capital at work, Year 10</t>
  </si>
  <si>
    <t xml:space="preserve">10</t>
  </si>
  <si>
    <t xml:space="preserve">4</t>
  </si>
  <si>
    <t xml:space="preserve">Fund IRR, residual at carrying value</t>
  </si>
  <si>
    <t xml:space="preserve">TVPI rate over 10 years</t>
  </si>
  <si>
    <t xml:space="preserve">Over 4 years</t>
  </si>
  <si>
    <t xml:space="preserve">Over 6 years</t>
  </si>
  <si>
    <t xml:space="preserve">Over 8 years</t>
  </si>
  <si>
    <t xml:space="preserve">Over 11 years</t>
  </si>
  <si>
    <t xml:space="preserve">Over 12 years</t>
  </si>
  <si>
    <t xml:space="preserve">11</t>
  </si>
  <si>
    <t xml:space="preserve">DPI rate over 10 years</t>
  </si>
  <si>
    <t xml:space="preserve">revised: Chapter 11 prints 3.4404 (from the rounded 1.4025)</t>
  </si>
  <si>
    <t xml:space="preserve">  annualised</t>
  </si>
  <si>
    <t xml:space="preserve">Sleeve multiple, index policy</t>
  </si>
  <si>
    <t xml:space="preserve">Sleeve multiple, cash policy</t>
  </si>
  <si>
    <t xml:space="preserve">Index multiple</t>
  </si>
  <si>
    <t xml:space="preserve">Share of value banked</t>
  </si>
  <si>
    <t xml:space="preserve">Chapters 15 and 16 print 84.6920 (rounded multiples)</t>
  </si>
  <si>
    <t xml:space="preserve">Share still a mark</t>
  </si>
  <si>
    <t xml:space="preserve">Chapters 11, 12, 15, 16 print 15.3080</t>
  </si>
  <si>
    <t xml:space="preserve">Residual per unit collected</t>
  </si>
  <si>
    <t xml:space="preserve">  share of the commitment</t>
  </si>
  <si>
    <t xml:space="preserve">Average, investment period</t>
  </si>
  <si>
    <t xml:space="preserve">Part of Year 8 before the crossing</t>
  </si>
  <si>
    <t xml:space="preserve">Distributions up to the peak</t>
  </si>
  <si>
    <t xml:space="preserve">Distributions by the end of Year 5</t>
  </si>
  <si>
    <t xml:space="preserve">revised: the book prints 291</t>
  </si>
  <si>
    <t xml:space="preserve">Largest call over the Year 5 call</t>
  </si>
  <si>
    <t xml:space="preserve">Largest call, share of commitment</t>
  </si>
  <si>
    <t xml:space="preserve">Commitment if nothing came back early</t>
  </si>
  <si>
    <t xml:space="preserve">  over-commitment</t>
  </si>
  <si>
    <t xml:space="preserve">Peak, slow-exit case</t>
  </si>
  <si>
    <t xml:space="preserve">  above the base peak</t>
  </si>
  <si>
    <t xml:space="preserve">  share of the base peak</t>
  </si>
  <si>
    <t xml:space="preserve">Peak at 939.95</t>
  </si>
  <si>
    <t xml:space="preserve">Total called at 939.95</t>
  </si>
  <si>
    <t xml:space="preserve">Never called at 939.95</t>
  </si>
  <si>
    <t xml:space="preserve">939.95 as a share of assets</t>
  </si>
  <si>
    <t xml:space="preserve">Average at work, 939.95</t>
  </si>
  <si>
    <t xml:space="preserve">  share of assets</t>
  </si>
  <si>
    <t xml:space="preserve">Year 7 at 939.95</t>
  </si>
  <si>
    <t xml:space="preserve">Call in Year 2 at 939.95</t>
  </si>
  <si>
    <t xml:space="preserve">Weight after the fall, 600</t>
  </si>
  <si>
    <t xml:space="preserve">Weight after the fall, 939.95</t>
  </si>
  <si>
    <t xml:space="preserve">  after the Year 5 call</t>
  </si>
  <si>
    <t xml:space="preserve">  with the Year 5 distributions as well</t>
  </si>
  <si>
    <t xml:space="preserve">new</t>
  </si>
  <si>
    <t xml:space="preserve">  gain</t>
  </si>
  <si>
    <t xml:space="preserve">Flows at 12 per cent</t>
  </si>
  <si>
    <t xml:space="preserve">at 13 per cent</t>
  </si>
  <si>
    <t xml:space="preserve">at 14 per cent</t>
  </si>
  <si>
    <t xml:space="preserve">at 15 per cent</t>
  </si>
  <si>
    <t xml:space="preserve">Residual, present value</t>
  </si>
  <si>
    <t xml:space="preserve">Positive present value</t>
  </si>
  <si>
    <t xml:space="preserve">  residual share</t>
  </si>
  <si>
    <t xml:space="preserve">Fund IRR, residual 10 per cent lower</t>
  </si>
  <si>
    <t xml:space="preserve">20 per cent lower</t>
  </si>
  <si>
    <t xml:space="preserve">30 per cent lower</t>
  </si>
  <si>
    <t xml:space="preserve">Written off</t>
  </si>
  <si>
    <t xml:space="preserve">  points lost</t>
  </si>
  <si>
    <t xml:space="preserve">Checks that pass</t>
  </si>
  <si>
    <t xml:space="preserve">Checks that fail</t>
  </si>
  <si>
    <t xml:space="preserve">All checks</t>
  </si>
</sst>
</file>

<file path=xl/styles.xml><?xml version="1.0" encoding="utf-8"?>
<styleSheet xmlns="http://schemas.openxmlformats.org/spreadsheetml/2006/main">
  <numFmts count="13">
    <numFmt numFmtId="164" formatCode="General"/>
    <numFmt numFmtId="165" formatCode="#,##0.00;\-#,##0.00"/>
    <numFmt numFmtId="166" formatCode="0.0%;\-0.0%"/>
    <numFmt numFmtId="167" formatCode="0.0000%"/>
    <numFmt numFmtId="168" formatCode="0.00"/>
    <numFmt numFmtId="169" formatCode="0.00\%"/>
    <numFmt numFmtId="170" formatCode="0.0000"/>
    <numFmt numFmtId="171" formatCode="#,##0;\-#,##0"/>
    <numFmt numFmtId="172" formatCode="0.000000"/>
    <numFmt numFmtId="173" formatCode="0.0000\x"/>
    <numFmt numFmtId="174" formatCode="#,##0.00"/>
    <numFmt numFmtId="175" formatCode="0%"/>
    <numFmt numFmtId="176"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i val="true"/>
      <sz val="9"/>
      <color rgb="FF5A6A70"/>
      <name val="Calibri"/>
      <family val="0"/>
      <charset val="1"/>
    </font>
    <font>
      <b val="true"/>
      <sz val="11"/>
      <color rgb="FF1A1A1A"/>
      <name val="Calibri"/>
      <family val="0"/>
      <charset val="1"/>
    </font>
    <font>
      <b val="true"/>
      <sz val="11"/>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6" customFormat="false" ht="30" hidden="false" customHeight="true" outlineLevel="0" collapsed="false">
      <c r="A16" s="5" t="s">
        <v>8</v>
      </c>
    </row>
    <row r="18" customFormat="false" ht="15" hidden="false" customHeight="false" outlineLevel="0" collapsed="false">
      <c r="A18" s="6" t="s">
        <v>9</v>
      </c>
    </row>
    <row r="20" customFormat="false" ht="55.2" hidden="false" customHeight="false" outlineLevel="0" collapsed="false">
      <c r="A20" s="5"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11" min="2" style="0" width="12"/>
  </cols>
  <sheetData>
    <row r="1" customFormat="false" ht="24" hidden="false" customHeight="true" outlineLevel="0" collapsed="false">
      <c r="A1" s="1" t="s">
        <v>11</v>
      </c>
    </row>
    <row r="2" customFormat="false" ht="15" hidden="false" customHeight="false" outlineLevel="0" collapsed="false">
      <c r="A2" s="2" t="s">
        <v>12</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4" t="s">
        <v>13</v>
      </c>
      <c r="B5" s="7"/>
      <c r="C5" s="7"/>
      <c r="D5" s="7"/>
      <c r="E5" s="7"/>
      <c r="F5" s="7"/>
      <c r="G5" s="7"/>
      <c r="H5" s="7"/>
      <c r="I5" s="7"/>
      <c r="J5" s="7"/>
      <c r="K5" s="7"/>
    </row>
    <row r="7" customFormat="false" ht="15" hidden="false" customHeight="false" outlineLevel="0" collapsed="false">
      <c r="A7" s="8" t="s">
        <v>14</v>
      </c>
      <c r="B7" s="9" t="n">
        <v>2000</v>
      </c>
    </row>
    <row r="8" customFormat="false" ht="15" hidden="false" customHeight="false" outlineLevel="0" collapsed="false">
      <c r="A8" s="8" t="s">
        <v>15</v>
      </c>
      <c r="B8" s="10" t="n">
        <v>0.3</v>
      </c>
    </row>
    <row r="9" customFormat="false" ht="15" hidden="false" customHeight="false" outlineLevel="0" collapsed="false">
      <c r="A9" s="8" t="s">
        <v>16</v>
      </c>
      <c r="B9" s="9" t="n">
        <v>600</v>
      </c>
    </row>
    <row r="10" customFormat="false" ht="15" hidden="false" customHeight="false" outlineLevel="0" collapsed="false">
      <c r="A10" s="8" t="s">
        <v>17</v>
      </c>
      <c r="B10" s="9" t="n">
        <v>600</v>
      </c>
    </row>
    <row r="11" customFormat="false" ht="15" hidden="false" customHeight="false" outlineLevel="0" collapsed="false">
      <c r="A11" s="8" t="s">
        <v>18</v>
      </c>
      <c r="B11" s="9" t="n">
        <v>143</v>
      </c>
    </row>
    <row r="13" customFormat="false" ht="15" hidden="false" customHeight="false" outlineLevel="0" collapsed="false">
      <c r="A13" s="4" t="s">
        <v>19</v>
      </c>
      <c r="B13" s="7"/>
      <c r="C13" s="7"/>
      <c r="D13" s="7"/>
      <c r="E13" s="7"/>
      <c r="F13" s="7"/>
      <c r="G13" s="7"/>
      <c r="H13" s="7"/>
      <c r="I13" s="7"/>
      <c r="J13" s="7"/>
      <c r="K13" s="7"/>
    </row>
    <row r="15" customFormat="false" ht="15" hidden="false" customHeight="false" outlineLevel="0" collapsed="false">
      <c r="A15" s="8" t="s">
        <v>20</v>
      </c>
      <c r="B15" s="11" t="n">
        <v>0.0175</v>
      </c>
    </row>
    <row r="16" customFormat="false" ht="15" hidden="false" customHeight="false" outlineLevel="0" collapsed="false">
      <c r="A16" s="8" t="s">
        <v>21</v>
      </c>
      <c r="B16" s="10" t="n">
        <v>0.2</v>
      </c>
    </row>
    <row r="17" customFormat="false" ht="15" hidden="false" customHeight="false" outlineLevel="0" collapsed="false">
      <c r="A17" s="8" t="s">
        <v>22</v>
      </c>
      <c r="B17" s="11" t="n">
        <v>0.0035</v>
      </c>
    </row>
    <row r="18" customFormat="false" ht="15" hidden="false" customHeight="false" outlineLevel="0" collapsed="false">
      <c r="A18" s="8" t="s">
        <v>23</v>
      </c>
      <c r="B18" s="12" t="n">
        <v>1.15</v>
      </c>
    </row>
    <row r="19" customFormat="false" ht="15" hidden="false" customHeight="false" outlineLevel="0" collapsed="false">
      <c r="A19" s="8" t="s">
        <v>24</v>
      </c>
      <c r="B19" s="13" t="n">
        <v>2</v>
      </c>
    </row>
    <row r="20" customFormat="false" ht="15" hidden="false" customHeight="false" outlineLevel="0" collapsed="false">
      <c r="A20" s="8" t="s">
        <v>25</v>
      </c>
      <c r="B20" s="14" t="n">
        <v>0.5245</v>
      </c>
    </row>
    <row r="22" customFormat="false" ht="15" hidden="false" customHeight="false" outlineLevel="0" collapsed="false">
      <c r="A22" s="4" t="s">
        <v>26</v>
      </c>
      <c r="B22" s="7"/>
      <c r="C22" s="7"/>
      <c r="D22" s="7"/>
      <c r="E22" s="7"/>
      <c r="F22" s="7"/>
      <c r="G22" s="7"/>
      <c r="H22" s="7"/>
      <c r="I22" s="7"/>
      <c r="J22" s="7"/>
      <c r="K22" s="7"/>
    </row>
    <row r="24" customFormat="false" ht="30" hidden="false" customHeight="true" outlineLevel="0" collapsed="false">
      <c r="A24" s="15"/>
      <c r="B24" s="16" t="s">
        <v>27</v>
      </c>
      <c r="C24" s="16" t="s">
        <v>28</v>
      </c>
      <c r="D24" s="16" t="s">
        <v>29</v>
      </c>
      <c r="E24" s="16" t="s">
        <v>30</v>
      </c>
      <c r="F24" s="16" t="s">
        <v>31</v>
      </c>
      <c r="G24" s="16" t="s">
        <v>32</v>
      </c>
      <c r="H24" s="16" t="s">
        <v>33</v>
      </c>
      <c r="I24" s="16" t="s">
        <v>34</v>
      </c>
      <c r="J24" s="16" t="s">
        <v>35</v>
      </c>
      <c r="K24" s="16" t="s">
        <v>36</v>
      </c>
    </row>
    <row r="25" customFormat="false" ht="15" hidden="false" customHeight="false" outlineLevel="0" collapsed="false">
      <c r="A25" s="8" t="s">
        <v>37</v>
      </c>
      <c r="B25" s="12" t="n">
        <v>12.4</v>
      </c>
      <c r="C25" s="12" t="n">
        <v>8.1</v>
      </c>
      <c r="D25" s="12" t="n">
        <v>-6.7</v>
      </c>
      <c r="E25" s="12" t="n">
        <v>18.3</v>
      </c>
      <c r="F25" s="12" t="n">
        <v>9.6</v>
      </c>
      <c r="G25" s="12" t="n">
        <v>2.4</v>
      </c>
      <c r="H25" s="12" t="n">
        <v>14.1</v>
      </c>
      <c r="I25" s="12" t="n">
        <v>-11.2</v>
      </c>
      <c r="J25" s="12" t="n">
        <v>21.7</v>
      </c>
      <c r="K25" s="12" t="n">
        <v>7.3</v>
      </c>
    </row>
    <row r="26" customFormat="false" ht="15" hidden="false" customHeight="false" outlineLevel="0" collapsed="false">
      <c r="A26" s="8" t="s">
        <v>38</v>
      </c>
      <c r="B26" s="12" t="n">
        <v>0.8</v>
      </c>
      <c r="C26" s="12" t="n">
        <v>0.5</v>
      </c>
      <c r="D26" s="12" t="n">
        <v>0.4</v>
      </c>
      <c r="E26" s="12" t="n">
        <v>1.2</v>
      </c>
      <c r="F26" s="12" t="n">
        <v>2.1</v>
      </c>
      <c r="G26" s="12" t="n">
        <v>3.4</v>
      </c>
      <c r="H26" s="12" t="n">
        <v>4.1</v>
      </c>
      <c r="I26" s="12" t="n">
        <v>3.6</v>
      </c>
      <c r="J26" s="12" t="n">
        <v>2.9</v>
      </c>
      <c r="K26" s="12" t="n">
        <v>2.5</v>
      </c>
    </row>
    <row r="27" customFormat="false" ht="15" hidden="false" customHeight="false" outlineLevel="0" collapsed="false">
      <c r="A27" s="8" t="s">
        <v>39</v>
      </c>
      <c r="B27" s="17" t="n">
        <v>90</v>
      </c>
      <c r="C27" s="17" t="n">
        <v>150</v>
      </c>
      <c r="D27" s="17" t="n">
        <v>138</v>
      </c>
      <c r="E27" s="17" t="n">
        <v>120</v>
      </c>
      <c r="F27" s="17" t="n">
        <v>66</v>
      </c>
      <c r="G27" s="17" t="n">
        <v>0</v>
      </c>
      <c r="H27" s="17" t="n">
        <v>0</v>
      </c>
      <c r="I27" s="17" t="n">
        <v>0</v>
      </c>
      <c r="J27" s="17" t="n">
        <v>0</v>
      </c>
      <c r="K27" s="17" t="n">
        <v>0</v>
      </c>
    </row>
    <row r="28" customFormat="false" ht="15" hidden="false" customHeight="false" outlineLevel="0" collapsed="false">
      <c r="A28" s="8" t="s">
        <v>40</v>
      </c>
      <c r="B28" s="17" t="n">
        <v>0</v>
      </c>
      <c r="C28" s="17" t="n">
        <v>0</v>
      </c>
      <c r="D28" s="17" t="n">
        <v>29</v>
      </c>
      <c r="E28" s="17" t="n">
        <v>86</v>
      </c>
      <c r="F28" s="17" t="n">
        <v>143</v>
      </c>
      <c r="G28" s="17" t="n">
        <v>152</v>
      </c>
      <c r="H28" s="17" t="n">
        <v>133</v>
      </c>
      <c r="I28" s="17" t="n">
        <v>95</v>
      </c>
      <c r="J28" s="17" t="n">
        <v>86</v>
      </c>
      <c r="K28" s="17" t="n">
        <v>67</v>
      </c>
    </row>
    <row r="29" customFormat="false" ht="15" hidden="false" customHeight="false" outlineLevel="0" collapsed="false">
      <c r="A29" s="8" t="s">
        <v>41</v>
      </c>
      <c r="B29" s="12" t="n">
        <v>13.4</v>
      </c>
      <c r="C29" s="12" t="n">
        <v>14.1</v>
      </c>
      <c r="D29" s="12" t="n">
        <v>11.8</v>
      </c>
      <c r="E29" s="12" t="n">
        <v>9.2</v>
      </c>
      <c r="F29" s="12" t="n">
        <v>12.6</v>
      </c>
      <c r="G29" s="12" t="n">
        <v>13.3</v>
      </c>
      <c r="H29" s="12" t="n">
        <v>10.9</v>
      </c>
      <c r="I29" s="12" t="n">
        <v>4.8</v>
      </c>
      <c r="J29" s="12" t="n">
        <v>6.1</v>
      </c>
      <c r="K29" s="12" t="n">
        <v>9.7</v>
      </c>
    </row>
    <row r="31" customFormat="false" ht="15" hidden="false" customHeight="false" outlineLevel="0" collapsed="false">
      <c r="A31" s="18"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12" min="2" style="0" width="14"/>
  </cols>
  <sheetData>
    <row r="1" customFormat="false" ht="24" hidden="false" customHeight="true" outlineLevel="0" collapsed="false">
      <c r="A1" s="1" t="s">
        <v>43</v>
      </c>
    </row>
    <row r="2" customFormat="false" ht="15" hidden="false" customHeight="false" outlineLevel="0" collapsed="false">
      <c r="A2" s="2" t="s">
        <v>44</v>
      </c>
    </row>
    <row r="3" customFormat="false" ht="15" hidden="false" customHeight="false" outlineLevel="0" collapsed="false">
      <c r="A3" s="3"/>
      <c r="B3" s="3"/>
      <c r="C3" s="3"/>
      <c r="D3" s="3"/>
      <c r="E3" s="3"/>
      <c r="F3" s="3"/>
      <c r="G3" s="3"/>
      <c r="H3" s="3"/>
      <c r="I3" s="3"/>
      <c r="J3" s="3"/>
      <c r="K3" s="3"/>
    </row>
    <row r="5" customFormat="false" ht="30" hidden="false" customHeight="true" outlineLevel="0" collapsed="false">
      <c r="A5" s="15"/>
      <c r="B5" s="16" t="s">
        <v>27</v>
      </c>
      <c r="C5" s="16" t="s">
        <v>28</v>
      </c>
      <c r="D5" s="16" t="s">
        <v>29</v>
      </c>
      <c r="E5" s="16" t="s">
        <v>30</v>
      </c>
      <c r="F5" s="16" t="s">
        <v>31</v>
      </c>
      <c r="G5" s="16" t="s">
        <v>32</v>
      </c>
      <c r="H5" s="16" t="s">
        <v>33</v>
      </c>
      <c r="I5" s="16" t="s">
        <v>34</v>
      </c>
      <c r="J5" s="16" t="s">
        <v>35</v>
      </c>
      <c r="K5" s="16" t="s">
        <v>36</v>
      </c>
    </row>
    <row r="6" customFormat="false" ht="15" hidden="false" customHeight="false" outlineLevel="0" collapsed="false">
      <c r="A6" s="19" t="s">
        <v>45</v>
      </c>
      <c r="B6" s="20" t="n">
        <f aca="false">Inputs!B28-Inputs!B27</f>
        <v>-90</v>
      </c>
      <c r="C6" s="20" t="n">
        <f aca="false">Inputs!C28-Inputs!C27</f>
        <v>-150</v>
      </c>
      <c r="D6" s="20" t="n">
        <f aca="false">Inputs!D28-Inputs!D27</f>
        <v>-109</v>
      </c>
      <c r="E6" s="20" t="n">
        <f aca="false">Inputs!E28-Inputs!E27</f>
        <v>-34</v>
      </c>
      <c r="F6" s="20" t="n">
        <f aca="false">Inputs!F28-Inputs!F27</f>
        <v>77</v>
      </c>
      <c r="G6" s="20" t="n">
        <f aca="false">Inputs!G28-Inputs!G27</f>
        <v>152</v>
      </c>
      <c r="H6" s="20" t="n">
        <f aca="false">Inputs!H28-Inputs!H27</f>
        <v>133</v>
      </c>
      <c r="I6" s="20" t="n">
        <f aca="false">Inputs!I28-Inputs!I27</f>
        <v>95</v>
      </c>
      <c r="J6" s="20" t="n">
        <f aca="false">Inputs!J28-Inputs!J27</f>
        <v>86</v>
      </c>
      <c r="K6" s="20" t="n">
        <f aca="false">Inputs!K28-Inputs!K27+Inputs!$B$11</f>
        <v>210</v>
      </c>
    </row>
    <row r="7" customFormat="false" ht="15" hidden="false" customHeight="false" outlineLevel="0" collapsed="false">
      <c r="A7" s="8" t="s">
        <v>46</v>
      </c>
      <c r="B7" s="21" t="n">
        <f aca="false">Inputs!B27-Inputs!B28</f>
        <v>90</v>
      </c>
      <c r="C7" s="21" t="n">
        <f aca="false">B7+Inputs!C27-Inputs!C28</f>
        <v>240</v>
      </c>
      <c r="D7" s="21" t="n">
        <f aca="false">C7+Inputs!D27-Inputs!D28</f>
        <v>349</v>
      </c>
      <c r="E7" s="21" t="n">
        <f aca="false">D7+Inputs!E27-Inputs!E28</f>
        <v>383</v>
      </c>
      <c r="F7" s="21" t="n">
        <f aca="false">E7+Inputs!F27-Inputs!F28</f>
        <v>306</v>
      </c>
      <c r="G7" s="21" t="n">
        <f aca="false">F7+Inputs!G27-Inputs!G28</f>
        <v>154</v>
      </c>
      <c r="H7" s="21" t="n">
        <f aca="false">G7+Inputs!H27-Inputs!H28</f>
        <v>21</v>
      </c>
      <c r="I7" s="21" t="n">
        <f aca="false">H7+Inputs!I27-Inputs!I28</f>
        <v>-74</v>
      </c>
      <c r="J7" s="21" t="n">
        <f aca="false">I7+Inputs!J27-Inputs!J28</f>
        <v>-160</v>
      </c>
      <c r="K7" s="21" t="n">
        <f aca="false">J7+Inputs!K27-Inputs!K28</f>
        <v>-227</v>
      </c>
    </row>
    <row r="9" customFormat="false" ht="15" hidden="false" customHeight="false" outlineLevel="0" collapsed="false">
      <c r="A9" s="4" t="s">
        <v>47</v>
      </c>
      <c r="B9" s="7"/>
      <c r="C9" s="7"/>
      <c r="D9" s="7"/>
      <c r="E9" s="7"/>
      <c r="F9" s="7"/>
      <c r="G9" s="7"/>
      <c r="H9" s="7"/>
      <c r="I9" s="7"/>
      <c r="J9" s="7"/>
      <c r="K9" s="7"/>
    </row>
    <row r="11" customFormat="false" ht="30" hidden="false" customHeight="true" outlineLevel="0" collapsed="false">
      <c r="A11" s="15"/>
      <c r="B11" s="16" t="s">
        <v>27</v>
      </c>
      <c r="C11" s="16" t="s">
        <v>28</v>
      </c>
      <c r="D11" s="16" t="s">
        <v>29</v>
      </c>
      <c r="E11" s="16" t="s">
        <v>30</v>
      </c>
      <c r="F11" s="16" t="s">
        <v>31</v>
      </c>
      <c r="G11" s="16" t="s">
        <v>32</v>
      </c>
      <c r="H11" s="16" t="s">
        <v>33</v>
      </c>
      <c r="I11" s="16" t="s">
        <v>34</v>
      </c>
      <c r="J11" s="16" t="s">
        <v>35</v>
      </c>
      <c r="K11" s="16" t="s">
        <v>36</v>
      </c>
    </row>
    <row r="12" customFormat="false" ht="15" hidden="false" customHeight="false" outlineLevel="0" collapsed="false">
      <c r="A12" s="8" t="s">
        <v>48</v>
      </c>
      <c r="B12" s="21" t="n">
        <f aca="false">Inputs!$B$9-Inputs!B27+Inputs!B28</f>
        <v>510</v>
      </c>
      <c r="C12" s="21" t="n">
        <f aca="false">B14-Inputs!C27+Inputs!C28</f>
        <v>364.08</v>
      </c>
      <c r="D12" s="21" t="n">
        <f aca="false">C14-Inputs!D27+Inputs!D28</f>
        <v>256.9004</v>
      </c>
      <c r="E12" s="21" t="n">
        <f aca="false">D14-Inputs!E27+Inputs!E28</f>
        <v>223.9280016</v>
      </c>
      <c r="F12" s="21" t="n">
        <f aca="false">E14-Inputs!F27+Inputs!F28</f>
        <v>303.6151376192</v>
      </c>
      <c r="G12" s="21" t="n">
        <f aca="false">F14-Inputs!G27+Inputs!G28</f>
        <v>461.991055509203</v>
      </c>
      <c r="H12" s="21" t="n">
        <f aca="false">G14-Inputs!H27+Inputs!H28</f>
        <v>610.698751396516</v>
      </c>
      <c r="I12" s="21" t="n">
        <f aca="false">H14-Inputs!I27+Inputs!I28</f>
        <v>730.737400203773</v>
      </c>
      <c r="J12" s="21" t="n">
        <f aca="false">I14-Inputs!J27+Inputs!J28</f>
        <v>843.043946611109</v>
      </c>
      <c r="K12" s="21" t="n">
        <f aca="false">J14-Inputs!K27+Inputs!K28</f>
        <v>934.492221062831</v>
      </c>
    </row>
    <row r="13" customFormat="false" ht="15" hidden="false" customHeight="false" outlineLevel="0" collapsed="false">
      <c r="A13" s="8" t="s">
        <v>49</v>
      </c>
      <c r="B13" s="21" t="n">
        <f aca="false">B12*Inputs!B26/100</f>
        <v>4.08</v>
      </c>
      <c r="C13" s="21" t="n">
        <f aca="false">C12*Inputs!C26/100</f>
        <v>1.8204</v>
      </c>
      <c r="D13" s="21" t="n">
        <f aca="false">D12*Inputs!D26/100</f>
        <v>1.0276016</v>
      </c>
      <c r="E13" s="21" t="n">
        <f aca="false">E12*Inputs!E26/100</f>
        <v>2.6871360192</v>
      </c>
      <c r="F13" s="21" t="n">
        <f aca="false">F12*Inputs!F26/100</f>
        <v>6.3759178900032</v>
      </c>
      <c r="G13" s="21" t="n">
        <f aca="false">G12*Inputs!G26/100</f>
        <v>15.7076958873129</v>
      </c>
      <c r="H13" s="21" t="n">
        <f aca="false">H12*Inputs!H26/100</f>
        <v>25.0386488072572</v>
      </c>
      <c r="I13" s="21" t="n">
        <f aca="false">I12*Inputs!I26/100</f>
        <v>26.3065464073358</v>
      </c>
      <c r="J13" s="21" t="n">
        <f aca="false">J12*Inputs!J26/100</f>
        <v>24.4482744517222</v>
      </c>
      <c r="K13" s="21" t="n">
        <f aca="false">K12*Inputs!K26/100</f>
        <v>23.3623055265708</v>
      </c>
    </row>
    <row r="14" customFormat="false" ht="15" hidden="false" customHeight="false" outlineLevel="0" collapsed="false">
      <c r="A14" s="19" t="s">
        <v>50</v>
      </c>
      <c r="B14" s="20" t="n">
        <f aca="false">B12+B13</f>
        <v>514.08</v>
      </c>
      <c r="C14" s="20" t="n">
        <f aca="false">C12+C13</f>
        <v>365.9004</v>
      </c>
      <c r="D14" s="20" t="n">
        <f aca="false">D12+D13</f>
        <v>257.9280016</v>
      </c>
      <c r="E14" s="20" t="n">
        <f aca="false">E12+E13</f>
        <v>226.6151376192</v>
      </c>
      <c r="F14" s="20" t="n">
        <f aca="false">F12+F13</f>
        <v>309.991055509203</v>
      </c>
      <c r="G14" s="20" t="n">
        <f aca="false">G12+G13</f>
        <v>477.698751396516</v>
      </c>
      <c r="H14" s="20" t="n">
        <f aca="false">H12+H13</f>
        <v>635.737400203773</v>
      </c>
      <c r="I14" s="20" t="n">
        <f aca="false">I12+I13</f>
        <v>757.043946611109</v>
      </c>
      <c r="J14" s="20" t="n">
        <f aca="false">J12+J13</f>
        <v>867.492221062831</v>
      </c>
      <c r="K14" s="20" t="n">
        <f aca="false">K12+K13</f>
        <v>957.854526589402</v>
      </c>
    </row>
    <row r="16" customFormat="false" ht="15" hidden="false" customHeight="false" outlineLevel="0" collapsed="false">
      <c r="A16" s="4" t="s">
        <v>51</v>
      </c>
      <c r="B16" s="7"/>
      <c r="C16" s="7"/>
      <c r="D16" s="7"/>
      <c r="E16" s="7"/>
      <c r="F16" s="7"/>
      <c r="G16" s="7"/>
      <c r="H16" s="7"/>
      <c r="I16" s="7"/>
      <c r="J16" s="7"/>
      <c r="K16" s="7"/>
    </row>
    <row r="18" customFormat="false" ht="30" hidden="false" customHeight="true" outlineLevel="0" collapsed="false">
      <c r="A18" s="15"/>
      <c r="B18" s="16" t="s">
        <v>27</v>
      </c>
      <c r="C18" s="16" t="s">
        <v>28</v>
      </c>
      <c r="D18" s="16" t="s">
        <v>29</v>
      </c>
      <c r="E18" s="16" t="s">
        <v>30</v>
      </c>
      <c r="F18" s="16" t="s">
        <v>31</v>
      </c>
      <c r="G18" s="16" t="s">
        <v>32</v>
      </c>
      <c r="H18" s="16" t="s">
        <v>33</v>
      </c>
      <c r="I18" s="16" t="s">
        <v>34</v>
      </c>
      <c r="J18" s="16" t="s">
        <v>35</v>
      </c>
      <c r="K18" s="16" t="s">
        <v>36</v>
      </c>
    </row>
    <row r="19" customFormat="false" ht="15" hidden="false" customHeight="false" outlineLevel="0" collapsed="false">
      <c r="A19" s="8" t="s">
        <v>48</v>
      </c>
      <c r="B19" s="21" t="n">
        <f aca="false">Inputs!$B$9-Inputs!B27+Inputs!B28</f>
        <v>510</v>
      </c>
      <c r="C19" s="21" t="n">
        <f aca="false">B21-Inputs!C27+Inputs!C28</f>
        <v>423.24</v>
      </c>
      <c r="D19" s="21" t="n">
        <f aca="false">C21-Inputs!D27+Inputs!D28</f>
        <v>348.52244</v>
      </c>
      <c r="E19" s="21" t="n">
        <f aca="false">D21-Inputs!E27+Inputs!E28</f>
        <v>291.17143652</v>
      </c>
      <c r="F19" s="21" t="n">
        <f aca="false">E21-Inputs!F27+Inputs!F28</f>
        <v>421.45580940316</v>
      </c>
      <c r="G19" s="21" t="n">
        <f aca="false">F21-Inputs!G27+Inputs!G28</f>
        <v>613.915567105863</v>
      </c>
      <c r="H19" s="21" t="n">
        <f aca="false">G21-Inputs!H27+Inputs!H28</f>
        <v>761.649540716404</v>
      </c>
      <c r="I19" s="21" t="n">
        <f aca="false">H21-Inputs!I27+Inputs!I28</f>
        <v>964.042125957417</v>
      </c>
      <c r="J19" s="21" t="n">
        <f aca="false">I21-Inputs!J27+Inputs!J28</f>
        <v>942.069407850186</v>
      </c>
      <c r="K19" s="21" t="n">
        <f aca="false">J21-Inputs!K27+Inputs!K28</f>
        <v>1213.49846935368</v>
      </c>
    </row>
    <row r="20" customFormat="false" ht="15" hidden="false" customHeight="false" outlineLevel="0" collapsed="false">
      <c r="A20" s="8" t="s">
        <v>49</v>
      </c>
      <c r="B20" s="21" t="n">
        <f aca="false">B19*Inputs!B25/100</f>
        <v>63.24</v>
      </c>
      <c r="C20" s="21" t="n">
        <f aca="false">C19*Inputs!C25/100</f>
        <v>34.28244</v>
      </c>
      <c r="D20" s="21" t="n">
        <f aca="false">D19*Inputs!D25/100</f>
        <v>-23.35100348</v>
      </c>
      <c r="E20" s="21" t="n">
        <f aca="false">E19*Inputs!E25/100</f>
        <v>53.28437288316</v>
      </c>
      <c r="F20" s="21" t="n">
        <f aca="false">F19*Inputs!F25/100</f>
        <v>40.4597577027034</v>
      </c>
      <c r="G20" s="21" t="n">
        <f aca="false">G19*Inputs!G25/100</f>
        <v>14.7339736105407</v>
      </c>
      <c r="H20" s="21" t="n">
        <f aca="false">H19*Inputs!H25/100</f>
        <v>107.392585241013</v>
      </c>
      <c r="I20" s="21" t="n">
        <f aca="false">I19*Inputs!I25/100</f>
        <v>-107.972718107231</v>
      </c>
      <c r="J20" s="21" t="n">
        <f aca="false">J19*Inputs!J25/100</f>
        <v>204.42906150349</v>
      </c>
      <c r="K20" s="21" t="n">
        <f aca="false">K19*Inputs!K25/100</f>
        <v>88.5853882628184</v>
      </c>
    </row>
    <row r="21" customFormat="false" ht="15" hidden="false" customHeight="false" outlineLevel="0" collapsed="false">
      <c r="A21" s="19" t="s">
        <v>50</v>
      </c>
      <c r="B21" s="20" t="n">
        <f aca="false">B19+B20</f>
        <v>573.24</v>
      </c>
      <c r="C21" s="20" t="n">
        <f aca="false">C19+C20</f>
        <v>457.52244</v>
      </c>
      <c r="D21" s="20" t="n">
        <f aca="false">D19+D20</f>
        <v>325.17143652</v>
      </c>
      <c r="E21" s="20" t="n">
        <f aca="false">E19+E20</f>
        <v>344.45580940316</v>
      </c>
      <c r="F21" s="20" t="n">
        <f aca="false">F19+F20</f>
        <v>461.915567105863</v>
      </c>
      <c r="G21" s="20" t="n">
        <f aca="false">G19+G20</f>
        <v>628.649540716404</v>
      </c>
      <c r="H21" s="20" t="n">
        <f aca="false">H19+H20</f>
        <v>869.042125957417</v>
      </c>
      <c r="I21" s="20" t="n">
        <f aca="false">I19+I20</f>
        <v>856.069407850186</v>
      </c>
      <c r="J21" s="20" t="n">
        <f aca="false">J19+J20</f>
        <v>1146.49846935368</v>
      </c>
      <c r="K21" s="20" t="n">
        <f aca="false">K19+K20</f>
        <v>1302.0838576165</v>
      </c>
    </row>
    <row r="23" customFormat="false" ht="15" hidden="false" customHeight="false" outlineLevel="0" collapsed="false">
      <c r="A23" s="4" t="s">
        <v>52</v>
      </c>
      <c r="B23" s="7"/>
      <c r="C23" s="7"/>
      <c r="D23" s="7"/>
      <c r="E23" s="7"/>
      <c r="F23" s="7"/>
      <c r="G23" s="7"/>
      <c r="H23" s="7"/>
      <c r="I23" s="7"/>
      <c r="J23" s="7"/>
      <c r="K23" s="7"/>
    </row>
    <row r="25" customFormat="false" ht="30" hidden="false" customHeight="true" outlineLevel="0" collapsed="false">
      <c r="A25" s="15"/>
      <c r="B25" s="16" t="s">
        <v>27</v>
      </c>
      <c r="C25" s="16" t="s">
        <v>28</v>
      </c>
      <c r="D25" s="16" t="s">
        <v>29</v>
      </c>
      <c r="E25" s="16" t="s">
        <v>30</v>
      </c>
      <c r="F25" s="16" t="s">
        <v>31</v>
      </c>
      <c r="G25" s="16" t="s">
        <v>32</v>
      </c>
      <c r="H25" s="16" t="s">
        <v>33</v>
      </c>
      <c r="I25" s="16" t="s">
        <v>34</v>
      </c>
      <c r="J25" s="16" t="s">
        <v>35</v>
      </c>
      <c r="K25" s="16" t="s">
        <v>36</v>
      </c>
    </row>
    <row r="26" customFormat="false" ht="15" hidden="false" customHeight="false" outlineLevel="0" collapsed="false">
      <c r="A26" s="8" t="s">
        <v>53</v>
      </c>
      <c r="B26" s="22" t="n">
        <f aca="false">(1+Inputs!B25/100)*(1+Inputs!C25/100)*(1+Inputs!D25/100)*(1+Inputs!E25/100)*(1+Inputs!F25/100)*(1+Inputs!G25/100)*(1+Inputs!H25/100)*(1+Inputs!I25/100)*(1+Inputs!J25/100)*(1+Inputs!K25/100)</f>
        <v>1.99139684503792</v>
      </c>
      <c r="C26" s="22" t="n">
        <f aca="false">(1+Inputs!C25/100)*(1+Inputs!D25/100)*(1+Inputs!E25/100)*(1+Inputs!F25/100)*(1+Inputs!G25/100)*(1+Inputs!H25/100)*(1+Inputs!I25/100)*(1+Inputs!J25/100)*(1+Inputs!K25/100)</f>
        <v>1.77170537814762</v>
      </c>
      <c r="D26" s="22" t="n">
        <f aca="false">(1+Inputs!D25/100)*(1+Inputs!E25/100)*(1+Inputs!F25/100)*(1+Inputs!G25/100)*(1+Inputs!H25/100)*(1+Inputs!I25/100)*(1+Inputs!J25/100)*(1+Inputs!K25/100)</f>
        <v>1.63895039606625</v>
      </c>
      <c r="E26" s="22" t="n">
        <f aca="false">(1+Inputs!E25/100)*(1+Inputs!F25/100)*(1+Inputs!G25/100)*(1+Inputs!H25/100)*(1+Inputs!I25/100)*(1+Inputs!J25/100)*(1+Inputs!K25/100)</f>
        <v>1.75664565494775</v>
      </c>
      <c r="F26" s="22" t="n">
        <f aca="false">(1+Inputs!F25/100)*(1+Inputs!G25/100)*(1+Inputs!H25/100)*(1+Inputs!I25/100)*(1+Inputs!J25/100)*(1+Inputs!K25/100)</f>
        <v>1.48490756969379</v>
      </c>
      <c r="G26" s="22" t="n">
        <f aca="false">(1+Inputs!G25/100)*(1+Inputs!H25/100)*(1+Inputs!I25/100)*(1+Inputs!J25/100)*(1+Inputs!K25/100)</f>
        <v>1.35484267307827</v>
      </c>
      <c r="H26" s="22" t="n">
        <f aca="false">(1+Inputs!H25/100)*(1+Inputs!I25/100)*(1+Inputs!J25/100)*(1+Inputs!K25/100)</f>
        <v>1.323088547928</v>
      </c>
      <c r="I26" s="22" t="n">
        <f aca="false">(1+Inputs!I25/100)*(1+Inputs!J25/100)*(1+Inputs!K25/100)</f>
        <v>1.159586808</v>
      </c>
      <c r="J26" s="22" t="n">
        <f aca="false">(1+Inputs!J25/100)*(1+Inputs!K25/100)</f>
        <v>1.305841</v>
      </c>
      <c r="K26" s="22" t="n">
        <f aca="false">(1+Inputs!K25/100)</f>
        <v>1.073</v>
      </c>
    </row>
    <row r="27" customFormat="false" ht="15" hidden="false" customHeight="false" outlineLevel="0" collapsed="false">
      <c r="A27" s="8" t="s">
        <v>54</v>
      </c>
      <c r="B27" s="22" t="n">
        <f aca="false">(1+(Inputs!$B$19+Inputs!$B$18*(Inputs!B25-Inputs!$B$19))/100)*(1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2.12327223121253</v>
      </c>
      <c r="C27" s="22" t="n">
        <f aca="false">(1+(Inputs!$B$19+Inputs!$B$18*(Inputs!C25-Inputs!$B$19))/100)*(1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1.86317324606224</v>
      </c>
      <c r="D27" s="22" t="n">
        <f aca="false">(1+(Inputs!$B$19+Inputs!$B$18*(Inputs!D25-Inputs!$B$19))/100)*(1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1.70909805628789</v>
      </c>
      <c r="E27" s="22" t="n">
        <f aca="false">(1+(Inputs!$B$19+Inputs!$B$18*(Inputs!E25-Inputs!$B$19))/100)*(1+(Inputs!$B$19+Inputs!$B$18*(Inputs!F25-Inputs!$B$19))/100)*(1+(Inputs!$B$19+Inputs!$B$18*(Inputs!G25-Inputs!$B$19))/100)*(1+(Inputs!$B$19+Inputs!$B$18*(Inputs!H25-Inputs!$B$19))/100)*(1+(Inputs!$B$19+Inputs!$B$18*(Inputs!I25-Inputs!$B$19))/100)*(1+(Inputs!$B$19+Inputs!$B$18*(Inputs!J25-Inputs!$B$19))/100)*(1+(Inputs!$B$19+Inputs!$B$18*(Inputs!K25-Inputs!$B$19))/100)</f>
        <v>1.85781624684808</v>
      </c>
      <c r="F27" s="22" t="n">
        <f aca="false">(1+(Inputs!$B$19+Inputs!$B$18*(Inputs!F25-Inputs!$B$19))/100)*(1+(Inputs!$B$19+Inputs!$B$18*(Inputs!G25-Inputs!$B$19))/100)*(1+(Inputs!$B$19+Inputs!$B$18*(Inputs!H25-Inputs!$B$19))/100)*(1+(Inputs!$B$19+Inputs!$B$18*(Inputs!I25-Inputs!$B$19))/100)*(1+(Inputs!$B$19+Inputs!$B$18*(Inputs!J25-Inputs!$B$19))/100)*(1+(Inputs!$B$19+Inputs!$B$18*(Inputs!K25-Inputs!$B$19))/100)</f>
        <v>1.53862789088416</v>
      </c>
      <c r="G27" s="22" t="n">
        <f aca="false">(1+(Inputs!$B$19+Inputs!$B$18*(Inputs!G25-Inputs!$B$19))/100)*(1+(Inputs!$B$19+Inputs!$B$18*(Inputs!H25-Inputs!$B$19))/100)*(1+(Inputs!$B$19+Inputs!$B$18*(Inputs!I25-Inputs!$B$19))/100)*(1+(Inputs!$B$19+Inputs!$B$18*(Inputs!J25-Inputs!$B$19))/100)*(1+(Inputs!$B$19+Inputs!$B$18*(Inputs!K25-Inputs!$B$19))/100)</f>
        <v>1.38940571689016</v>
      </c>
      <c r="H27" s="22" t="n">
        <f aca="false">(1+(Inputs!$B$19+Inputs!$B$18*(Inputs!H25-Inputs!$B$19))/100)*(1+(Inputs!$B$19+Inputs!$B$18*(Inputs!I25-Inputs!$B$19))/100)*(1+(Inputs!$B$19+Inputs!$B$18*(Inputs!J25-Inputs!$B$19))/100)*(1+(Inputs!$B$19+Inputs!$B$18*(Inputs!K25-Inputs!$B$19))/100)</f>
        <v>1.35604696163396</v>
      </c>
      <c r="I27" s="22" t="n">
        <f aca="false">(1+(Inputs!$B$19+Inputs!$B$18*(Inputs!I25-Inputs!$B$19))/100)*(1+(Inputs!$B$19+Inputs!$B$18*(Inputs!J25-Inputs!$B$19))/100)*(1+(Inputs!$B$19+Inputs!$B$18*(Inputs!K25-Inputs!$B$19))/100)</f>
        <v>1.1698632287745</v>
      </c>
      <c r="J27" s="22" t="n">
        <f aca="false">(1+(Inputs!$B$19+Inputs!$B$18*(Inputs!J25-Inputs!$B$19))/100)*(1+(Inputs!$B$19+Inputs!$B$18*(Inputs!K25-Inputs!$B$19))/100)</f>
        <v>1.3474582225</v>
      </c>
      <c r="K27" s="22" t="n">
        <f aca="false">(1+(Inputs!$B$19+Inputs!$B$18*(Inputs!K25-Inputs!$B$19))/100)</f>
        <v>1.08095</v>
      </c>
    </row>
    <row r="29" customFormat="false" ht="15" hidden="false" customHeight="false" outlineLevel="0" collapsed="false">
      <c r="A29" s="4" t="s">
        <v>55</v>
      </c>
      <c r="B29" s="7"/>
      <c r="C29" s="7"/>
      <c r="D29" s="7"/>
      <c r="E29" s="7"/>
      <c r="F29" s="7"/>
      <c r="G29" s="7"/>
      <c r="H29" s="7"/>
      <c r="I29" s="7"/>
      <c r="J29" s="7"/>
      <c r="K29" s="7"/>
    </row>
    <row r="31" customFormat="false" ht="15" hidden="false" customHeight="false" outlineLevel="0" collapsed="false">
      <c r="A31" s="8" t="s">
        <v>56</v>
      </c>
      <c r="B31" s="21" t="n">
        <f aca="false">SUM(Inputs!B27:K27)</f>
        <v>564</v>
      </c>
    </row>
    <row r="32" customFormat="false" ht="15" hidden="false" customHeight="false" outlineLevel="0" collapsed="false">
      <c r="A32" s="8" t="s">
        <v>57</v>
      </c>
      <c r="B32" s="21" t="n">
        <f aca="false">SUM(Inputs!B28:K28)</f>
        <v>791</v>
      </c>
    </row>
    <row r="33" customFormat="false" ht="15" hidden="false" customHeight="false" outlineLevel="0" collapsed="false">
      <c r="A33" s="8" t="s">
        <v>58</v>
      </c>
      <c r="B33" s="21" t="n">
        <f aca="false">Inputs!B10-B31</f>
        <v>36</v>
      </c>
    </row>
    <row r="34" customFormat="false" ht="15" hidden="false" customHeight="false" outlineLevel="0" collapsed="false">
      <c r="A34" s="19" t="s">
        <v>59</v>
      </c>
      <c r="B34" s="20" t="n">
        <f aca="false">K14+Inputs!B11</f>
        <v>1100.8545265894</v>
      </c>
    </row>
    <row r="35" customFormat="false" ht="15" hidden="false" customHeight="false" outlineLevel="0" collapsed="false">
      <c r="A35" s="19" t="s">
        <v>60</v>
      </c>
      <c r="B35" s="20" t="n">
        <f aca="false">K21+Inputs!B11</f>
        <v>1445.0838576165</v>
      </c>
    </row>
    <row r="36" customFormat="false" ht="15" hidden="false" customHeight="false" outlineLevel="0" collapsed="false">
      <c r="A36" s="19" t="s">
        <v>61</v>
      </c>
      <c r="B36" s="20" t="n">
        <f aca="false">MAX(B7:K7)</f>
        <v>383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11" min="2" style="0" width="13"/>
  </cols>
  <sheetData>
    <row r="1" customFormat="false" ht="24" hidden="false" customHeight="true" outlineLevel="0" collapsed="false">
      <c r="A1" s="1" t="s">
        <v>62</v>
      </c>
    </row>
    <row r="2" customFormat="false" ht="15" hidden="false" customHeight="false" outlineLevel="0" collapsed="false">
      <c r="A2" s="2" t="s">
        <v>63</v>
      </c>
    </row>
    <row r="3" customFormat="false" ht="15" hidden="false" customHeight="false" outlineLevel="0" collapsed="false">
      <c r="A3" s="3"/>
      <c r="B3" s="3"/>
      <c r="C3" s="3"/>
      <c r="D3" s="3"/>
      <c r="E3" s="3"/>
      <c r="F3" s="3"/>
      <c r="G3" s="3"/>
      <c r="H3" s="3"/>
      <c r="I3" s="3"/>
      <c r="J3" s="3"/>
      <c r="K3" s="3"/>
    </row>
    <row r="5" customFormat="false" ht="15" hidden="false" customHeight="false" outlineLevel="0" collapsed="false">
      <c r="A5" s="4" t="s">
        <v>64</v>
      </c>
      <c r="B5" s="7"/>
      <c r="C5" s="7"/>
      <c r="D5" s="7"/>
      <c r="E5" s="7"/>
      <c r="F5" s="7"/>
      <c r="G5" s="7"/>
      <c r="H5" s="7"/>
      <c r="I5" s="7"/>
      <c r="J5" s="7"/>
      <c r="K5" s="7"/>
    </row>
    <row r="7" customFormat="false" ht="15" hidden="false" customHeight="false" outlineLevel="0" collapsed="false">
      <c r="A7" s="8" t="s">
        <v>56</v>
      </c>
      <c r="B7" s="21" t="n">
        <f aca="false">Engine!B31</f>
        <v>564</v>
      </c>
    </row>
    <row r="8" customFormat="false" ht="15" hidden="false" customHeight="false" outlineLevel="0" collapsed="false">
      <c r="A8" s="8" t="s">
        <v>57</v>
      </c>
      <c r="B8" s="21" t="n">
        <f aca="false">Engine!B32</f>
        <v>791</v>
      </c>
    </row>
    <row r="9" customFormat="false" ht="15" hidden="false" customHeight="false" outlineLevel="0" collapsed="false">
      <c r="A9" s="8" t="s">
        <v>65</v>
      </c>
      <c r="B9" s="21" t="n">
        <f aca="false">Inputs!B11</f>
        <v>143</v>
      </c>
    </row>
    <row r="10" customFormat="false" ht="15" hidden="false" customHeight="false" outlineLevel="0" collapsed="false">
      <c r="A10" s="19" t="s">
        <v>66</v>
      </c>
      <c r="B10" s="23" t="n">
        <f aca="false">(B8+B9)/B7</f>
        <v>1.65602836879433</v>
      </c>
    </row>
    <row r="11" customFormat="false" ht="15" hidden="false" customHeight="false" outlineLevel="0" collapsed="false">
      <c r="A11" s="19" t="s">
        <v>67</v>
      </c>
      <c r="B11" s="23" t="n">
        <f aca="false">B8/B7</f>
        <v>1.40248226950355</v>
      </c>
    </row>
    <row r="12" customFormat="false" ht="15" hidden="false" customHeight="false" outlineLevel="0" collapsed="false">
      <c r="A12" s="8" t="s">
        <v>68</v>
      </c>
      <c r="B12" s="24" t="n">
        <f aca="false">B9/B7</f>
        <v>0.25354609929078</v>
      </c>
    </row>
    <row r="13" customFormat="false" ht="15" hidden="false" customHeight="false" outlineLevel="0" collapsed="false">
      <c r="A13" s="8" t="s">
        <v>69</v>
      </c>
      <c r="B13" s="25" t="n">
        <f aca="false">B11/B10</f>
        <v>0.846895074946467</v>
      </c>
    </row>
    <row r="14" customFormat="false" ht="15" hidden="false" customHeight="false" outlineLevel="0" collapsed="false">
      <c r="A14" s="8" t="s">
        <v>70</v>
      </c>
      <c r="B14" s="24" t="n">
        <f aca="false">(B8+B9)/Inputs!B10</f>
        <v>1.55666666666667</v>
      </c>
    </row>
    <row r="16" customFormat="false" ht="15" hidden="false" customHeight="false" outlineLevel="0" collapsed="false">
      <c r="A16" s="4" t="s">
        <v>71</v>
      </c>
      <c r="B16" s="7"/>
      <c r="C16" s="7"/>
      <c r="D16" s="7"/>
      <c r="E16" s="7"/>
      <c r="F16" s="7"/>
      <c r="G16" s="7"/>
      <c r="H16" s="7"/>
      <c r="I16" s="7"/>
      <c r="J16" s="7"/>
      <c r="K16" s="7"/>
    </row>
    <row r="18" customFormat="false" ht="30" hidden="false" customHeight="true" outlineLevel="0" collapsed="false">
      <c r="A18" s="15"/>
      <c r="B18" s="16" t="s">
        <v>27</v>
      </c>
      <c r="C18" s="16" t="s">
        <v>28</v>
      </c>
      <c r="D18" s="16" t="s">
        <v>29</v>
      </c>
      <c r="E18" s="16" t="s">
        <v>30</v>
      </c>
      <c r="F18" s="16" t="s">
        <v>31</v>
      </c>
      <c r="G18" s="16" t="s">
        <v>32</v>
      </c>
      <c r="H18" s="16" t="s">
        <v>33</v>
      </c>
      <c r="I18" s="16" t="s">
        <v>34</v>
      </c>
      <c r="J18" s="16" t="s">
        <v>35</v>
      </c>
      <c r="K18" s="16" t="s">
        <v>36</v>
      </c>
    </row>
    <row r="19" customFormat="false" ht="15" hidden="false" customHeight="false" outlineLevel="0" collapsed="false">
      <c r="A19" s="19" t="s">
        <v>72</v>
      </c>
      <c r="B19" s="20" t="n">
        <f aca="false">Engine!B7</f>
        <v>90</v>
      </c>
      <c r="C19" s="20" t="n">
        <f aca="false">Engine!C7</f>
        <v>240</v>
      </c>
      <c r="D19" s="20" t="n">
        <f aca="false">Engine!D7</f>
        <v>349</v>
      </c>
      <c r="E19" s="20" t="n">
        <f aca="false">Engine!E7</f>
        <v>383</v>
      </c>
      <c r="F19" s="20" t="n">
        <f aca="false">Engine!F7</f>
        <v>306</v>
      </c>
      <c r="G19" s="20" t="n">
        <f aca="false">Engine!G7</f>
        <v>154</v>
      </c>
      <c r="H19" s="20" t="n">
        <f aca="false">Engine!H7</f>
        <v>21</v>
      </c>
      <c r="I19" s="20" t="n">
        <f aca="false">Engine!I7</f>
        <v>-74</v>
      </c>
      <c r="J19" s="20" t="n">
        <f aca="false">Engine!J7</f>
        <v>-160</v>
      </c>
      <c r="K19" s="20" t="n">
        <f aca="false">Engine!K7</f>
        <v>-227</v>
      </c>
    </row>
    <row r="21" customFormat="false" ht="15" hidden="false" customHeight="false" outlineLevel="0" collapsed="false">
      <c r="A21" s="4" t="s">
        <v>73</v>
      </c>
      <c r="B21" s="7"/>
      <c r="C21" s="7"/>
      <c r="D21" s="7"/>
      <c r="E21" s="7"/>
      <c r="F21" s="7"/>
      <c r="G21" s="7"/>
      <c r="H21" s="7"/>
      <c r="I21" s="7"/>
      <c r="J21" s="7"/>
      <c r="K21" s="7"/>
    </row>
    <row r="23" customFormat="false" ht="15" hidden="false" customHeight="false" outlineLevel="0" collapsed="false">
      <c r="A23" s="19" t="s">
        <v>61</v>
      </c>
      <c r="B23" s="20" t="n">
        <f aca="false">Engine!B36</f>
        <v>383</v>
      </c>
    </row>
    <row r="24" customFormat="false" ht="15" hidden="false" customHeight="false" outlineLevel="0" collapsed="false">
      <c r="A24" s="8" t="s">
        <v>74</v>
      </c>
      <c r="B24" s="21" t="n">
        <f aca="false">Inputs!B10</f>
        <v>600</v>
      </c>
    </row>
    <row r="25" customFormat="false" ht="15" hidden="false" customHeight="false" outlineLevel="0" collapsed="false">
      <c r="A25" s="8" t="s">
        <v>75</v>
      </c>
      <c r="B25" s="25" t="n">
        <f aca="false">B23/B24</f>
        <v>0.638333333333333</v>
      </c>
    </row>
    <row r="26" customFormat="false" ht="15" hidden="false" customHeight="false" outlineLevel="0" collapsed="false">
      <c r="A26" s="19" t="s">
        <v>76</v>
      </c>
      <c r="B26" s="26" t="n">
        <f aca="false">1-B25</f>
        <v>0.361666666666667</v>
      </c>
    </row>
    <row r="27" customFormat="false" ht="15" hidden="false" customHeight="false" outlineLevel="0" collapsed="false">
      <c r="A27" s="8" t="s">
        <v>77</v>
      </c>
      <c r="B27" s="21" t="n">
        <f aca="false">Inputs!B7*Inputs!B8</f>
        <v>600</v>
      </c>
    </row>
    <row r="28" customFormat="false" ht="15" hidden="false" customHeight="false" outlineLevel="0" collapsed="false">
      <c r="A28" s="19" t="s">
        <v>78</v>
      </c>
      <c r="B28" s="20" t="n">
        <f aca="false">B27*B27/B23</f>
        <v>939.947780678851</v>
      </c>
    </row>
    <row r="29" customFormat="false" ht="15" hidden="false" customHeight="false" outlineLevel="0" collapsed="false">
      <c r="A29" s="19" t="s">
        <v>73</v>
      </c>
      <c r="B29" s="26" t="n">
        <f aca="false">B28/B24-1</f>
        <v>0.566579634464752</v>
      </c>
    </row>
    <row r="31" customFormat="false" ht="15" hidden="false" customHeight="false" outlineLevel="0" collapsed="false">
      <c r="A31" s="4" t="s">
        <v>79</v>
      </c>
      <c r="B31" s="7"/>
      <c r="C31" s="7"/>
      <c r="D31" s="7"/>
      <c r="E31" s="7"/>
      <c r="F31" s="7"/>
      <c r="G31" s="7"/>
      <c r="H31" s="7"/>
      <c r="I31" s="7"/>
      <c r="J31" s="7"/>
      <c r="K31" s="7"/>
    </row>
    <row r="33" customFormat="false" ht="30" hidden="false" customHeight="true" outlineLevel="0" collapsed="false">
      <c r="A33" s="15" t="s">
        <v>80</v>
      </c>
      <c r="B33" s="16" t="s">
        <v>81</v>
      </c>
      <c r="C33" s="16" t="s">
        <v>82</v>
      </c>
    </row>
    <row r="34" customFormat="false" ht="15" hidden="false" customHeight="false" outlineLevel="0" collapsed="false">
      <c r="A34" s="8" t="s">
        <v>83</v>
      </c>
      <c r="B34" s="21" t="n">
        <f aca="false">Inputs!B11*1</f>
        <v>143</v>
      </c>
      <c r="C34" s="26" t="n">
        <f aca="false">IRR(B44:K44)</f>
        <v>0.132935451186529</v>
      </c>
    </row>
    <row r="35" customFormat="false" ht="15" hidden="false" customHeight="false" outlineLevel="0" collapsed="false">
      <c r="A35" s="8" t="s">
        <v>84</v>
      </c>
      <c r="B35" s="21" t="n">
        <f aca="false">Inputs!B11*0.9</f>
        <v>128.7</v>
      </c>
      <c r="C35" s="25" t="n">
        <f aca="false">IRR(B45:K45)</f>
        <v>0.129878777190014</v>
      </c>
    </row>
    <row r="36" customFormat="false" ht="15" hidden="false" customHeight="false" outlineLevel="0" collapsed="false">
      <c r="A36" s="8" t="s">
        <v>85</v>
      </c>
      <c r="B36" s="21" t="n">
        <f aca="false">Inputs!B11*0.8</f>
        <v>114.4</v>
      </c>
      <c r="C36" s="25" t="n">
        <f aca="false">IRR(B46:K46)</f>
        <v>0.126745066582272</v>
      </c>
    </row>
    <row r="37" customFormat="false" ht="15" hidden="false" customHeight="false" outlineLevel="0" collapsed="false">
      <c r="A37" s="8" t="s">
        <v>86</v>
      </c>
      <c r="B37" s="21" t="n">
        <f aca="false">Inputs!B11*0.7</f>
        <v>100.1</v>
      </c>
      <c r="C37" s="25" t="n">
        <f aca="false">IRR(B47:K47)</f>
        <v>0.123529773339611</v>
      </c>
    </row>
    <row r="38" customFormat="false" ht="15" hidden="false" customHeight="false" outlineLevel="0" collapsed="false">
      <c r="A38" s="8" t="s">
        <v>87</v>
      </c>
      <c r="B38" s="21" t="n">
        <f aca="false">Inputs!B11*0.5</f>
        <v>71.5</v>
      </c>
      <c r="C38" s="25" t="n">
        <f aca="false">IRR(B48:K48)</f>
        <v>0.116834004986367</v>
      </c>
    </row>
    <row r="39" customFormat="false" ht="15" hidden="false" customHeight="false" outlineLevel="0" collapsed="false">
      <c r="A39" s="8" t="s">
        <v>88</v>
      </c>
      <c r="B39" s="21" t="n">
        <f aca="false">Inputs!B11*0</f>
        <v>0</v>
      </c>
      <c r="C39" s="25" t="n">
        <f aca="false">IRR(B49:K49)</f>
        <v>0.0982468339211412</v>
      </c>
    </row>
    <row r="41" customFormat="false" ht="15" hidden="false" customHeight="false" outlineLevel="0" collapsed="false">
      <c r="A41" s="4" t="s">
        <v>89</v>
      </c>
      <c r="B41" s="7"/>
      <c r="C41" s="7"/>
      <c r="D41" s="7"/>
      <c r="E41" s="7"/>
      <c r="F41" s="7"/>
      <c r="G41" s="7"/>
      <c r="H41" s="7"/>
      <c r="I41" s="7"/>
      <c r="J41" s="7"/>
      <c r="K41" s="7"/>
    </row>
    <row r="43" customFormat="false" ht="30" hidden="false" customHeight="true" outlineLevel="0" collapsed="false">
      <c r="A43" s="15"/>
      <c r="B43" s="16" t="s">
        <v>90</v>
      </c>
      <c r="C43" s="16" t="s">
        <v>91</v>
      </c>
      <c r="D43" s="16" t="s">
        <v>92</v>
      </c>
      <c r="E43" s="16" t="s">
        <v>93</v>
      </c>
      <c r="F43" s="16" t="s">
        <v>94</v>
      </c>
      <c r="G43" s="16" t="s">
        <v>95</v>
      </c>
      <c r="H43" s="16" t="s">
        <v>96</v>
      </c>
      <c r="I43" s="16" t="s">
        <v>97</v>
      </c>
      <c r="J43" s="16" t="s">
        <v>98</v>
      </c>
      <c r="K43" s="16" t="s">
        <v>99</v>
      </c>
    </row>
    <row r="44" customFormat="false" ht="15" hidden="false" customHeight="false" outlineLevel="0" collapsed="false">
      <c r="A44" s="8" t="s">
        <v>100</v>
      </c>
      <c r="B44" s="21" t="n">
        <f aca="false">Engine!B6</f>
        <v>-90</v>
      </c>
      <c r="C44" s="21" t="n">
        <f aca="false">Engine!C6</f>
        <v>-150</v>
      </c>
      <c r="D44" s="21" t="n">
        <f aca="false">Engine!D6</f>
        <v>-109</v>
      </c>
      <c r="E44" s="21" t="n">
        <f aca="false">Engine!E6</f>
        <v>-34</v>
      </c>
      <c r="F44" s="21" t="n">
        <f aca="false">Engine!F6</f>
        <v>77</v>
      </c>
      <c r="G44" s="21" t="n">
        <f aca="false">Engine!G6</f>
        <v>152</v>
      </c>
      <c r="H44" s="21" t="n">
        <f aca="false">Engine!H6</f>
        <v>133</v>
      </c>
      <c r="I44" s="21" t="n">
        <f aca="false">Engine!I6</f>
        <v>95</v>
      </c>
      <c r="J44" s="21" t="n">
        <f aca="false">Engine!J6</f>
        <v>86</v>
      </c>
      <c r="K44" s="21" t="n">
        <f aca="false">Engine!K6-Inputs!B11*0</f>
        <v>210</v>
      </c>
    </row>
    <row r="45" customFormat="false" ht="15" hidden="false" customHeight="false" outlineLevel="0" collapsed="false">
      <c r="A45" s="8" t="s">
        <v>101</v>
      </c>
      <c r="B45" s="21" t="n">
        <f aca="false">Engine!B6</f>
        <v>-90</v>
      </c>
      <c r="C45" s="21" t="n">
        <f aca="false">Engine!C6</f>
        <v>-150</v>
      </c>
      <c r="D45" s="21" t="n">
        <f aca="false">Engine!D6</f>
        <v>-109</v>
      </c>
      <c r="E45" s="21" t="n">
        <f aca="false">Engine!E6</f>
        <v>-34</v>
      </c>
      <c r="F45" s="21" t="n">
        <f aca="false">Engine!F6</f>
        <v>77</v>
      </c>
      <c r="G45" s="21" t="n">
        <f aca="false">Engine!G6</f>
        <v>152</v>
      </c>
      <c r="H45" s="21" t="n">
        <f aca="false">Engine!H6</f>
        <v>133</v>
      </c>
      <c r="I45" s="21" t="n">
        <f aca="false">Engine!I6</f>
        <v>95</v>
      </c>
      <c r="J45" s="21" t="n">
        <f aca="false">Engine!J6</f>
        <v>86</v>
      </c>
      <c r="K45" s="21" t="n">
        <f aca="false">Engine!K6-Inputs!B11*0.1</f>
        <v>195.7</v>
      </c>
    </row>
    <row r="46" customFormat="false" ht="15" hidden="false" customHeight="false" outlineLevel="0" collapsed="false">
      <c r="A46" s="8" t="s">
        <v>102</v>
      </c>
      <c r="B46" s="21" t="n">
        <f aca="false">Engine!B6</f>
        <v>-90</v>
      </c>
      <c r="C46" s="21" t="n">
        <f aca="false">Engine!C6</f>
        <v>-150</v>
      </c>
      <c r="D46" s="21" t="n">
        <f aca="false">Engine!D6</f>
        <v>-109</v>
      </c>
      <c r="E46" s="21" t="n">
        <f aca="false">Engine!E6</f>
        <v>-34</v>
      </c>
      <c r="F46" s="21" t="n">
        <f aca="false">Engine!F6</f>
        <v>77</v>
      </c>
      <c r="G46" s="21" t="n">
        <f aca="false">Engine!G6</f>
        <v>152</v>
      </c>
      <c r="H46" s="21" t="n">
        <f aca="false">Engine!H6</f>
        <v>133</v>
      </c>
      <c r="I46" s="21" t="n">
        <f aca="false">Engine!I6</f>
        <v>95</v>
      </c>
      <c r="J46" s="21" t="n">
        <f aca="false">Engine!J6</f>
        <v>86</v>
      </c>
      <c r="K46" s="21" t="n">
        <f aca="false">Engine!K6-Inputs!B11*0.2</f>
        <v>181.4</v>
      </c>
    </row>
    <row r="47" customFormat="false" ht="15" hidden="false" customHeight="false" outlineLevel="0" collapsed="false">
      <c r="A47" s="8" t="s">
        <v>103</v>
      </c>
      <c r="B47" s="21" t="n">
        <f aca="false">Engine!B6</f>
        <v>-90</v>
      </c>
      <c r="C47" s="21" t="n">
        <f aca="false">Engine!C6</f>
        <v>-150</v>
      </c>
      <c r="D47" s="21" t="n">
        <f aca="false">Engine!D6</f>
        <v>-109</v>
      </c>
      <c r="E47" s="21" t="n">
        <f aca="false">Engine!E6</f>
        <v>-34</v>
      </c>
      <c r="F47" s="21" t="n">
        <f aca="false">Engine!F6</f>
        <v>77</v>
      </c>
      <c r="G47" s="21" t="n">
        <f aca="false">Engine!G6</f>
        <v>152</v>
      </c>
      <c r="H47" s="21" t="n">
        <f aca="false">Engine!H6</f>
        <v>133</v>
      </c>
      <c r="I47" s="21" t="n">
        <f aca="false">Engine!I6</f>
        <v>95</v>
      </c>
      <c r="J47" s="21" t="n">
        <f aca="false">Engine!J6</f>
        <v>86</v>
      </c>
      <c r="K47" s="21" t="n">
        <f aca="false">Engine!K6-Inputs!B11*0.3</f>
        <v>167.1</v>
      </c>
    </row>
    <row r="48" customFormat="false" ht="15" hidden="false" customHeight="false" outlineLevel="0" collapsed="false">
      <c r="A48" s="8" t="s">
        <v>104</v>
      </c>
      <c r="B48" s="21" t="n">
        <f aca="false">Engine!B6</f>
        <v>-90</v>
      </c>
      <c r="C48" s="21" t="n">
        <f aca="false">Engine!C6</f>
        <v>-150</v>
      </c>
      <c r="D48" s="21" t="n">
        <f aca="false">Engine!D6</f>
        <v>-109</v>
      </c>
      <c r="E48" s="21" t="n">
        <f aca="false">Engine!E6</f>
        <v>-34</v>
      </c>
      <c r="F48" s="21" t="n">
        <f aca="false">Engine!F6</f>
        <v>77</v>
      </c>
      <c r="G48" s="21" t="n">
        <f aca="false">Engine!G6</f>
        <v>152</v>
      </c>
      <c r="H48" s="21" t="n">
        <f aca="false">Engine!H6</f>
        <v>133</v>
      </c>
      <c r="I48" s="21" t="n">
        <f aca="false">Engine!I6</f>
        <v>95</v>
      </c>
      <c r="J48" s="21" t="n">
        <f aca="false">Engine!J6</f>
        <v>86</v>
      </c>
      <c r="K48" s="21" t="n">
        <f aca="false">Engine!K6-Inputs!B11*0.5</f>
        <v>138.5</v>
      </c>
    </row>
    <row r="49" customFormat="false" ht="15" hidden="false" customHeight="false" outlineLevel="0" collapsed="false">
      <c r="A49" s="8" t="s">
        <v>105</v>
      </c>
      <c r="B49" s="21" t="n">
        <f aca="false">Engine!B6</f>
        <v>-90</v>
      </c>
      <c r="C49" s="21" t="n">
        <f aca="false">Engine!C6</f>
        <v>-150</v>
      </c>
      <c r="D49" s="21" t="n">
        <f aca="false">Engine!D6</f>
        <v>-109</v>
      </c>
      <c r="E49" s="21" t="n">
        <f aca="false">Engine!E6</f>
        <v>-34</v>
      </c>
      <c r="F49" s="21" t="n">
        <f aca="false">Engine!F6</f>
        <v>77</v>
      </c>
      <c r="G49" s="21" t="n">
        <f aca="false">Engine!G6</f>
        <v>152</v>
      </c>
      <c r="H49" s="21" t="n">
        <f aca="false">Engine!H6</f>
        <v>133</v>
      </c>
      <c r="I49" s="21" t="n">
        <f aca="false">Engine!I6</f>
        <v>95</v>
      </c>
      <c r="J49" s="21" t="n">
        <f aca="false">Engine!J6</f>
        <v>86</v>
      </c>
      <c r="K49" s="21" t="n">
        <f aca="false">Engine!K6-Inputs!B11*1</f>
        <v>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12" min="2" style="0" width="12"/>
  </cols>
  <sheetData>
    <row r="1" customFormat="false" ht="19.7" hidden="false" customHeight="false" outlineLevel="0" collapsed="false">
      <c r="A1" s="1" t="s">
        <v>106</v>
      </c>
    </row>
    <row r="2" customFormat="false" ht="15" hidden="false" customHeight="false" outlineLevel="0" collapsed="false">
      <c r="A2" s="2" t="s">
        <v>107</v>
      </c>
    </row>
    <row r="5" customFormat="false" ht="15" hidden="false" customHeight="false" outlineLevel="0" collapsed="false">
      <c r="A5" s="4" t="s">
        <v>108</v>
      </c>
    </row>
    <row r="7" customFormat="false" ht="15" hidden="false" customHeight="false" outlineLevel="0" collapsed="false">
      <c r="A7" s="8" t="s">
        <v>109</v>
      </c>
      <c r="B7" s="25" t="n">
        <f aca="false">'Multiples and the Ramp'!B10^(1/4)-1</f>
        <v>0.13440189432136</v>
      </c>
    </row>
    <row r="8" customFormat="false" ht="15" hidden="false" customHeight="false" outlineLevel="0" collapsed="false">
      <c r="A8" s="8" t="s">
        <v>110</v>
      </c>
      <c r="B8" s="25" t="n">
        <f aca="false">'Multiples and the Ramp'!B10^(1/6)-1</f>
        <v>0.087705426915897</v>
      </c>
    </row>
    <row r="9" customFormat="false" ht="15" hidden="false" customHeight="false" outlineLevel="0" collapsed="false">
      <c r="A9" s="8" t="s">
        <v>111</v>
      </c>
      <c r="B9" s="25" t="n">
        <f aca="false">'Multiples and the Ramp'!B10^(1/8)-1</f>
        <v>0.0650830457393266</v>
      </c>
    </row>
    <row r="10" customFormat="false" ht="15" hidden="false" customHeight="false" outlineLevel="0" collapsed="false">
      <c r="A10" s="8" t="s">
        <v>112</v>
      </c>
      <c r="B10" s="25" t="n">
        <f aca="false">'Multiples and the Ramp'!B10^(1/10)-1</f>
        <v>0.0517360908923603</v>
      </c>
    </row>
    <row r="11" customFormat="false" ht="15" hidden="false" customHeight="false" outlineLevel="0" collapsed="false">
      <c r="A11" s="8" t="s">
        <v>113</v>
      </c>
      <c r="B11" s="25" t="n">
        <f aca="false">'Multiples and the Ramp'!B10^(1/11)-1</f>
        <v>0.0469242319188106</v>
      </c>
    </row>
    <row r="12" customFormat="false" ht="15" hidden="false" customHeight="false" outlineLevel="0" collapsed="false">
      <c r="A12" s="8" t="s">
        <v>114</v>
      </c>
      <c r="B12" s="25" t="n">
        <f aca="false">'Multiples and the Ramp'!B10^(1/12)-1</f>
        <v>0.0429311707470905</v>
      </c>
    </row>
    <row r="13" customFormat="false" ht="15" hidden="false" customHeight="false" outlineLevel="0" collapsed="false">
      <c r="A13" s="8" t="s">
        <v>115</v>
      </c>
      <c r="B13" s="25" t="n">
        <f aca="false">'Multiples and the Ramp'!B11^(1/10)-1</f>
        <v>0.0344029202719809</v>
      </c>
    </row>
    <row r="14" customFormat="false" ht="15" hidden="false" customHeight="false" outlineLevel="0" collapsed="false">
      <c r="A14" s="8" t="s">
        <v>116</v>
      </c>
      <c r="B14" s="27" t="n">
        <f aca="false">LN('Multiples and the Ramp'!B10)/LN((Engine!B26^(1/10)))</f>
        <v>7.32281630135061</v>
      </c>
      <c r="C14" s="2" t="s">
        <v>117</v>
      </c>
    </row>
    <row r="15" customFormat="false" ht="15" hidden="false" customHeight="false" outlineLevel="0" collapsed="false">
      <c r="A15" s="8" t="s">
        <v>118</v>
      </c>
      <c r="B15" s="24" t="n">
        <f aca="false">'Multiples and the Ramp'!B14</f>
        <v>1.55666666666667</v>
      </c>
    </row>
    <row r="16" customFormat="false" ht="15" hidden="false" customHeight="false" outlineLevel="0" collapsed="false">
      <c r="A16" s="8" t="s">
        <v>119</v>
      </c>
      <c r="B16" s="25" t="n">
        <f aca="false">'Multiples and the Ramp'!B14^(1/10)-1</f>
        <v>0.0452485231116404</v>
      </c>
    </row>
    <row r="17" customFormat="false" ht="15" hidden="false" customHeight="false" outlineLevel="0" collapsed="false">
      <c r="A17" s="8" t="s">
        <v>120</v>
      </c>
      <c r="B17" s="24" t="n">
        <f aca="false">Engine!B35/Inputs!B9</f>
        <v>2.40847309602749</v>
      </c>
    </row>
    <row r="18" customFormat="false" ht="15" hidden="false" customHeight="false" outlineLevel="0" collapsed="false">
      <c r="A18" s="8" t="s">
        <v>121</v>
      </c>
      <c r="B18" s="24" t="n">
        <f aca="false">Engine!B34/Inputs!B9</f>
        <v>1.83475754431567</v>
      </c>
    </row>
    <row r="19" customFormat="false" ht="15" hidden="false" customHeight="false" outlineLevel="0" collapsed="false">
      <c r="A19" s="8" t="s">
        <v>122</v>
      </c>
      <c r="B19" s="24" t="n">
        <f aca="false">Engine!B26</f>
        <v>1.99139684503792</v>
      </c>
    </row>
    <row r="20" customFormat="false" ht="15" hidden="false" customHeight="false" outlineLevel="0" collapsed="false">
      <c r="A20" s="8" t="s">
        <v>123</v>
      </c>
      <c r="B20" s="25" t="n">
        <f aca="false">'Multiples and the Ramp'!B8/('Multiples and the Ramp'!B8+'Multiples and the Ramp'!B9)</f>
        <v>0.846895074946467</v>
      </c>
    </row>
    <row r="21" customFormat="false" ht="15" hidden="false" customHeight="false" outlineLevel="0" collapsed="false">
      <c r="A21" s="8" t="s">
        <v>124</v>
      </c>
      <c r="B21" s="25" t="n">
        <f aca="false">'Multiples and the Ramp'!B9/('Multiples and the Ramp'!B8+'Multiples and the Ramp'!B9)</f>
        <v>0.153104925053533</v>
      </c>
    </row>
    <row r="22" customFormat="false" ht="15" hidden="false" customHeight="false" outlineLevel="0" collapsed="false">
      <c r="A22" s="8" t="s">
        <v>125</v>
      </c>
      <c r="B22" s="28" t="n">
        <f aca="false">'Multiples and the Ramp'!B12/'Multiples and the Ramp'!B11</f>
        <v>0.18078381795196</v>
      </c>
    </row>
    <row r="24" customFormat="false" ht="15" hidden="false" customHeight="false" outlineLevel="0" collapsed="false">
      <c r="A24" s="4" t="s">
        <v>126</v>
      </c>
    </row>
    <row r="26" customFormat="false" ht="15" hidden="false" customHeight="false" outlineLevel="0" collapsed="false">
      <c r="A26" s="8" t="s">
        <v>127</v>
      </c>
      <c r="B26" s="29" t="n">
        <f aca="false">AVERAGE(Engine!B7:K7)</f>
        <v>108.2</v>
      </c>
    </row>
    <row r="27" customFormat="false" ht="15" hidden="false" customHeight="false" outlineLevel="0" collapsed="false">
      <c r="A27" s="8" t="s">
        <v>128</v>
      </c>
      <c r="B27" s="25" t="n">
        <f aca="false">'The Ramp in Detail'!B26/Inputs!B10</f>
        <v>0.180333333333333</v>
      </c>
    </row>
    <row r="28" customFormat="false" ht="15" hidden="false" customHeight="false" outlineLevel="0" collapsed="false">
      <c r="A28" s="8" t="s">
        <v>129</v>
      </c>
      <c r="B28" s="29" t="n">
        <f aca="false">AVERAGE(Engine!B7:F7)</f>
        <v>273.6</v>
      </c>
    </row>
    <row r="29" customFormat="false" ht="15" hidden="false" customHeight="false" outlineLevel="0" collapsed="false">
      <c r="A29" s="8" t="s">
        <v>130</v>
      </c>
      <c r="B29" s="28" t="n">
        <f aca="false">Engine!H7/Inputs!I28</f>
        <v>0.221052631578947</v>
      </c>
    </row>
    <row r="30" customFormat="false" ht="15" hidden="false" customHeight="false" outlineLevel="0" collapsed="false">
      <c r="A30" s="8" t="s">
        <v>131</v>
      </c>
      <c r="B30" s="29" t="n">
        <f aca="true">SUM(OFFSET(Inputs!B28,0,0,1,MATCH(MAX(Engine!B7:K7),Engine!B7:K7,0)))</f>
        <v>115</v>
      </c>
    </row>
    <row r="31" customFormat="false" ht="15" hidden="false" customHeight="false" outlineLevel="0" collapsed="false">
      <c r="A31" s="8" t="s">
        <v>132</v>
      </c>
      <c r="B31" s="29" t="n">
        <f aca="false">SUM(Inputs!B28:F28)</f>
        <v>258</v>
      </c>
      <c r="C31" s="2" t="s">
        <v>133</v>
      </c>
    </row>
    <row r="32" customFormat="false" ht="15" hidden="false" customHeight="false" outlineLevel="0" collapsed="false">
      <c r="A32" s="8" t="s">
        <v>134</v>
      </c>
      <c r="B32" s="27" t="n">
        <f aca="false">MAX(Inputs!B27:K27)/Inputs!F27</f>
        <v>2.27272727272727</v>
      </c>
      <c r="C32" s="2" t="s">
        <v>135</v>
      </c>
    </row>
    <row r="33" customFormat="false" ht="15" hidden="false" customHeight="false" outlineLevel="0" collapsed="false">
      <c r="A33" s="8" t="s">
        <v>136</v>
      </c>
      <c r="B33" s="25" t="n">
        <f aca="false">MAX(Inputs!B27:K27)/Inputs!B10</f>
        <v>0.25</v>
      </c>
    </row>
    <row r="34" customFormat="false" ht="15" hidden="false" customHeight="false" outlineLevel="0" collapsed="false">
      <c r="A34" s="8" t="s">
        <v>137</v>
      </c>
      <c r="B34" s="29" t="n">
        <f aca="false">'Multiples and the Ramp'!B27^2/Engine!B31</f>
        <v>638.297872340426</v>
      </c>
    </row>
    <row r="35" customFormat="false" ht="15" hidden="false" customHeight="false" outlineLevel="0" collapsed="false">
      <c r="A35" s="8" t="s">
        <v>138</v>
      </c>
      <c r="B35" s="25" t="n">
        <f aca="false">'The Ramp in Detail'!B34/Inputs!B10-1</f>
        <v>0.0638297872340425</v>
      </c>
    </row>
    <row r="37" customFormat="false" ht="15" hidden="false" customHeight="false" outlineLevel="0" collapsed="false">
      <c r="A37" s="4" t="s">
        <v>139</v>
      </c>
    </row>
    <row r="39" customFormat="false" ht="15" hidden="false" customHeight="false" outlineLevel="0" collapsed="false">
      <c r="A39" s="16"/>
      <c r="B39" s="16" t="s">
        <v>27</v>
      </c>
      <c r="C39" s="16" t="s">
        <v>28</v>
      </c>
      <c r="D39" s="16" t="s">
        <v>29</v>
      </c>
      <c r="E39" s="16" t="s">
        <v>30</v>
      </c>
      <c r="F39" s="16" t="s">
        <v>31</v>
      </c>
      <c r="G39" s="16" t="s">
        <v>32</v>
      </c>
      <c r="H39" s="16" t="s">
        <v>33</v>
      </c>
      <c r="I39" s="16" t="s">
        <v>34</v>
      </c>
      <c r="J39" s="16" t="s">
        <v>35</v>
      </c>
      <c r="K39" s="16" t="s">
        <v>36</v>
      </c>
    </row>
    <row r="40" customFormat="false" ht="15" hidden="false" customHeight="false" outlineLevel="0" collapsed="false">
      <c r="A40" s="8" t="s">
        <v>140</v>
      </c>
      <c r="B40" s="29" t="n">
        <v>0</v>
      </c>
      <c r="C40" s="29" t="n">
        <v>0</v>
      </c>
      <c r="D40" s="29" t="n">
        <f aca="false">Inputs!B28</f>
        <v>0</v>
      </c>
      <c r="E40" s="29" t="n">
        <f aca="false">Inputs!C28</f>
        <v>0</v>
      </c>
      <c r="F40" s="29" t="n">
        <f aca="false">Inputs!D28</f>
        <v>29</v>
      </c>
      <c r="G40" s="29" t="n">
        <f aca="false">Inputs!E28</f>
        <v>86</v>
      </c>
      <c r="H40" s="29" t="n">
        <f aca="false">Inputs!F28</f>
        <v>143</v>
      </c>
      <c r="I40" s="29" t="n">
        <f aca="false">Inputs!G28</f>
        <v>152</v>
      </c>
      <c r="J40" s="29" t="n">
        <f aca="false">Inputs!H28</f>
        <v>133</v>
      </c>
      <c r="K40" s="29" t="n">
        <f aca="false">Inputs!I28</f>
        <v>95</v>
      </c>
    </row>
    <row r="41" customFormat="false" ht="15" hidden="false" customHeight="false" outlineLevel="0" collapsed="false">
      <c r="A41" s="8" t="s">
        <v>141</v>
      </c>
      <c r="B41" s="29" t="n">
        <f aca="false">Inputs!B27-B40</f>
        <v>90</v>
      </c>
      <c r="C41" s="29" t="n">
        <f aca="false">B41+Inputs!C27-C40</f>
        <v>240</v>
      </c>
      <c r="D41" s="29" t="n">
        <f aca="false">C41+Inputs!D27-D40</f>
        <v>378</v>
      </c>
      <c r="E41" s="29" t="n">
        <f aca="false">D41+Inputs!E27-E40</f>
        <v>498</v>
      </c>
      <c r="F41" s="29" t="n">
        <f aca="false">E41+Inputs!F27-F40</f>
        <v>535</v>
      </c>
      <c r="G41" s="29" t="n">
        <f aca="false">F41+Inputs!G27-G40</f>
        <v>449</v>
      </c>
      <c r="H41" s="29" t="n">
        <f aca="false">G41+Inputs!H27-H40</f>
        <v>306</v>
      </c>
      <c r="I41" s="29" t="n">
        <f aca="false">H41+Inputs!I27-I40</f>
        <v>154</v>
      </c>
      <c r="J41" s="29" t="n">
        <f aca="false">I41+Inputs!J27-J40</f>
        <v>21</v>
      </c>
      <c r="K41" s="29" t="n">
        <f aca="false">J41+Inputs!K27-K40</f>
        <v>-74</v>
      </c>
    </row>
    <row r="42" customFormat="false" ht="15" hidden="false" customHeight="false" outlineLevel="0" collapsed="false">
      <c r="A42" s="8" t="s">
        <v>142</v>
      </c>
      <c r="B42" s="29" t="n">
        <f aca="false">MAX(B41:K41)</f>
        <v>535</v>
      </c>
    </row>
    <row r="43" customFormat="false" ht="15" hidden="false" customHeight="false" outlineLevel="0" collapsed="false">
      <c r="A43" s="8" t="s">
        <v>143</v>
      </c>
      <c r="B43" s="29" t="n">
        <f aca="false">'The Ramp in Detail'!B42-Engine!B36</f>
        <v>152</v>
      </c>
    </row>
    <row r="44" customFormat="false" ht="15" hidden="false" customHeight="false" outlineLevel="0" collapsed="false">
      <c r="A44" s="8" t="s">
        <v>144</v>
      </c>
      <c r="B44" s="25" t="n">
        <f aca="false">'The Ramp in Detail'!B43/Engine!B36</f>
        <v>0.396866840731071</v>
      </c>
    </row>
    <row r="46" customFormat="false" ht="15" hidden="false" customHeight="false" outlineLevel="0" collapsed="false">
      <c r="A46" s="4" t="s">
        <v>145</v>
      </c>
    </row>
    <row r="48" customFormat="false" ht="15" hidden="false" customHeight="false" outlineLevel="0" collapsed="false">
      <c r="A48" s="8" t="s">
        <v>146</v>
      </c>
      <c r="B48" s="22" t="n">
        <f aca="false">'Multiples and the Ramp'!B28/Inputs!B10</f>
        <v>1.56657963446475</v>
      </c>
    </row>
    <row r="49" customFormat="false" ht="15" hidden="false" customHeight="false" outlineLevel="0" collapsed="false">
      <c r="A49" s="16"/>
      <c r="B49" s="16" t="s">
        <v>27</v>
      </c>
      <c r="C49" s="16" t="s">
        <v>28</v>
      </c>
      <c r="D49" s="16" t="s">
        <v>29</v>
      </c>
      <c r="E49" s="16" t="s">
        <v>30</v>
      </c>
      <c r="F49" s="16" t="s">
        <v>31</v>
      </c>
      <c r="G49" s="16" t="s">
        <v>32</v>
      </c>
      <c r="H49" s="16" t="s">
        <v>33</v>
      </c>
      <c r="I49" s="16" t="s">
        <v>34</v>
      </c>
      <c r="J49" s="16" t="s">
        <v>35</v>
      </c>
      <c r="K49" s="16" t="s">
        <v>36</v>
      </c>
    </row>
    <row r="50" customFormat="false" ht="15" hidden="false" customHeight="false" outlineLevel="0" collapsed="false">
      <c r="A50" s="8" t="s">
        <v>147</v>
      </c>
      <c r="B50" s="29" t="n">
        <f aca="false">Inputs!B27*'The Ramp in Detail'!B48</f>
        <v>140.992167101828</v>
      </c>
      <c r="C50" s="29" t="n">
        <f aca="false">Inputs!C27*'The Ramp in Detail'!B48</f>
        <v>234.986945169713</v>
      </c>
      <c r="D50" s="29" t="n">
        <f aca="false">Inputs!D27*'The Ramp in Detail'!B48</f>
        <v>216.187989556136</v>
      </c>
      <c r="E50" s="29" t="n">
        <f aca="false">Inputs!E27*'The Ramp in Detail'!B48</f>
        <v>187.98955613577</v>
      </c>
      <c r="F50" s="29" t="n">
        <f aca="false">Inputs!F27*'The Ramp in Detail'!B48</f>
        <v>103.394255874674</v>
      </c>
      <c r="G50" s="29" t="n">
        <f aca="false">Inputs!G27*'The Ramp in Detail'!B48</f>
        <v>0</v>
      </c>
      <c r="H50" s="29" t="n">
        <f aca="false">Inputs!H27*'The Ramp in Detail'!B48</f>
        <v>0</v>
      </c>
      <c r="I50" s="29" t="n">
        <f aca="false">Inputs!I27*'The Ramp in Detail'!B48</f>
        <v>0</v>
      </c>
      <c r="J50" s="29" t="n">
        <f aca="false">Inputs!J27*'The Ramp in Detail'!B48</f>
        <v>0</v>
      </c>
      <c r="K50" s="29" t="n">
        <f aca="false">Inputs!K27*'The Ramp in Detail'!B48</f>
        <v>0</v>
      </c>
    </row>
    <row r="51" customFormat="false" ht="15" hidden="false" customHeight="false" outlineLevel="0" collapsed="false">
      <c r="A51" s="8" t="s">
        <v>40</v>
      </c>
      <c r="B51" s="29" t="n">
        <f aca="false">Inputs!B28*'The Ramp in Detail'!B48</f>
        <v>0</v>
      </c>
      <c r="C51" s="29" t="n">
        <f aca="false">Inputs!C28*'The Ramp in Detail'!B48</f>
        <v>0</v>
      </c>
      <c r="D51" s="29" t="n">
        <f aca="false">Inputs!D28*'The Ramp in Detail'!B48</f>
        <v>45.4308093994778</v>
      </c>
      <c r="E51" s="29" t="n">
        <f aca="false">Inputs!E28*'The Ramp in Detail'!B48</f>
        <v>134.725848563969</v>
      </c>
      <c r="F51" s="29" t="n">
        <f aca="false">Inputs!F28*'The Ramp in Detail'!B48</f>
        <v>224.02088772846</v>
      </c>
      <c r="G51" s="29" t="n">
        <f aca="false">Inputs!G28*'The Ramp in Detail'!B48</f>
        <v>238.120104438642</v>
      </c>
      <c r="H51" s="29" t="n">
        <f aca="false">Inputs!H28*'The Ramp in Detail'!B48</f>
        <v>208.355091383812</v>
      </c>
      <c r="I51" s="29" t="n">
        <f aca="false">Inputs!I28*'The Ramp in Detail'!B48</f>
        <v>148.825065274151</v>
      </c>
      <c r="J51" s="29" t="n">
        <f aca="false">Inputs!J28*'The Ramp in Detail'!B48</f>
        <v>134.725848563969</v>
      </c>
      <c r="K51" s="29" t="n">
        <f aca="false">Inputs!K28*'The Ramp in Detail'!B48</f>
        <v>104.960835509138</v>
      </c>
    </row>
    <row r="52" customFormat="false" ht="15" hidden="false" customHeight="false" outlineLevel="0" collapsed="false">
      <c r="A52" s="8" t="s">
        <v>141</v>
      </c>
      <c r="B52" s="29" t="n">
        <f aca="false">B50-B51</f>
        <v>140.992167101828</v>
      </c>
      <c r="C52" s="29" t="n">
        <f aca="false">B52+C50-C51</f>
        <v>375.97911227154</v>
      </c>
      <c r="D52" s="29" t="n">
        <f aca="false">C52+D50-D51</f>
        <v>546.736292428198</v>
      </c>
      <c r="E52" s="29" t="n">
        <f aca="false">D52+E50-E51</f>
        <v>600</v>
      </c>
      <c r="F52" s="29" t="n">
        <f aca="false">E52+F50-F51</f>
        <v>479.373368146214</v>
      </c>
      <c r="G52" s="29" t="n">
        <f aca="false">F52+G50-G51</f>
        <v>241.253263707572</v>
      </c>
      <c r="H52" s="29" t="n">
        <f aca="false">G52+H50-H51</f>
        <v>32.8981723237598</v>
      </c>
      <c r="I52" s="29" t="n">
        <f aca="false">H52+I50-I51</f>
        <v>-115.926892950392</v>
      </c>
      <c r="J52" s="29" t="n">
        <f aca="false">I52+J50-J51</f>
        <v>-250.65274151436</v>
      </c>
      <c r="K52" s="29" t="n">
        <f aca="false">J52+K50-K51</f>
        <v>-355.613577023499</v>
      </c>
    </row>
    <row r="53" customFormat="false" ht="15" hidden="false" customHeight="false" outlineLevel="0" collapsed="false">
      <c r="A53" s="8" t="s">
        <v>61</v>
      </c>
      <c r="B53" s="29" t="n">
        <f aca="false">MAX(B52:K52)</f>
        <v>600</v>
      </c>
    </row>
    <row r="54" customFormat="false" ht="15" hidden="false" customHeight="false" outlineLevel="0" collapsed="false">
      <c r="A54" s="8" t="s">
        <v>148</v>
      </c>
      <c r="B54" s="29" t="n">
        <f aca="false">SUM(B50:K50)</f>
        <v>883.55091383812</v>
      </c>
    </row>
    <row r="55" customFormat="false" ht="15" hidden="false" customHeight="false" outlineLevel="0" collapsed="false">
      <c r="A55" s="8" t="s">
        <v>149</v>
      </c>
      <c r="B55" s="29" t="n">
        <f aca="false">'Multiples and the Ramp'!B28-'The Ramp in Detail'!B54</f>
        <v>56.3968668407312</v>
      </c>
    </row>
    <row r="56" customFormat="false" ht="15" hidden="false" customHeight="false" outlineLevel="0" collapsed="false">
      <c r="A56" s="8" t="s">
        <v>150</v>
      </c>
      <c r="B56" s="25" t="n">
        <f aca="false">'Multiples and the Ramp'!B28/Inputs!B7</f>
        <v>0.469973890339426</v>
      </c>
    </row>
    <row r="57" customFormat="false" ht="15" hidden="false" customHeight="false" outlineLevel="0" collapsed="false">
      <c r="A57" s="8" t="s">
        <v>151</v>
      </c>
      <c r="B57" s="29" t="n">
        <f aca="false">AVERAGE(B52:K52)</f>
        <v>169.503916449086</v>
      </c>
    </row>
    <row r="58" customFormat="false" ht="15" hidden="false" customHeight="false" outlineLevel="0" collapsed="false">
      <c r="A58" s="8" t="s">
        <v>152</v>
      </c>
      <c r="B58" s="25" t="n">
        <f aca="false">'The Ramp in Detail'!B57/Inputs!B7</f>
        <v>0.0847519582245431</v>
      </c>
    </row>
    <row r="59" customFormat="false" ht="15" hidden="false" customHeight="false" outlineLevel="0" collapsed="false">
      <c r="A59" s="8" t="s">
        <v>153</v>
      </c>
      <c r="B59" s="29" t="n">
        <f aca="false">H52</f>
        <v>32.8981723237598</v>
      </c>
    </row>
    <row r="61" customFormat="false" ht="15" hidden="false" customHeight="false" outlineLevel="0" collapsed="false">
      <c r="A61" s="4" t="s">
        <v>154</v>
      </c>
    </row>
    <row r="63" customFormat="false" ht="15" hidden="false" customHeight="false" outlineLevel="0" collapsed="false">
      <c r="A63" s="8" t="s">
        <v>155</v>
      </c>
      <c r="B63" s="30" t="n">
        <f aca="false">0.2</f>
        <v>0.2</v>
      </c>
    </row>
    <row r="64" customFormat="false" ht="15" hidden="false" customHeight="false" outlineLevel="0" collapsed="false">
      <c r="A64" s="8" t="s">
        <v>156</v>
      </c>
      <c r="B64" s="25" t="n">
        <f aca="false">Engine!E7/Inputs!B7</f>
        <v>0.1915</v>
      </c>
    </row>
    <row r="65" customFormat="false" ht="15" hidden="false" customHeight="false" outlineLevel="0" collapsed="false">
      <c r="A65" s="8" t="s">
        <v>157</v>
      </c>
      <c r="B65" s="25" t="n">
        <f aca="false">Engine!E7/(Engine!E7+(Inputs!B7-Engine!E7)*(1-'The Ramp in Detail'!B63))</f>
        <v>0.228438506501253</v>
      </c>
    </row>
    <row r="66" customFormat="false" ht="15" hidden="false" customHeight="false" outlineLevel="0" collapsed="false">
      <c r="A66" s="8" t="s">
        <v>158</v>
      </c>
      <c r="B66" s="25" t="n">
        <f aca="false">'The Ramp in Detail'!B65-'The Ramp in Detail'!B64</f>
        <v>0.0369385065012525</v>
      </c>
    </row>
    <row r="67" customFormat="false" ht="15" hidden="false" customHeight="false" outlineLevel="0" collapsed="false">
      <c r="A67" s="8" t="s">
        <v>159</v>
      </c>
      <c r="B67" s="25" t="n">
        <f aca="false">'The Ramp in Detail'!B65/'The Ramp in Detail'!B64-1</f>
        <v>0.192890373374687</v>
      </c>
    </row>
    <row r="68" customFormat="false" ht="15" hidden="false" customHeight="false" outlineLevel="0" collapsed="false">
      <c r="A68" s="8" t="s">
        <v>160</v>
      </c>
      <c r="B68" s="25" t="n">
        <f aca="false">E52/(E52+(Inputs!B7-E52)*(1-'The Ramp in Detail'!B63))</f>
        <v>0.348837209302326</v>
      </c>
    </row>
    <row r="69" customFormat="false" ht="15" hidden="false" customHeight="false" outlineLevel="0" collapsed="false">
      <c r="A69" s="8" t="s">
        <v>161</v>
      </c>
      <c r="B69" s="25" t="n">
        <f aca="false">(E52+F50)/(E52+(Inputs!B7-E52)*(1-'The Ramp in Detail'!B63))</f>
        <v>0.408950148764345</v>
      </c>
    </row>
    <row r="70" customFormat="false" ht="15" hidden="false" customHeight="false" outlineLevel="0" collapsed="false">
      <c r="A70" s="8" t="s">
        <v>162</v>
      </c>
      <c r="B70" s="25" t="n">
        <f aca="false">(E52+F50-F51)/(E52+(Inputs!B7-E52)*(1-'The Ramp in Detail'!B63))</f>
        <v>0.278705446596636</v>
      </c>
      <c r="C70" s="2" t="s">
        <v>163</v>
      </c>
    </row>
    <row r="72" customFormat="false" ht="15" hidden="false" customHeight="false" outlineLevel="0" collapsed="false">
      <c r="A72" s="4" t="s">
        <v>164</v>
      </c>
    </row>
    <row r="74" customFormat="false" ht="15" hidden="false" customHeight="false" outlineLevel="0" collapsed="false">
      <c r="A74" s="16"/>
      <c r="B74" s="16" t="s">
        <v>90</v>
      </c>
      <c r="C74" s="16" t="s">
        <v>91</v>
      </c>
      <c r="D74" s="16" t="s">
        <v>92</v>
      </c>
      <c r="E74" s="16" t="s">
        <v>93</v>
      </c>
      <c r="F74" s="16" t="s">
        <v>94</v>
      </c>
      <c r="G74" s="16" t="s">
        <v>95</v>
      </c>
      <c r="H74" s="16" t="s">
        <v>96</v>
      </c>
      <c r="I74" s="16" t="s">
        <v>97</v>
      </c>
      <c r="J74" s="16" t="s">
        <v>98</v>
      </c>
      <c r="K74" s="16" t="s">
        <v>99</v>
      </c>
    </row>
    <row r="75" customFormat="false" ht="15" hidden="false" customHeight="false" outlineLevel="0" collapsed="false">
      <c r="A75" s="8" t="s">
        <v>165</v>
      </c>
      <c r="B75" s="29" t="n">
        <f aca="false">Engine!B6</f>
        <v>-90</v>
      </c>
      <c r="C75" s="29" t="n">
        <f aca="false">Engine!C6</f>
        <v>-150</v>
      </c>
      <c r="D75" s="29" t="n">
        <f aca="false">Engine!D6</f>
        <v>-109</v>
      </c>
      <c r="E75" s="29" t="n">
        <f aca="false">Engine!E6</f>
        <v>-34</v>
      </c>
      <c r="F75" s="29" t="n">
        <f aca="false">Engine!F6</f>
        <v>77</v>
      </c>
      <c r="G75" s="29" t="n">
        <f aca="false">Engine!G6</f>
        <v>152</v>
      </c>
      <c r="H75" s="29" t="n">
        <f aca="false">Engine!H6</f>
        <v>133</v>
      </c>
      <c r="I75" s="29" t="n">
        <f aca="false">Engine!I6</f>
        <v>95</v>
      </c>
      <c r="J75" s="29" t="n">
        <f aca="false">Engine!J6</f>
        <v>86</v>
      </c>
      <c r="K75" s="29" t="n">
        <f aca="false">Engine!K6</f>
        <v>210</v>
      </c>
    </row>
    <row r="76" customFormat="false" ht="15" hidden="false" customHeight="false" outlineLevel="0" collapsed="false">
      <c r="A76" s="8" t="s">
        <v>166</v>
      </c>
      <c r="B76" s="29" t="n">
        <f aca="false">Engine!B6</f>
        <v>-90</v>
      </c>
      <c r="C76" s="29" t="n">
        <f aca="false">Engine!C6</f>
        <v>-150</v>
      </c>
      <c r="D76" s="29" t="n">
        <f aca="false">Engine!D6</f>
        <v>-109</v>
      </c>
      <c r="E76" s="29" t="n">
        <f aca="false">Engine!E6</f>
        <v>-34</v>
      </c>
      <c r="F76" s="29" t="n">
        <f aca="false">Engine!F6+Inputs!G28</f>
        <v>229</v>
      </c>
      <c r="G76" s="29" t="n">
        <f aca="false">Engine!G6-Inputs!G28</f>
        <v>0</v>
      </c>
      <c r="H76" s="29" t="n">
        <f aca="false">Engine!H6</f>
        <v>133</v>
      </c>
      <c r="I76" s="29" t="n">
        <f aca="false">Engine!I6</f>
        <v>95</v>
      </c>
      <c r="J76" s="29" t="n">
        <f aca="false">Engine!J6</f>
        <v>86</v>
      </c>
      <c r="K76" s="29" t="n">
        <f aca="false">Engine!K6</f>
        <v>210</v>
      </c>
    </row>
    <row r="77" customFormat="false" ht="15" hidden="false" customHeight="false" outlineLevel="0" collapsed="false">
      <c r="A77" s="8" t="s">
        <v>167</v>
      </c>
      <c r="B77" s="29" t="n">
        <f aca="false">Engine!B6</f>
        <v>-90</v>
      </c>
      <c r="C77" s="29" t="n">
        <f aca="false">Engine!C6</f>
        <v>-150</v>
      </c>
      <c r="D77" s="29" t="n">
        <f aca="false">Engine!D6</f>
        <v>-109</v>
      </c>
      <c r="E77" s="29" t="n">
        <f aca="false">Engine!E6+Inputs!H28</f>
        <v>99</v>
      </c>
      <c r="F77" s="29" t="n">
        <f aca="false">Engine!F6</f>
        <v>77</v>
      </c>
      <c r="G77" s="29" t="n">
        <f aca="false">Engine!G6</f>
        <v>152</v>
      </c>
      <c r="H77" s="29" t="n">
        <f aca="false">Engine!H6-Inputs!H28</f>
        <v>0</v>
      </c>
      <c r="I77" s="29" t="n">
        <f aca="false">Engine!I6</f>
        <v>95</v>
      </c>
      <c r="J77" s="29" t="n">
        <f aca="false">Engine!J6</f>
        <v>86</v>
      </c>
      <c r="K77" s="29" t="n">
        <f aca="false">Engine!K6</f>
        <v>210</v>
      </c>
    </row>
    <row r="78" customFormat="false" ht="15" hidden="false" customHeight="false" outlineLevel="0" collapsed="false">
      <c r="A78" s="8" t="s">
        <v>168</v>
      </c>
      <c r="B78" s="25" t="n">
        <f aca="false">IRR(B76:K76)</f>
        <v>0.14032978983013</v>
      </c>
    </row>
    <row r="79" customFormat="false" ht="15" hidden="false" customHeight="false" outlineLevel="0" collapsed="false">
      <c r="A79" s="8" t="s">
        <v>169</v>
      </c>
      <c r="B79" s="25" t="n">
        <f aca="false">IRR(B77:K77)</f>
        <v>0.154270048184404</v>
      </c>
    </row>
    <row r="80" customFormat="false" ht="15" hidden="false" customHeight="false" outlineLevel="0" collapsed="false">
      <c r="A80" s="8" t="s">
        <v>170</v>
      </c>
      <c r="B80" s="25" t="n">
        <f aca="false">'The Ramp in Detail'!B79-IRR(B75:K75)</f>
        <v>0.021334596997875</v>
      </c>
    </row>
    <row r="81" customFormat="false" ht="15" hidden="false" customHeight="false" outlineLevel="0" collapsed="false">
      <c r="A81" s="8" t="s">
        <v>171</v>
      </c>
      <c r="B81" s="29" t="n">
        <f aca="false">NPV(0.12,B75:K75)</f>
        <v>18.7301062723718</v>
      </c>
    </row>
    <row r="82" customFormat="false" ht="15" hidden="false" customHeight="false" outlineLevel="0" collapsed="false">
      <c r="A82" s="8" t="s">
        <v>172</v>
      </c>
      <c r="B82" s="29" t="n">
        <f aca="false">NPV(0.13,B75:K75)</f>
        <v>4.04750786647657</v>
      </c>
    </row>
    <row r="83" customFormat="false" ht="15" hidden="false" customHeight="false" outlineLevel="0" collapsed="false">
      <c r="A83" s="8" t="s">
        <v>173</v>
      </c>
      <c r="B83" s="29" t="n">
        <f aca="false">NPV(0.14,B75:K75)</f>
        <v>-9.2828227930264</v>
      </c>
    </row>
    <row r="84" customFormat="false" ht="15" hidden="false" customHeight="false" outlineLevel="0" collapsed="false">
      <c r="A84" s="8" t="s">
        <v>174</v>
      </c>
      <c r="B84" s="29" t="n">
        <f aca="false">NPV(0.15,B75:K75)</f>
        <v>-21.3842456022587</v>
      </c>
    </row>
    <row r="85" customFormat="false" ht="15" hidden="false" customHeight="false" outlineLevel="0" collapsed="false">
      <c r="A85" s="8" t="s">
        <v>175</v>
      </c>
      <c r="B85" s="25" t="n">
        <f aca="false">IRR(B75:K75)</f>
        <v>0.132935451186529</v>
      </c>
    </row>
    <row r="86" customFormat="false" ht="15" hidden="false" customHeight="false" outlineLevel="0" collapsed="false">
      <c r="A86" s="8" t="s">
        <v>176</v>
      </c>
      <c r="B86" s="29" t="n">
        <f aca="false">Inputs!B11/(1+'The Ramp in Detail'!B85)^10</f>
        <v>41.0472787235502</v>
      </c>
    </row>
    <row r="87" customFormat="false" ht="15" hidden="false" customHeight="false" outlineLevel="0" collapsed="false">
      <c r="A87" s="8" t="s">
        <v>177</v>
      </c>
      <c r="B87" s="29" t="n">
        <f aca="false">SUMPRODUCT((B75:K75&gt;0)*B75:K75/(1+'The Ramp in Detail'!B85)^(COLUMN(B75:K75)-1))</f>
        <v>291.898050226753</v>
      </c>
    </row>
    <row r="88" customFormat="false" ht="15" hidden="false" customHeight="false" outlineLevel="0" collapsed="false">
      <c r="A88" s="8" t="s">
        <v>178</v>
      </c>
      <c r="B88" s="25" t="n">
        <f aca="false">'The Ramp in Detail'!B86/'The Ramp in Detail'!B87</f>
        <v>0.140621969525537</v>
      </c>
    </row>
    <row r="89" customFormat="false" ht="15" hidden="false" customHeight="false" outlineLevel="0" collapsed="false">
      <c r="A89" s="8" t="s">
        <v>179</v>
      </c>
      <c r="B89" s="25" t="n">
        <f aca="false">'Multiples and the Ramp'!C34-'Multiples and the Ramp'!C39</f>
        <v>0.0346886172653875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58"/>
    <col collapsed="false" customWidth="true" hidden="false" outlineLevel="0" max="4" min="3" style="0" width="13"/>
    <col collapsed="false" customWidth="true" hidden="false" outlineLevel="0" max="5" min="5" style="0" width="12"/>
    <col collapsed="false" customWidth="true" hidden="false" outlineLevel="0" max="6" min="6" style="0" width="10"/>
    <col collapsed="false" customWidth="true" hidden="false" outlineLevel="0" max="7" min="7" style="0" width="9"/>
    <col collapsed="false" customWidth="true" hidden="false" outlineLevel="0" max="8" min="8" style="0" width="60"/>
  </cols>
  <sheetData>
    <row r="1" customFormat="false" ht="19.7" hidden="false" customHeight="false" outlineLevel="0" collapsed="false">
      <c r="A1" s="31" t="s">
        <v>180</v>
      </c>
    </row>
    <row r="2" customFormat="false" ht="15" hidden="false" customHeight="false" outlineLevel="0" collapsed="false">
      <c r="A2" s="2" t="s">
        <v>181</v>
      </c>
    </row>
    <row r="5" customFormat="false" ht="15" hidden="false" customHeight="false" outlineLevel="0" collapsed="false">
      <c r="A5" s="32" t="s">
        <v>182</v>
      </c>
      <c r="B5" s="32" t="s">
        <v>183</v>
      </c>
      <c r="C5" s="32" t="s">
        <v>184</v>
      </c>
      <c r="D5" s="32" t="s">
        <v>185</v>
      </c>
      <c r="E5" s="32" t="s">
        <v>186</v>
      </c>
      <c r="F5" s="32" t="s">
        <v>187</v>
      </c>
      <c r="G5" s="32" t="s">
        <v>188</v>
      </c>
      <c r="H5" s="32" t="s">
        <v>189</v>
      </c>
    </row>
    <row r="6" customFormat="false" ht="15" hidden="false" customHeight="false" outlineLevel="0" collapsed="false">
      <c r="A6" s="8" t="s">
        <v>190</v>
      </c>
      <c r="B6" s="8" t="s">
        <v>66</v>
      </c>
      <c r="C6" s="28" t="n">
        <v>1.656</v>
      </c>
      <c r="D6" s="28" t="n">
        <f aca="false">'Multiples and the Ramp'!B10</f>
        <v>1.65602836879433</v>
      </c>
      <c r="E6" s="28" t="n">
        <f aca="false">D6-C6</f>
        <v>2.83687943263278E-005</v>
      </c>
      <c r="F6" s="8" t="n">
        <v>5E-005</v>
      </c>
      <c r="G6" s="8" t="str">
        <f aca="false">IF(ISNUMBER(D6),IF(ABS(E6)&lt;=F6,"PASS","FAIL"),"FAIL")</f>
        <v>PASS</v>
      </c>
      <c r="H6" s="8"/>
    </row>
    <row r="7" customFormat="false" ht="15" hidden="false" customHeight="false" outlineLevel="0" collapsed="false">
      <c r="A7" s="33" t="s">
        <v>190</v>
      </c>
      <c r="B7" s="33" t="s">
        <v>67</v>
      </c>
      <c r="C7" s="34" t="n">
        <v>1.4025</v>
      </c>
      <c r="D7" s="34" t="n">
        <f aca="false">'Multiples and the Ramp'!B11</f>
        <v>1.40248226950355</v>
      </c>
      <c r="E7" s="34" t="n">
        <f aca="false">D7-C7</f>
        <v>-1.77304964539271E-005</v>
      </c>
      <c r="F7" s="33" t="n">
        <v>5E-005</v>
      </c>
      <c r="G7" s="33" t="str">
        <f aca="false">IF(ISNUMBER(D7),IF(ABS(E7)&lt;=F7,"PASS","FAIL"),"FAIL")</f>
        <v>PASS</v>
      </c>
      <c r="H7" s="33"/>
    </row>
    <row r="8" customFormat="false" ht="15" hidden="false" customHeight="false" outlineLevel="0" collapsed="false">
      <c r="A8" s="8" t="s">
        <v>190</v>
      </c>
      <c r="B8" s="8" t="s">
        <v>68</v>
      </c>
      <c r="C8" s="28" t="n">
        <v>0.2535</v>
      </c>
      <c r="D8" s="28" t="n">
        <f aca="false">'Multiples and the Ramp'!B12</f>
        <v>0.25354609929078</v>
      </c>
      <c r="E8" s="28" t="n">
        <f aca="false">D8-C8</f>
        <v>4.60992907801439E-005</v>
      </c>
      <c r="F8" s="8" t="n">
        <v>5E-005</v>
      </c>
      <c r="G8" s="8" t="str">
        <f aca="false">IF(ISNUMBER(D8),IF(ABS(E8)&lt;=F8,"PASS","FAIL"),"FAIL")</f>
        <v>PASS</v>
      </c>
      <c r="H8" s="8"/>
    </row>
    <row r="9" customFormat="false" ht="15" hidden="false" customHeight="false" outlineLevel="0" collapsed="false">
      <c r="A9" s="33" t="s">
        <v>191</v>
      </c>
      <c r="B9" s="33" t="s">
        <v>56</v>
      </c>
      <c r="C9" s="35" t="n">
        <v>564</v>
      </c>
      <c r="D9" s="35" t="n">
        <f aca="false">'Multiples and the Ramp'!B7</f>
        <v>564</v>
      </c>
      <c r="E9" s="35" t="n">
        <f aca="false">D9-C9</f>
        <v>0</v>
      </c>
      <c r="F9" s="33" t="n">
        <v>0.005</v>
      </c>
      <c r="G9" s="33" t="str">
        <f aca="false">IF(ISNUMBER(D9),IF(ABS(E9)&lt;=F9,"PASS","FAIL"),"FAIL")</f>
        <v>PASS</v>
      </c>
      <c r="H9" s="33"/>
    </row>
    <row r="10" customFormat="false" ht="15" hidden="false" customHeight="false" outlineLevel="0" collapsed="false">
      <c r="A10" s="8" t="s">
        <v>191</v>
      </c>
      <c r="B10" s="8" t="s">
        <v>57</v>
      </c>
      <c r="C10" s="29" t="n">
        <v>791</v>
      </c>
      <c r="D10" s="29" t="n">
        <f aca="false">'Multiples and the Ramp'!B8</f>
        <v>791</v>
      </c>
      <c r="E10" s="29" t="n">
        <f aca="false">D10-C10</f>
        <v>0</v>
      </c>
      <c r="F10" s="8" t="n">
        <v>0.005</v>
      </c>
      <c r="G10" s="8" t="str">
        <f aca="false">IF(ISNUMBER(D10),IF(ABS(E10)&lt;=F10,"PASS","FAIL"),"FAIL")</f>
        <v>PASS</v>
      </c>
      <c r="H10" s="8"/>
    </row>
    <row r="11" customFormat="false" ht="15" hidden="false" customHeight="false" outlineLevel="0" collapsed="false">
      <c r="A11" s="33" t="s">
        <v>192</v>
      </c>
      <c r="B11" s="33" t="s">
        <v>193</v>
      </c>
      <c r="C11" s="35" t="n">
        <v>240</v>
      </c>
      <c r="D11" s="35" t="n">
        <f aca="false">'Multiples and the Ramp'!C19</f>
        <v>240</v>
      </c>
      <c r="E11" s="35" t="n">
        <f aca="false">D11-C11</f>
        <v>0</v>
      </c>
      <c r="F11" s="33" t="n">
        <v>0.005</v>
      </c>
      <c r="G11" s="33" t="str">
        <f aca="false">IF(ISNUMBER(D11),IF(ABS(E11)&lt;=F11,"PASS","FAIL"),"FAIL")</f>
        <v>PASS</v>
      </c>
      <c r="H11" s="33"/>
    </row>
    <row r="12" customFormat="false" ht="15" hidden="false" customHeight="false" outlineLevel="0" collapsed="false">
      <c r="A12" s="8" t="s">
        <v>192</v>
      </c>
      <c r="B12" s="8" t="s">
        <v>194</v>
      </c>
      <c r="C12" s="29" t="n">
        <v>383</v>
      </c>
      <c r="D12" s="29" t="n">
        <f aca="false">'Multiples and the Ramp'!E19</f>
        <v>383</v>
      </c>
      <c r="E12" s="29" t="n">
        <f aca="false">D12-C12</f>
        <v>0</v>
      </c>
      <c r="F12" s="8" t="n">
        <v>0.005</v>
      </c>
      <c r="G12" s="8" t="str">
        <f aca="false">IF(ISNUMBER(D12),IF(ABS(E12)&lt;=F12,"PASS","FAIL"),"FAIL")</f>
        <v>PASS</v>
      </c>
      <c r="H12" s="8"/>
    </row>
    <row r="13" customFormat="false" ht="15" hidden="false" customHeight="false" outlineLevel="0" collapsed="false">
      <c r="A13" s="33" t="s">
        <v>192</v>
      </c>
      <c r="B13" s="33" t="s">
        <v>195</v>
      </c>
      <c r="C13" s="35" t="n">
        <v>21</v>
      </c>
      <c r="D13" s="35" t="n">
        <f aca="false">'Multiples and the Ramp'!H19</f>
        <v>21</v>
      </c>
      <c r="E13" s="35" t="n">
        <f aca="false">D13-C13</f>
        <v>0</v>
      </c>
      <c r="F13" s="33" t="n">
        <v>0.005</v>
      </c>
      <c r="G13" s="33" t="str">
        <f aca="false">IF(ISNUMBER(D13),IF(ABS(E13)&lt;=F13,"PASS","FAIL"),"FAIL")</f>
        <v>PASS</v>
      </c>
      <c r="H13" s="33"/>
    </row>
    <row r="14" customFormat="false" ht="15" hidden="false" customHeight="false" outlineLevel="0" collapsed="false">
      <c r="A14" s="8" t="s">
        <v>192</v>
      </c>
      <c r="B14" s="8" t="s">
        <v>196</v>
      </c>
      <c r="C14" s="29" t="n">
        <v>-227</v>
      </c>
      <c r="D14" s="29" t="n">
        <f aca="false">'Multiples and the Ramp'!K19</f>
        <v>-227</v>
      </c>
      <c r="E14" s="29" t="n">
        <f aca="false">D14-C14</f>
        <v>0</v>
      </c>
      <c r="F14" s="8" t="n">
        <v>0.005</v>
      </c>
      <c r="G14" s="8" t="str">
        <f aca="false">IF(ISNUMBER(D14),IF(ABS(E14)&lt;=F14,"PASS","FAIL"),"FAIL")</f>
        <v>PASS</v>
      </c>
      <c r="H14" s="8"/>
    </row>
    <row r="15" customFormat="false" ht="15" hidden="false" customHeight="false" outlineLevel="0" collapsed="false">
      <c r="A15" s="33" t="s">
        <v>197</v>
      </c>
      <c r="B15" s="33" t="s">
        <v>61</v>
      </c>
      <c r="C15" s="35" t="n">
        <v>383</v>
      </c>
      <c r="D15" s="35" t="n">
        <f aca="false">'Multiples and the Ramp'!B23</f>
        <v>383</v>
      </c>
      <c r="E15" s="35" t="n">
        <f aca="false">D15-C15</f>
        <v>0</v>
      </c>
      <c r="F15" s="33" t="n">
        <v>0.005</v>
      </c>
      <c r="G15" s="33" t="str">
        <f aca="false">IF(ISNUMBER(D15),IF(ABS(E15)&lt;=F15,"PASS","FAIL"),"FAIL")</f>
        <v>PASS</v>
      </c>
      <c r="H15" s="33"/>
    </row>
    <row r="16" customFormat="false" ht="15" hidden="false" customHeight="false" outlineLevel="0" collapsed="false">
      <c r="A16" s="8" t="s">
        <v>197</v>
      </c>
      <c r="B16" s="8" t="s">
        <v>76</v>
      </c>
      <c r="C16" s="25" t="n">
        <v>0.361667</v>
      </c>
      <c r="D16" s="25" t="n">
        <f aca="false">'Multiples and the Ramp'!B26</f>
        <v>0.361666666666667</v>
      </c>
      <c r="E16" s="25" t="n">
        <f aca="false">D16-C16</f>
        <v>-3.33333333324415E-007</v>
      </c>
      <c r="F16" s="8" t="n">
        <v>5E-007</v>
      </c>
      <c r="G16" s="8" t="str">
        <f aca="false">IF(ISNUMBER(D16),IF(ABS(E16)&lt;=F16,"PASS","FAIL"),"FAIL")</f>
        <v>PASS</v>
      </c>
      <c r="H16" s="8"/>
    </row>
    <row r="17" customFormat="false" ht="15" hidden="false" customHeight="false" outlineLevel="0" collapsed="false">
      <c r="A17" s="33" t="s">
        <v>197</v>
      </c>
      <c r="B17" s="33" t="s">
        <v>78</v>
      </c>
      <c r="C17" s="35" t="n">
        <v>939.95</v>
      </c>
      <c r="D17" s="35" t="n">
        <f aca="false">'Multiples and the Ramp'!B28</f>
        <v>939.947780678851</v>
      </c>
      <c r="E17" s="35" t="n">
        <f aca="false">D17-C17</f>
        <v>-0.00221932114891388</v>
      </c>
      <c r="F17" s="33" t="n">
        <v>0.005</v>
      </c>
      <c r="G17" s="33" t="str">
        <f aca="false">IF(ISNUMBER(D17),IF(ABS(E17)&lt;=F17,"PASS","FAIL"),"FAIL")</f>
        <v>PASS</v>
      </c>
      <c r="H17" s="33"/>
    </row>
    <row r="18" customFormat="false" ht="15" hidden="false" customHeight="false" outlineLevel="0" collapsed="false">
      <c r="A18" s="8" t="s">
        <v>197</v>
      </c>
      <c r="B18" s="8" t="s">
        <v>73</v>
      </c>
      <c r="C18" s="25" t="n">
        <v>0.56658</v>
      </c>
      <c r="D18" s="25" t="n">
        <f aca="false">'Multiples and the Ramp'!B29</f>
        <v>0.566579634464752</v>
      </c>
      <c r="E18" s="25" t="n">
        <f aca="false">D18-C18</f>
        <v>-3.65535248181281E-007</v>
      </c>
      <c r="F18" s="8" t="n">
        <v>5E-006</v>
      </c>
      <c r="G18" s="8" t="str">
        <f aca="false">IF(ISNUMBER(D18),IF(ABS(E18)&lt;=F18,"PASS","FAIL"),"FAIL")</f>
        <v>PASS</v>
      </c>
      <c r="H18" s="8"/>
    </row>
    <row r="19" customFormat="false" ht="15" hidden="false" customHeight="false" outlineLevel="0" collapsed="false">
      <c r="A19" s="33" t="s">
        <v>198</v>
      </c>
      <c r="B19" s="33" t="s">
        <v>199</v>
      </c>
      <c r="C19" s="36" t="n">
        <v>0.132935</v>
      </c>
      <c r="D19" s="36" t="n">
        <f aca="false">'Multiples and the Ramp'!C34</f>
        <v>0.132935451186529</v>
      </c>
      <c r="E19" s="36" t="n">
        <f aca="false">D19-C19</f>
        <v>4.51186528749314E-007</v>
      </c>
      <c r="F19" s="33" t="n">
        <v>5E-007</v>
      </c>
      <c r="G19" s="33" t="str">
        <f aca="false">IF(ISNUMBER(D19),IF(ABS(E19)&lt;=F19,"PASS","FAIL"),"FAIL")</f>
        <v>PASS</v>
      </c>
      <c r="H19" s="33"/>
    </row>
    <row r="20" customFormat="false" ht="15" hidden="false" customHeight="false" outlineLevel="0" collapsed="false">
      <c r="A20" s="8" t="s">
        <v>190</v>
      </c>
      <c r="B20" s="8" t="s">
        <v>200</v>
      </c>
      <c r="C20" s="25" t="n">
        <v>0.051736</v>
      </c>
      <c r="D20" s="25" t="n">
        <f aca="false">'The Ramp in Detail'!B10</f>
        <v>0.0517360908923603</v>
      </c>
      <c r="E20" s="25" t="n">
        <f aca="false">D20-C20</f>
        <v>9.0892360311845E-008</v>
      </c>
      <c r="F20" s="8" t="n">
        <v>5E-007</v>
      </c>
      <c r="G20" s="8" t="str">
        <f aca="false">IF(ISNUMBER(D20),IF(ABS(E20)&lt;=F20,"PASS","FAIL"),"FAIL")</f>
        <v>PASS</v>
      </c>
      <c r="H20" s="8"/>
    </row>
    <row r="21" customFormat="false" ht="15" hidden="false" customHeight="false" outlineLevel="0" collapsed="false">
      <c r="A21" s="33" t="s">
        <v>190</v>
      </c>
      <c r="B21" s="33" t="s">
        <v>201</v>
      </c>
      <c r="C21" s="36" t="n">
        <v>0.134402</v>
      </c>
      <c r="D21" s="36" t="n">
        <f aca="false">'The Ramp in Detail'!B7</f>
        <v>0.13440189432136</v>
      </c>
      <c r="E21" s="36" t="n">
        <f aca="false">D21-C21</f>
        <v>-1.05678639700235E-007</v>
      </c>
      <c r="F21" s="33" t="n">
        <v>5E-007</v>
      </c>
      <c r="G21" s="33" t="str">
        <f aca="false">IF(ISNUMBER(D21),IF(ABS(E21)&lt;=F21,"PASS","FAIL"),"FAIL")</f>
        <v>PASS</v>
      </c>
      <c r="H21" s="33"/>
    </row>
    <row r="22" customFormat="false" ht="15" hidden="false" customHeight="false" outlineLevel="0" collapsed="false">
      <c r="A22" s="8" t="s">
        <v>190</v>
      </c>
      <c r="B22" s="8" t="s">
        <v>202</v>
      </c>
      <c r="C22" s="25" t="n">
        <v>0.087705</v>
      </c>
      <c r="D22" s="25" t="n">
        <f aca="false">'The Ramp in Detail'!B8</f>
        <v>0.087705426915897</v>
      </c>
      <c r="E22" s="25" t="n">
        <f aca="false">D22-C22</f>
        <v>4.2691589699495E-007</v>
      </c>
      <c r="F22" s="8" t="n">
        <v>5E-007</v>
      </c>
      <c r="G22" s="8" t="str">
        <f aca="false">IF(ISNUMBER(D22),IF(ABS(E22)&lt;=F22,"PASS","FAIL"),"FAIL")</f>
        <v>PASS</v>
      </c>
      <c r="H22" s="8"/>
    </row>
    <row r="23" customFormat="false" ht="15" hidden="false" customHeight="false" outlineLevel="0" collapsed="false">
      <c r="A23" s="33" t="s">
        <v>190</v>
      </c>
      <c r="B23" s="33" t="s">
        <v>203</v>
      </c>
      <c r="C23" s="36" t="n">
        <v>0.065083</v>
      </c>
      <c r="D23" s="36" t="n">
        <f aca="false">'The Ramp in Detail'!B9</f>
        <v>0.0650830457393266</v>
      </c>
      <c r="E23" s="36" t="n">
        <f aca="false">D23-C23</f>
        <v>4.57393265484996E-008</v>
      </c>
      <c r="F23" s="33" t="n">
        <v>5E-007</v>
      </c>
      <c r="G23" s="33" t="str">
        <f aca="false">IF(ISNUMBER(D23),IF(ABS(E23)&lt;=F23,"PASS","FAIL"),"FAIL")</f>
        <v>PASS</v>
      </c>
      <c r="H23" s="33"/>
    </row>
    <row r="24" customFormat="false" ht="15" hidden="false" customHeight="false" outlineLevel="0" collapsed="false">
      <c r="A24" s="8" t="s">
        <v>190</v>
      </c>
      <c r="B24" s="8" t="s">
        <v>204</v>
      </c>
      <c r="C24" s="25" t="n">
        <v>0.046924</v>
      </c>
      <c r="D24" s="25" t="n">
        <f aca="false">'The Ramp in Detail'!B11</f>
        <v>0.0469242319188106</v>
      </c>
      <c r="E24" s="25" t="n">
        <f aca="false">D24-C24</f>
        <v>2.31918810565668E-007</v>
      </c>
      <c r="F24" s="8" t="n">
        <v>5E-007</v>
      </c>
      <c r="G24" s="8" t="str">
        <f aca="false">IF(ISNUMBER(D24),IF(ABS(E24)&lt;=F24,"PASS","FAIL"),"FAIL")</f>
        <v>PASS</v>
      </c>
      <c r="H24" s="8"/>
    </row>
    <row r="25" customFormat="false" ht="15" hidden="false" customHeight="false" outlineLevel="0" collapsed="false">
      <c r="A25" s="33" t="s">
        <v>190</v>
      </c>
      <c r="B25" s="33" t="s">
        <v>205</v>
      </c>
      <c r="C25" s="36" t="n">
        <v>0.042931</v>
      </c>
      <c r="D25" s="36" t="n">
        <f aca="false">'The Ramp in Detail'!B12</f>
        <v>0.0429311707470905</v>
      </c>
      <c r="E25" s="36" t="n">
        <f aca="false">D25-C25</f>
        <v>1.70747090522116E-007</v>
      </c>
      <c r="F25" s="33" t="n">
        <v>5E-007</v>
      </c>
      <c r="G25" s="33" t="str">
        <f aca="false">IF(ISNUMBER(D25),IF(ABS(E25)&lt;=F25,"PASS","FAIL"),"FAIL")</f>
        <v>PASS</v>
      </c>
      <c r="H25" s="33"/>
    </row>
    <row r="26" customFormat="false" ht="15" hidden="false" customHeight="false" outlineLevel="0" collapsed="false">
      <c r="A26" s="8" t="s">
        <v>206</v>
      </c>
      <c r="B26" s="8" t="s">
        <v>207</v>
      </c>
      <c r="C26" s="25" t="n">
        <v>0.034403</v>
      </c>
      <c r="D26" s="25" t="n">
        <f aca="false">'The Ramp in Detail'!B13</f>
        <v>0.0344029202719809</v>
      </c>
      <c r="E26" s="25" t="n">
        <f aca="false">D26-C26</f>
        <v>-7.97280191172645E-008</v>
      </c>
      <c r="F26" s="8" t="n">
        <v>5E-007</v>
      </c>
      <c r="G26" s="8" t="str">
        <f aca="false">IF(ISNUMBER(D26),IF(ABS(E26)&lt;=F26,"PASS","FAIL"),"FAIL")</f>
        <v>PASS</v>
      </c>
      <c r="H26" s="8" t="s">
        <v>208</v>
      </c>
    </row>
    <row r="27" customFormat="false" ht="15" hidden="false" customHeight="false" outlineLevel="0" collapsed="false">
      <c r="A27" s="33" t="s">
        <v>190</v>
      </c>
      <c r="B27" s="33" t="s">
        <v>116</v>
      </c>
      <c r="C27" s="37" t="n">
        <v>7.32</v>
      </c>
      <c r="D27" s="37" t="n">
        <f aca="false">'The Ramp in Detail'!B14</f>
        <v>7.32281630135061</v>
      </c>
      <c r="E27" s="37" t="n">
        <f aca="false">D27-C27</f>
        <v>0.00281630135060595</v>
      </c>
      <c r="F27" s="33" t="n">
        <v>0.005</v>
      </c>
      <c r="G27" s="33" t="str">
        <f aca="false">IF(ISNUMBER(D27),IF(ABS(E27)&lt;=F27,"PASS","FAIL"),"FAIL")</f>
        <v>PASS</v>
      </c>
      <c r="H27" s="33" t="s">
        <v>117</v>
      </c>
    </row>
    <row r="28" customFormat="false" ht="15" hidden="false" customHeight="false" outlineLevel="0" collapsed="false">
      <c r="A28" s="8" t="s">
        <v>190</v>
      </c>
      <c r="B28" s="8" t="s">
        <v>118</v>
      </c>
      <c r="C28" s="28" t="n">
        <v>1.5567</v>
      </c>
      <c r="D28" s="28" t="n">
        <f aca="false">'The Ramp in Detail'!B15</f>
        <v>1.55666666666667</v>
      </c>
      <c r="E28" s="28" t="n">
        <f aca="false">D28-C28</f>
        <v>-3.33333333333297E-005</v>
      </c>
      <c r="F28" s="8" t="n">
        <v>5E-005</v>
      </c>
      <c r="G28" s="8" t="str">
        <f aca="false">IF(ISNUMBER(D28),IF(ABS(E28)&lt;=F28,"PASS","FAIL"),"FAIL")</f>
        <v>PASS</v>
      </c>
      <c r="H28" s="8"/>
    </row>
    <row r="29" customFormat="false" ht="15" hidden="false" customHeight="false" outlineLevel="0" collapsed="false">
      <c r="A29" s="33" t="s">
        <v>190</v>
      </c>
      <c r="B29" s="33" t="s">
        <v>209</v>
      </c>
      <c r="C29" s="36" t="n">
        <v>0.045249</v>
      </c>
      <c r="D29" s="36" t="n">
        <f aca="false">'The Ramp in Detail'!B16</f>
        <v>0.0452485231116404</v>
      </c>
      <c r="E29" s="36" t="n">
        <f aca="false">D29-C29</f>
        <v>-4.76888359593475E-007</v>
      </c>
      <c r="F29" s="33" t="n">
        <v>5E-007</v>
      </c>
      <c r="G29" s="33" t="str">
        <f aca="false">IF(ISNUMBER(D29),IF(ABS(E29)&lt;=F29,"PASS","FAIL"),"FAIL")</f>
        <v>PASS</v>
      </c>
      <c r="H29" s="33"/>
    </row>
    <row r="30" customFormat="false" ht="15" hidden="false" customHeight="false" outlineLevel="0" collapsed="false">
      <c r="A30" s="8" t="s">
        <v>190</v>
      </c>
      <c r="B30" s="8" t="s">
        <v>210</v>
      </c>
      <c r="C30" s="28" t="n">
        <v>2.4085</v>
      </c>
      <c r="D30" s="28" t="n">
        <f aca="false">'The Ramp in Detail'!B17</f>
        <v>2.40847309602749</v>
      </c>
      <c r="E30" s="28" t="n">
        <f aca="false">D30-C30</f>
        <v>-2.6903972507597E-005</v>
      </c>
      <c r="F30" s="8" t="n">
        <v>5E-005</v>
      </c>
      <c r="G30" s="8" t="str">
        <f aca="false">IF(ISNUMBER(D30),IF(ABS(E30)&lt;=F30,"PASS","FAIL"),"FAIL")</f>
        <v>PASS</v>
      </c>
      <c r="H30" s="8"/>
    </row>
    <row r="31" customFormat="false" ht="15" hidden="false" customHeight="false" outlineLevel="0" collapsed="false">
      <c r="A31" s="33" t="s">
        <v>190</v>
      </c>
      <c r="B31" s="33" t="s">
        <v>211</v>
      </c>
      <c r="C31" s="34" t="n">
        <v>1.8348</v>
      </c>
      <c r="D31" s="34" t="n">
        <f aca="false">'The Ramp in Detail'!B18</f>
        <v>1.83475754431567</v>
      </c>
      <c r="E31" s="34" t="n">
        <f aca="false">D31-C31</f>
        <v>-4.24556843297008E-005</v>
      </c>
      <c r="F31" s="33" t="n">
        <v>5E-005</v>
      </c>
      <c r="G31" s="33" t="str">
        <f aca="false">IF(ISNUMBER(D31),IF(ABS(E31)&lt;=F31,"PASS","FAIL"),"FAIL")</f>
        <v>PASS</v>
      </c>
      <c r="H31" s="33"/>
    </row>
    <row r="32" customFormat="false" ht="15" hidden="false" customHeight="false" outlineLevel="0" collapsed="false">
      <c r="A32" s="8" t="s">
        <v>190</v>
      </c>
      <c r="B32" s="8" t="s">
        <v>212</v>
      </c>
      <c r="C32" s="28" t="n">
        <v>1.9914</v>
      </c>
      <c r="D32" s="28" t="n">
        <f aca="false">'The Ramp in Detail'!B19</f>
        <v>1.99139684503792</v>
      </c>
      <c r="E32" s="28" t="n">
        <f aca="false">D32-C32</f>
        <v>-3.15496207914379E-006</v>
      </c>
      <c r="F32" s="8" t="n">
        <v>5E-005</v>
      </c>
      <c r="G32" s="8" t="str">
        <f aca="false">IF(ISNUMBER(D32),IF(ABS(E32)&lt;=F32,"PASS","FAIL"),"FAIL")</f>
        <v>PASS</v>
      </c>
      <c r="H32" s="8"/>
    </row>
    <row r="33" customFormat="false" ht="15" hidden="false" customHeight="false" outlineLevel="0" collapsed="false">
      <c r="A33" s="33" t="s">
        <v>190</v>
      </c>
      <c r="B33" s="33" t="s">
        <v>213</v>
      </c>
      <c r="C33" s="36" t="n">
        <v>0.846895</v>
      </c>
      <c r="D33" s="36" t="n">
        <f aca="false">'The Ramp in Detail'!B20</f>
        <v>0.846895074946467</v>
      </c>
      <c r="E33" s="36" t="n">
        <f aca="false">D33-C33</f>
        <v>7.49464668103883E-008</v>
      </c>
      <c r="F33" s="33" t="n">
        <v>5E-007</v>
      </c>
      <c r="G33" s="33" t="str">
        <f aca="false">IF(ISNUMBER(D33),IF(ABS(E33)&lt;=F33,"PASS","FAIL"),"FAIL")</f>
        <v>PASS</v>
      </c>
      <c r="H33" s="33" t="s">
        <v>214</v>
      </c>
    </row>
    <row r="34" customFormat="false" ht="15" hidden="false" customHeight="false" outlineLevel="0" collapsed="false">
      <c r="A34" s="8" t="s">
        <v>190</v>
      </c>
      <c r="B34" s="8" t="s">
        <v>215</v>
      </c>
      <c r="C34" s="25" t="n">
        <v>0.153105</v>
      </c>
      <c r="D34" s="25" t="n">
        <f aca="false">'The Ramp in Detail'!B21</f>
        <v>0.153104925053533</v>
      </c>
      <c r="E34" s="25" t="n">
        <f aca="false">D34-C34</f>
        <v>-7.49464668103883E-008</v>
      </c>
      <c r="F34" s="8" t="n">
        <v>5E-007</v>
      </c>
      <c r="G34" s="8" t="str">
        <f aca="false">IF(ISNUMBER(D34),IF(ABS(E34)&lt;=F34,"PASS","FAIL"),"FAIL")</f>
        <v>PASS</v>
      </c>
      <c r="H34" s="8" t="s">
        <v>216</v>
      </c>
    </row>
    <row r="35" customFormat="false" ht="15" hidden="false" customHeight="false" outlineLevel="0" collapsed="false">
      <c r="A35" s="33" t="s">
        <v>190</v>
      </c>
      <c r="B35" s="33" t="s">
        <v>217</v>
      </c>
      <c r="C35" s="34" t="n">
        <v>0.1808</v>
      </c>
      <c r="D35" s="34" t="n">
        <f aca="false">'The Ramp in Detail'!B22</f>
        <v>0.18078381795196</v>
      </c>
      <c r="E35" s="34" t="n">
        <f aca="false">D35-C35</f>
        <v>-1.61820480404362E-005</v>
      </c>
      <c r="F35" s="33" t="n">
        <v>5E-005</v>
      </c>
      <c r="G35" s="33" t="str">
        <f aca="false">IF(ISNUMBER(D35),IF(ABS(E35)&lt;=F35,"PASS","FAIL"),"FAIL")</f>
        <v>PASS</v>
      </c>
      <c r="H35" s="33"/>
    </row>
    <row r="36" customFormat="false" ht="15" hidden="false" customHeight="false" outlineLevel="0" collapsed="false">
      <c r="A36" s="8" t="s">
        <v>197</v>
      </c>
      <c r="B36" s="8" t="s">
        <v>151</v>
      </c>
      <c r="C36" s="29" t="n">
        <v>108.2</v>
      </c>
      <c r="D36" s="29" t="n">
        <f aca="false">'The Ramp in Detail'!B26</f>
        <v>108.2</v>
      </c>
      <c r="E36" s="29" t="n">
        <f aca="false">D36-C36</f>
        <v>0</v>
      </c>
      <c r="F36" s="8" t="n">
        <v>0.05</v>
      </c>
      <c r="G36" s="8" t="str">
        <f aca="false">IF(ISNUMBER(D36),IF(ABS(E36)&lt;=F36,"PASS","FAIL"),"FAIL")</f>
        <v>PASS</v>
      </c>
      <c r="H36" s="8"/>
    </row>
    <row r="37" customFormat="false" ht="15" hidden="false" customHeight="false" outlineLevel="0" collapsed="false">
      <c r="A37" s="33" t="s">
        <v>197</v>
      </c>
      <c r="B37" s="33" t="s">
        <v>218</v>
      </c>
      <c r="C37" s="36" t="n">
        <v>0.180333</v>
      </c>
      <c r="D37" s="36" t="n">
        <f aca="false">'The Ramp in Detail'!B27</f>
        <v>0.180333333333333</v>
      </c>
      <c r="E37" s="36" t="n">
        <f aca="false">D37-C37</f>
        <v>3.3333333335217E-007</v>
      </c>
      <c r="F37" s="33" t="n">
        <v>5E-007</v>
      </c>
      <c r="G37" s="33" t="str">
        <f aca="false">IF(ISNUMBER(D37),IF(ABS(E37)&lt;=F37,"PASS","FAIL"),"FAIL")</f>
        <v>PASS</v>
      </c>
      <c r="H37" s="33"/>
    </row>
    <row r="38" customFormat="false" ht="15" hidden="false" customHeight="false" outlineLevel="0" collapsed="false">
      <c r="A38" s="8" t="s">
        <v>197</v>
      </c>
      <c r="B38" s="8" t="s">
        <v>219</v>
      </c>
      <c r="C38" s="29" t="n">
        <v>273.6</v>
      </c>
      <c r="D38" s="29" t="n">
        <f aca="false">'The Ramp in Detail'!B28</f>
        <v>273.6</v>
      </c>
      <c r="E38" s="29" t="n">
        <f aca="false">D38-C38</f>
        <v>0</v>
      </c>
      <c r="F38" s="8" t="n">
        <v>0.05</v>
      </c>
      <c r="G38" s="8" t="str">
        <f aca="false">IF(ISNUMBER(D38),IF(ABS(E38)&lt;=F38,"PASS","FAIL"),"FAIL")</f>
        <v>PASS</v>
      </c>
      <c r="H38" s="8"/>
    </row>
    <row r="39" customFormat="false" ht="15" hidden="false" customHeight="false" outlineLevel="0" collapsed="false">
      <c r="A39" s="33" t="s">
        <v>192</v>
      </c>
      <c r="B39" s="33" t="s">
        <v>220</v>
      </c>
      <c r="C39" s="34" t="n">
        <v>0.2211</v>
      </c>
      <c r="D39" s="34" t="n">
        <f aca="false">'The Ramp in Detail'!B29</f>
        <v>0.221052631578947</v>
      </c>
      <c r="E39" s="34" t="n">
        <f aca="false">D39-C39</f>
        <v>-4.73684210526293E-005</v>
      </c>
      <c r="F39" s="33" t="n">
        <v>5E-005</v>
      </c>
      <c r="G39" s="33" t="str">
        <f aca="false">IF(ISNUMBER(D39),IF(ABS(E39)&lt;=F39,"PASS","FAIL"),"FAIL")</f>
        <v>PASS</v>
      </c>
      <c r="H39" s="33"/>
    </row>
    <row r="40" customFormat="false" ht="15" hidden="false" customHeight="false" outlineLevel="0" collapsed="false">
      <c r="A40" s="8" t="s">
        <v>197</v>
      </c>
      <c r="B40" s="8" t="s">
        <v>221</v>
      </c>
      <c r="C40" s="29" t="n">
        <v>115</v>
      </c>
      <c r="D40" s="29" t="n">
        <f aca="false">'The Ramp in Detail'!B30</f>
        <v>115</v>
      </c>
      <c r="E40" s="29" t="n">
        <f aca="false">D40-C40</f>
        <v>0</v>
      </c>
      <c r="F40" s="8" t="n">
        <v>0.005</v>
      </c>
      <c r="G40" s="8" t="str">
        <f aca="false">IF(ISNUMBER(D40),IF(ABS(E40)&lt;=F40,"PASS","FAIL"),"FAIL")</f>
        <v>PASS</v>
      </c>
      <c r="H40" s="8"/>
    </row>
    <row r="41" customFormat="false" ht="15" hidden="false" customHeight="false" outlineLevel="0" collapsed="false">
      <c r="A41" s="33" t="s">
        <v>197</v>
      </c>
      <c r="B41" s="33" t="s">
        <v>222</v>
      </c>
      <c r="C41" s="35" t="n">
        <v>258</v>
      </c>
      <c r="D41" s="35" t="n">
        <f aca="false">'The Ramp in Detail'!B31</f>
        <v>258</v>
      </c>
      <c r="E41" s="35" t="n">
        <f aca="false">D41-C41</f>
        <v>0</v>
      </c>
      <c r="F41" s="33" t="n">
        <v>0.005</v>
      </c>
      <c r="G41" s="33" t="str">
        <f aca="false">IF(ISNUMBER(D41),IF(ABS(E41)&lt;=F41,"PASS","FAIL"),"FAIL")</f>
        <v>PASS</v>
      </c>
      <c r="H41" s="33" t="s">
        <v>223</v>
      </c>
    </row>
    <row r="42" customFormat="false" ht="15" hidden="false" customHeight="false" outlineLevel="0" collapsed="false">
      <c r="A42" s="8" t="s">
        <v>192</v>
      </c>
      <c r="B42" s="8" t="s">
        <v>224</v>
      </c>
      <c r="C42" s="27" t="n">
        <v>2.27</v>
      </c>
      <c r="D42" s="27" t="n">
        <f aca="false">'The Ramp in Detail'!B32</f>
        <v>2.27272727272727</v>
      </c>
      <c r="E42" s="27" t="n">
        <f aca="false">D42-C42</f>
        <v>0.00272727272727291</v>
      </c>
      <c r="F42" s="8" t="n">
        <v>0.005</v>
      </c>
      <c r="G42" s="8" t="str">
        <f aca="false">IF(ISNUMBER(D42),IF(ABS(E42)&lt;=F42,"PASS","FAIL"),"FAIL")</f>
        <v>PASS</v>
      </c>
      <c r="H42" s="8" t="s">
        <v>135</v>
      </c>
    </row>
    <row r="43" customFormat="false" ht="15" hidden="false" customHeight="false" outlineLevel="0" collapsed="false">
      <c r="A43" s="33" t="s">
        <v>192</v>
      </c>
      <c r="B43" s="33" t="s">
        <v>225</v>
      </c>
      <c r="C43" s="36" t="n">
        <v>0.25</v>
      </c>
      <c r="D43" s="36" t="n">
        <f aca="false">'The Ramp in Detail'!B33</f>
        <v>0.25</v>
      </c>
      <c r="E43" s="36" t="n">
        <f aca="false">D43-C43</f>
        <v>0</v>
      </c>
      <c r="F43" s="33" t="n">
        <v>5E-005</v>
      </c>
      <c r="G43" s="33" t="str">
        <f aca="false">IF(ISNUMBER(D43),IF(ABS(E43)&lt;=F43,"PASS","FAIL"),"FAIL")</f>
        <v>PASS</v>
      </c>
      <c r="H43" s="33"/>
    </row>
    <row r="44" customFormat="false" ht="15" hidden="false" customHeight="false" outlineLevel="0" collapsed="false">
      <c r="A44" s="8" t="s">
        <v>197</v>
      </c>
      <c r="B44" s="8" t="s">
        <v>226</v>
      </c>
      <c r="C44" s="29" t="n">
        <v>638.3</v>
      </c>
      <c r="D44" s="29" t="n">
        <f aca="false">'The Ramp in Detail'!B34</f>
        <v>638.297872340426</v>
      </c>
      <c r="E44" s="29" t="n">
        <f aca="false">D44-C44</f>
        <v>-0.00212765957439842</v>
      </c>
      <c r="F44" s="8" t="n">
        <v>0.05</v>
      </c>
      <c r="G44" s="8" t="str">
        <f aca="false">IF(ISNUMBER(D44),IF(ABS(E44)&lt;=F44,"PASS","FAIL"),"FAIL")</f>
        <v>PASS</v>
      </c>
      <c r="H44" s="8"/>
    </row>
    <row r="45" customFormat="false" ht="15" hidden="false" customHeight="false" outlineLevel="0" collapsed="false">
      <c r="A45" s="33" t="s">
        <v>197</v>
      </c>
      <c r="B45" s="33" t="s">
        <v>227</v>
      </c>
      <c r="C45" s="36" t="n">
        <v>0.06383</v>
      </c>
      <c r="D45" s="36" t="n">
        <f aca="false">'The Ramp in Detail'!B35</f>
        <v>0.0638297872340425</v>
      </c>
      <c r="E45" s="36" t="n">
        <f aca="false">D45-C45</f>
        <v>-2.12765957463557E-007</v>
      </c>
      <c r="F45" s="33" t="n">
        <v>5E-006</v>
      </c>
      <c r="G45" s="33" t="str">
        <f aca="false">IF(ISNUMBER(D45),IF(ABS(E45)&lt;=F45,"PASS","FAIL"),"FAIL")</f>
        <v>PASS</v>
      </c>
      <c r="H45" s="33"/>
    </row>
    <row r="46" customFormat="false" ht="15" hidden="false" customHeight="false" outlineLevel="0" collapsed="false">
      <c r="A46" s="8" t="s">
        <v>192</v>
      </c>
      <c r="B46" s="8" t="s">
        <v>228</v>
      </c>
      <c r="C46" s="29" t="n">
        <v>535</v>
      </c>
      <c r="D46" s="29" t="n">
        <f aca="false">'The Ramp in Detail'!B42</f>
        <v>535</v>
      </c>
      <c r="E46" s="29" t="n">
        <f aca="false">D46-C46</f>
        <v>0</v>
      </c>
      <c r="F46" s="8" t="n">
        <v>0.005</v>
      </c>
      <c r="G46" s="8" t="str">
        <f aca="false">IF(ISNUMBER(D46),IF(ABS(E46)&lt;=F46,"PASS","FAIL"),"FAIL")</f>
        <v>PASS</v>
      </c>
      <c r="H46" s="8"/>
    </row>
    <row r="47" customFormat="false" ht="15" hidden="false" customHeight="false" outlineLevel="0" collapsed="false">
      <c r="A47" s="33" t="s">
        <v>192</v>
      </c>
      <c r="B47" s="33" t="s">
        <v>229</v>
      </c>
      <c r="C47" s="35" t="n">
        <v>152</v>
      </c>
      <c r="D47" s="35" t="n">
        <f aca="false">'The Ramp in Detail'!B43</f>
        <v>152</v>
      </c>
      <c r="E47" s="35" t="n">
        <f aca="false">D47-C47</f>
        <v>0</v>
      </c>
      <c r="F47" s="33" t="n">
        <v>0.005</v>
      </c>
      <c r="G47" s="33" t="str">
        <f aca="false">IF(ISNUMBER(D47),IF(ABS(E47)&lt;=F47,"PASS","FAIL"),"FAIL")</f>
        <v>PASS</v>
      </c>
      <c r="H47" s="33"/>
    </row>
    <row r="48" customFormat="false" ht="15" hidden="false" customHeight="false" outlineLevel="0" collapsed="false">
      <c r="A48" s="8" t="s">
        <v>192</v>
      </c>
      <c r="B48" s="8" t="s">
        <v>230</v>
      </c>
      <c r="C48" s="25" t="n">
        <v>0.3969</v>
      </c>
      <c r="D48" s="25" t="n">
        <f aca="false">'The Ramp in Detail'!B44</f>
        <v>0.396866840731071</v>
      </c>
      <c r="E48" s="25" t="n">
        <f aca="false">D48-C48</f>
        <v>-3.31592689294946E-005</v>
      </c>
      <c r="F48" s="8" t="n">
        <v>5E-005</v>
      </c>
      <c r="G48" s="8" t="str">
        <f aca="false">IF(ISNUMBER(D48),IF(ABS(E48)&lt;=F48,"PASS","FAIL"),"FAIL")</f>
        <v>PASS</v>
      </c>
      <c r="H48" s="8"/>
    </row>
    <row r="49" customFormat="false" ht="15" hidden="false" customHeight="false" outlineLevel="0" collapsed="false">
      <c r="A49" s="33" t="s">
        <v>197</v>
      </c>
      <c r="B49" s="33" t="s">
        <v>231</v>
      </c>
      <c r="C49" s="35" t="n">
        <v>600</v>
      </c>
      <c r="D49" s="35" t="n">
        <f aca="false">'The Ramp in Detail'!B53</f>
        <v>600</v>
      </c>
      <c r="E49" s="35" t="n">
        <f aca="false">D49-C49</f>
        <v>0</v>
      </c>
      <c r="F49" s="33" t="n">
        <v>0.005</v>
      </c>
      <c r="G49" s="33" t="str">
        <f aca="false">IF(ISNUMBER(D49),IF(ABS(E49)&lt;=F49,"PASS","FAIL"),"FAIL")</f>
        <v>PASS</v>
      </c>
      <c r="H49" s="33"/>
    </row>
    <row r="50" customFormat="false" ht="15" hidden="false" customHeight="false" outlineLevel="0" collapsed="false">
      <c r="A50" s="8" t="s">
        <v>197</v>
      </c>
      <c r="B50" s="8" t="s">
        <v>232</v>
      </c>
      <c r="C50" s="29" t="n">
        <v>883.55</v>
      </c>
      <c r="D50" s="29" t="n">
        <f aca="false">'The Ramp in Detail'!B54</f>
        <v>883.55091383812</v>
      </c>
      <c r="E50" s="29" t="n">
        <f aca="false">D50-C50</f>
        <v>0.000913838120027322</v>
      </c>
      <c r="F50" s="8" t="n">
        <v>0.005</v>
      </c>
      <c r="G50" s="8" t="str">
        <f aca="false">IF(ISNUMBER(D50),IF(ABS(E50)&lt;=F50,"PASS","FAIL"),"FAIL")</f>
        <v>PASS</v>
      </c>
      <c r="H50" s="8"/>
    </row>
    <row r="51" customFormat="false" ht="15" hidden="false" customHeight="false" outlineLevel="0" collapsed="false">
      <c r="A51" s="33" t="s">
        <v>197</v>
      </c>
      <c r="B51" s="33" t="s">
        <v>233</v>
      </c>
      <c r="C51" s="35" t="n">
        <v>56.4</v>
      </c>
      <c r="D51" s="35" t="n">
        <f aca="false">'The Ramp in Detail'!B55</f>
        <v>56.3968668407312</v>
      </c>
      <c r="E51" s="35" t="n">
        <f aca="false">D51-C51</f>
        <v>-0.00313315926884883</v>
      </c>
      <c r="F51" s="33" t="n">
        <v>0.05</v>
      </c>
      <c r="G51" s="33" t="str">
        <f aca="false">IF(ISNUMBER(D51),IF(ABS(E51)&lt;=F51,"PASS","FAIL"),"FAIL")</f>
        <v>PASS</v>
      </c>
      <c r="H51" s="33"/>
    </row>
    <row r="52" customFormat="false" ht="15" hidden="false" customHeight="false" outlineLevel="0" collapsed="false">
      <c r="A52" s="8" t="s">
        <v>197</v>
      </c>
      <c r="B52" s="8" t="s">
        <v>234</v>
      </c>
      <c r="C52" s="25" t="n">
        <v>0.469974</v>
      </c>
      <c r="D52" s="25" t="n">
        <f aca="false">'The Ramp in Detail'!B56</f>
        <v>0.469973890339426</v>
      </c>
      <c r="E52" s="25" t="n">
        <f aca="false">D52-C52</f>
        <v>-1.09660574454384E-007</v>
      </c>
      <c r="F52" s="8" t="n">
        <v>5E-007</v>
      </c>
      <c r="G52" s="8" t="str">
        <f aca="false">IF(ISNUMBER(D52),IF(ABS(E52)&lt;=F52,"PASS","FAIL"),"FAIL")</f>
        <v>PASS</v>
      </c>
      <c r="H52" s="8"/>
    </row>
    <row r="53" customFormat="false" ht="15" hidden="false" customHeight="false" outlineLevel="0" collapsed="false">
      <c r="A53" s="33" t="s">
        <v>197</v>
      </c>
      <c r="B53" s="33" t="s">
        <v>235</v>
      </c>
      <c r="C53" s="35" t="n">
        <v>169.5</v>
      </c>
      <c r="D53" s="35" t="n">
        <f aca="false">'The Ramp in Detail'!B57</f>
        <v>169.503916449086</v>
      </c>
      <c r="E53" s="35" t="n">
        <f aca="false">D53-C53</f>
        <v>0.00391644908614808</v>
      </c>
      <c r="F53" s="33" t="n">
        <v>0.05</v>
      </c>
      <c r="G53" s="33" t="str">
        <f aca="false">IF(ISNUMBER(D53),IF(ABS(E53)&lt;=F53,"PASS","FAIL"),"FAIL")</f>
        <v>PASS</v>
      </c>
      <c r="H53" s="33"/>
    </row>
    <row r="54" customFormat="false" ht="15" hidden="false" customHeight="false" outlineLevel="0" collapsed="false">
      <c r="A54" s="8" t="s">
        <v>197</v>
      </c>
      <c r="B54" s="8" t="s">
        <v>236</v>
      </c>
      <c r="C54" s="25" t="n">
        <v>0.084752</v>
      </c>
      <c r="D54" s="25" t="n">
        <f aca="false">'The Ramp in Detail'!B58</f>
        <v>0.0847519582245431</v>
      </c>
      <c r="E54" s="25" t="n">
        <f aca="false">D54-C54</f>
        <v>-4.17754569131956E-008</v>
      </c>
      <c r="F54" s="8" t="n">
        <v>5E-007</v>
      </c>
      <c r="G54" s="8" t="str">
        <f aca="false">IF(ISNUMBER(D54),IF(ABS(E54)&lt;=F54,"PASS","FAIL"),"FAIL")</f>
        <v>PASS</v>
      </c>
      <c r="H54" s="8"/>
    </row>
    <row r="55" customFormat="false" ht="15" hidden="false" customHeight="false" outlineLevel="0" collapsed="false">
      <c r="A55" s="33" t="s">
        <v>197</v>
      </c>
      <c r="B55" s="33" t="s">
        <v>237</v>
      </c>
      <c r="C55" s="35" t="n">
        <v>32.9</v>
      </c>
      <c r="D55" s="35" t="n">
        <f aca="false">'The Ramp in Detail'!B59</f>
        <v>32.8981723237598</v>
      </c>
      <c r="E55" s="35" t="n">
        <f aca="false">D55-C55</f>
        <v>-0.00182767624016122</v>
      </c>
      <c r="F55" s="33" t="n">
        <v>0.05</v>
      </c>
      <c r="G55" s="33" t="str">
        <f aca="false">IF(ISNUMBER(D55),IF(ABS(E55)&lt;=F55,"PASS","FAIL"),"FAIL")</f>
        <v>PASS</v>
      </c>
      <c r="H55" s="33"/>
    </row>
    <row r="56" customFormat="false" ht="15" hidden="false" customHeight="false" outlineLevel="0" collapsed="false">
      <c r="A56" s="8" t="s">
        <v>197</v>
      </c>
      <c r="B56" s="8" t="s">
        <v>238</v>
      </c>
      <c r="C56" s="29" t="n">
        <v>234.99</v>
      </c>
      <c r="D56" s="29" t="n">
        <f aca="false">'The Ramp in Detail'!C50</f>
        <v>234.986945169713</v>
      </c>
      <c r="E56" s="29" t="n">
        <f aca="false">D56-C56</f>
        <v>-0.0030548302872262</v>
      </c>
      <c r="F56" s="8" t="n">
        <v>0.005</v>
      </c>
      <c r="G56" s="8" t="str">
        <f aca="false">IF(ISNUMBER(D56),IF(ABS(E56)&lt;=F56,"PASS","FAIL"),"FAIL")</f>
        <v>PASS</v>
      </c>
      <c r="H56" s="8"/>
    </row>
    <row r="57" customFormat="false" ht="15" hidden="false" customHeight="false" outlineLevel="0" collapsed="false">
      <c r="A57" s="33" t="s">
        <v>197</v>
      </c>
      <c r="B57" s="33" t="s">
        <v>239</v>
      </c>
      <c r="C57" s="36" t="n">
        <v>0.228439</v>
      </c>
      <c r="D57" s="36" t="n">
        <f aca="false">'The Ramp in Detail'!B65</f>
        <v>0.228438506501253</v>
      </c>
      <c r="E57" s="36" t="n">
        <f aca="false">D57-C57</f>
        <v>-4.93498747478061E-007</v>
      </c>
      <c r="F57" s="33" t="n">
        <v>5E-007</v>
      </c>
      <c r="G57" s="33" t="str">
        <f aca="false">IF(ISNUMBER(D57),IF(ABS(E57)&lt;=F57,"PASS","FAIL"),"FAIL")</f>
        <v>PASS</v>
      </c>
      <c r="H57" s="33"/>
    </row>
    <row r="58" customFormat="false" ht="15" hidden="false" customHeight="false" outlineLevel="0" collapsed="false">
      <c r="A58" s="8" t="s">
        <v>197</v>
      </c>
      <c r="B58" s="8" t="s">
        <v>158</v>
      </c>
      <c r="C58" s="25" t="n">
        <v>0.036939</v>
      </c>
      <c r="D58" s="25" t="n">
        <f aca="false">'The Ramp in Detail'!B66</f>
        <v>0.0369385065012525</v>
      </c>
      <c r="E58" s="25" t="n">
        <f aca="false">D58-C58</f>
        <v>-4.93498747478061E-007</v>
      </c>
      <c r="F58" s="8" t="n">
        <v>5E-007</v>
      </c>
      <c r="G58" s="8" t="str">
        <f aca="false">IF(ISNUMBER(D58),IF(ABS(E58)&lt;=F58,"PASS","FAIL"),"FAIL")</f>
        <v>PASS</v>
      </c>
      <c r="H58" s="8"/>
    </row>
    <row r="59" customFormat="false" ht="15" hidden="false" customHeight="false" outlineLevel="0" collapsed="false">
      <c r="A59" s="33" t="s">
        <v>197</v>
      </c>
      <c r="B59" s="33" t="s">
        <v>159</v>
      </c>
      <c r="C59" s="36" t="n">
        <v>0.19289</v>
      </c>
      <c r="D59" s="36" t="n">
        <f aca="false">'The Ramp in Detail'!B67</f>
        <v>0.192890373374687</v>
      </c>
      <c r="E59" s="36" t="n">
        <f aca="false">D59-C59</f>
        <v>3.73374686724048E-007</v>
      </c>
      <c r="F59" s="33" t="n">
        <v>5E-006</v>
      </c>
      <c r="G59" s="33" t="str">
        <f aca="false">IF(ISNUMBER(D59),IF(ABS(E59)&lt;=F59,"PASS","FAIL"),"FAIL")</f>
        <v>PASS</v>
      </c>
      <c r="H59" s="33"/>
    </row>
    <row r="60" customFormat="false" ht="15" hidden="false" customHeight="false" outlineLevel="0" collapsed="false">
      <c r="A60" s="8" t="s">
        <v>197</v>
      </c>
      <c r="B60" s="8" t="s">
        <v>240</v>
      </c>
      <c r="C60" s="25" t="n">
        <v>0.348837</v>
      </c>
      <c r="D60" s="25" t="n">
        <f aca="false">'The Ramp in Detail'!B68</f>
        <v>0.348837209302326</v>
      </c>
      <c r="E60" s="25" t="n">
        <f aca="false">D60-C60</f>
        <v>2.0930232558225E-007</v>
      </c>
      <c r="F60" s="8" t="n">
        <v>5E-007</v>
      </c>
      <c r="G60" s="8" t="str">
        <f aca="false">IF(ISNUMBER(D60),IF(ABS(E60)&lt;=F60,"PASS","FAIL"),"FAIL")</f>
        <v>PASS</v>
      </c>
      <c r="H60" s="8"/>
    </row>
    <row r="61" customFormat="false" ht="15" hidden="false" customHeight="false" outlineLevel="0" collapsed="false">
      <c r="A61" s="33" t="s">
        <v>197</v>
      </c>
      <c r="B61" s="33" t="s">
        <v>241</v>
      </c>
      <c r="C61" s="36" t="n">
        <v>0.40895</v>
      </c>
      <c r="D61" s="36" t="n">
        <f aca="false">'The Ramp in Detail'!B69</f>
        <v>0.408950148764345</v>
      </c>
      <c r="E61" s="36" t="n">
        <f aca="false">D61-C61</f>
        <v>1.48764345120345E-007</v>
      </c>
      <c r="F61" s="33" t="n">
        <v>5E-006</v>
      </c>
      <c r="G61" s="33" t="str">
        <f aca="false">IF(ISNUMBER(D61),IF(ABS(E61)&lt;=F61,"PASS","FAIL"),"FAIL")</f>
        <v>PASS</v>
      </c>
      <c r="H61" s="33"/>
    </row>
    <row r="62" customFormat="false" ht="15" hidden="false" customHeight="false" outlineLevel="0" collapsed="false">
      <c r="A62" s="8" t="s">
        <v>197</v>
      </c>
      <c r="B62" s="8" t="s">
        <v>242</v>
      </c>
      <c r="C62" s="25" t="n">
        <v>0.2787</v>
      </c>
      <c r="D62" s="25" t="n">
        <f aca="false">'The Ramp in Detail'!B70</f>
        <v>0.278705446596636</v>
      </c>
      <c r="E62" s="25" t="n">
        <f aca="false">D62-C62</f>
        <v>5.44659663609393E-006</v>
      </c>
      <c r="F62" s="8" t="n">
        <v>5E-005</v>
      </c>
      <c r="G62" s="8" t="str">
        <f aca="false">IF(ISNUMBER(D62),IF(ABS(E62)&lt;=F62,"PASS","FAIL"),"FAIL")</f>
        <v>PASS</v>
      </c>
      <c r="H62" s="8" t="s">
        <v>243</v>
      </c>
    </row>
    <row r="63" customFormat="false" ht="15" hidden="false" customHeight="false" outlineLevel="0" collapsed="false">
      <c r="A63" s="33" t="s">
        <v>198</v>
      </c>
      <c r="B63" s="33" t="s">
        <v>168</v>
      </c>
      <c r="C63" s="36" t="n">
        <v>0.14033</v>
      </c>
      <c r="D63" s="36" t="n">
        <f aca="false">'The Ramp in Detail'!B78</f>
        <v>0.14032978983013</v>
      </c>
      <c r="E63" s="36" t="n">
        <f aca="false">D63-C63</f>
        <v>-2.10169869868659E-007</v>
      </c>
      <c r="F63" s="33" t="n">
        <v>5E-006</v>
      </c>
      <c r="G63" s="33" t="str">
        <f aca="false">IF(ISNUMBER(D63),IF(ABS(E63)&lt;=F63,"PASS","FAIL"),"FAIL")</f>
        <v>PASS</v>
      </c>
      <c r="H63" s="33"/>
    </row>
    <row r="64" customFormat="false" ht="15" hidden="false" customHeight="false" outlineLevel="0" collapsed="false">
      <c r="A64" s="8" t="s">
        <v>198</v>
      </c>
      <c r="B64" s="8" t="s">
        <v>169</v>
      </c>
      <c r="C64" s="25" t="n">
        <v>0.15427</v>
      </c>
      <c r="D64" s="25" t="n">
        <f aca="false">'The Ramp in Detail'!B79</f>
        <v>0.154270048184404</v>
      </c>
      <c r="E64" s="25" t="n">
        <f aca="false">D64-C64</f>
        <v>4.81844038002777E-008</v>
      </c>
      <c r="F64" s="8" t="n">
        <v>5E-006</v>
      </c>
      <c r="G64" s="8" t="str">
        <f aca="false">IF(ISNUMBER(D64),IF(ABS(E64)&lt;=F64,"PASS","FAIL"),"FAIL")</f>
        <v>PASS</v>
      </c>
      <c r="H64" s="8"/>
    </row>
    <row r="65" customFormat="false" ht="15" hidden="false" customHeight="false" outlineLevel="0" collapsed="false">
      <c r="A65" s="33" t="s">
        <v>198</v>
      </c>
      <c r="B65" s="33" t="s">
        <v>244</v>
      </c>
      <c r="C65" s="36" t="n">
        <v>0.021335</v>
      </c>
      <c r="D65" s="36" t="n">
        <f aca="false">'The Ramp in Detail'!B80</f>
        <v>0.021334596997875</v>
      </c>
      <c r="E65" s="36" t="n">
        <f aca="false">D65-C65</f>
        <v>-4.03002124955976E-007</v>
      </c>
      <c r="F65" s="33" t="n">
        <v>5E-007</v>
      </c>
      <c r="G65" s="33" t="str">
        <f aca="false">IF(ISNUMBER(D65),IF(ABS(E65)&lt;=F65,"PASS","FAIL"),"FAIL")</f>
        <v>PASS</v>
      </c>
      <c r="H65" s="33"/>
    </row>
    <row r="66" customFormat="false" ht="15" hidden="false" customHeight="false" outlineLevel="0" collapsed="false">
      <c r="A66" s="8" t="s">
        <v>198</v>
      </c>
      <c r="B66" s="8" t="s">
        <v>245</v>
      </c>
      <c r="C66" s="29" t="n">
        <v>18.73</v>
      </c>
      <c r="D66" s="29" t="n">
        <f aca="false">'The Ramp in Detail'!B81</f>
        <v>18.7301062723718</v>
      </c>
      <c r="E66" s="29" t="n">
        <f aca="false">D66-C66</f>
        <v>0.00010627237179861</v>
      </c>
      <c r="F66" s="8" t="n">
        <v>0.005</v>
      </c>
      <c r="G66" s="8" t="str">
        <f aca="false">IF(ISNUMBER(D66),IF(ABS(E66)&lt;=F66,"PASS","FAIL"),"FAIL")</f>
        <v>PASS</v>
      </c>
      <c r="H66" s="8"/>
    </row>
    <row r="67" customFormat="false" ht="15" hidden="false" customHeight="false" outlineLevel="0" collapsed="false">
      <c r="A67" s="33" t="s">
        <v>198</v>
      </c>
      <c r="B67" s="33" t="s">
        <v>246</v>
      </c>
      <c r="C67" s="35" t="n">
        <v>4.05</v>
      </c>
      <c r="D67" s="35" t="n">
        <f aca="false">'The Ramp in Detail'!B82</f>
        <v>4.04750786647657</v>
      </c>
      <c r="E67" s="35" t="n">
        <f aca="false">D67-C67</f>
        <v>-0.00249213352343158</v>
      </c>
      <c r="F67" s="33" t="n">
        <v>0.005</v>
      </c>
      <c r="G67" s="33" t="str">
        <f aca="false">IF(ISNUMBER(D67),IF(ABS(E67)&lt;=F67,"PASS","FAIL"),"FAIL")</f>
        <v>PASS</v>
      </c>
      <c r="H67" s="33"/>
    </row>
    <row r="68" customFormat="false" ht="15" hidden="false" customHeight="false" outlineLevel="0" collapsed="false">
      <c r="A68" s="8" t="s">
        <v>198</v>
      </c>
      <c r="B68" s="8" t="s">
        <v>247</v>
      </c>
      <c r="C68" s="29" t="n">
        <v>-9.28</v>
      </c>
      <c r="D68" s="29" t="n">
        <f aca="false">'The Ramp in Detail'!B83</f>
        <v>-9.2828227930264</v>
      </c>
      <c r="E68" s="29" t="n">
        <f aca="false">D68-C68</f>
        <v>-0.00282279302640198</v>
      </c>
      <c r="F68" s="8" t="n">
        <v>0.005</v>
      </c>
      <c r="G68" s="8" t="str">
        <f aca="false">IF(ISNUMBER(D68),IF(ABS(E68)&lt;=F68,"PASS","FAIL"),"FAIL")</f>
        <v>PASS</v>
      </c>
      <c r="H68" s="8"/>
    </row>
    <row r="69" customFormat="false" ht="15" hidden="false" customHeight="false" outlineLevel="0" collapsed="false">
      <c r="A69" s="33" t="s">
        <v>198</v>
      </c>
      <c r="B69" s="33" t="s">
        <v>248</v>
      </c>
      <c r="C69" s="35" t="n">
        <v>-21.38</v>
      </c>
      <c r="D69" s="35" t="n">
        <f aca="false">'The Ramp in Detail'!B84</f>
        <v>-21.3842456022587</v>
      </c>
      <c r="E69" s="35" t="n">
        <f aca="false">D69-C69</f>
        <v>-0.00424560225873449</v>
      </c>
      <c r="F69" s="33" t="n">
        <v>0.005</v>
      </c>
      <c r="G69" s="33" t="str">
        <f aca="false">IF(ISNUMBER(D69),IF(ABS(E69)&lt;=F69,"PASS","FAIL"),"FAIL")</f>
        <v>PASS</v>
      </c>
      <c r="H69" s="33"/>
    </row>
    <row r="70" customFormat="false" ht="15" hidden="false" customHeight="false" outlineLevel="0" collapsed="false">
      <c r="A70" s="8" t="s">
        <v>198</v>
      </c>
      <c r="B70" s="8" t="s">
        <v>249</v>
      </c>
      <c r="C70" s="29" t="n">
        <v>41.05</v>
      </c>
      <c r="D70" s="29" t="n">
        <f aca="false">'The Ramp in Detail'!B86</f>
        <v>41.0472787235502</v>
      </c>
      <c r="E70" s="29" t="n">
        <f aca="false">D70-C70</f>
        <v>-0.00272127644984721</v>
      </c>
      <c r="F70" s="8" t="n">
        <v>0.005</v>
      </c>
      <c r="G70" s="8" t="str">
        <f aca="false">IF(ISNUMBER(D70),IF(ABS(E70)&lt;=F70,"PASS","FAIL"),"FAIL")</f>
        <v>PASS</v>
      </c>
      <c r="H70" s="8"/>
    </row>
    <row r="71" customFormat="false" ht="15" hidden="false" customHeight="false" outlineLevel="0" collapsed="false">
      <c r="A71" s="33" t="s">
        <v>198</v>
      </c>
      <c r="B71" s="33" t="s">
        <v>250</v>
      </c>
      <c r="C71" s="35" t="n">
        <v>291.9</v>
      </c>
      <c r="D71" s="35" t="n">
        <f aca="false">'The Ramp in Detail'!B87</f>
        <v>291.898050226753</v>
      </c>
      <c r="E71" s="35" t="n">
        <f aca="false">D71-C71</f>
        <v>-0.00194977324741785</v>
      </c>
      <c r="F71" s="33" t="n">
        <v>0.05</v>
      </c>
      <c r="G71" s="33" t="str">
        <f aca="false">IF(ISNUMBER(D71),IF(ABS(E71)&lt;=F71,"PASS","FAIL"),"FAIL")</f>
        <v>PASS</v>
      </c>
      <c r="H71" s="33"/>
    </row>
    <row r="72" customFormat="false" ht="15" hidden="false" customHeight="false" outlineLevel="0" collapsed="false">
      <c r="A72" s="8" t="s">
        <v>198</v>
      </c>
      <c r="B72" s="8" t="s">
        <v>251</v>
      </c>
      <c r="C72" s="25" t="n">
        <v>0.1406</v>
      </c>
      <c r="D72" s="25" t="n">
        <f aca="false">'The Ramp in Detail'!B88</f>
        <v>0.140621969525537</v>
      </c>
      <c r="E72" s="25" t="n">
        <f aca="false">D72-C72</f>
        <v>2.19695255372909E-005</v>
      </c>
      <c r="F72" s="8" t="n">
        <v>5E-005</v>
      </c>
      <c r="G72" s="8" t="str">
        <f aca="false">IF(ISNUMBER(D72),IF(ABS(E72)&lt;=F72,"PASS","FAIL"),"FAIL")</f>
        <v>PASS</v>
      </c>
      <c r="H72" s="8"/>
    </row>
    <row r="73" customFormat="false" ht="15" hidden="false" customHeight="false" outlineLevel="0" collapsed="false">
      <c r="A73" s="33" t="s">
        <v>198</v>
      </c>
      <c r="B73" s="33" t="s">
        <v>252</v>
      </c>
      <c r="C73" s="36" t="n">
        <v>0.129879</v>
      </c>
      <c r="D73" s="36" t="n">
        <f aca="false">'Multiples and the Ramp'!C35</f>
        <v>0.129878777190014</v>
      </c>
      <c r="E73" s="36" t="n">
        <f aca="false">D73-C73</f>
        <v>-2.22809985794825E-007</v>
      </c>
      <c r="F73" s="33" t="n">
        <v>5E-007</v>
      </c>
      <c r="G73" s="33" t="str">
        <f aca="false">IF(ISNUMBER(D73),IF(ABS(E73)&lt;=F73,"PASS","FAIL"),"FAIL")</f>
        <v>PASS</v>
      </c>
      <c r="H73" s="33"/>
    </row>
    <row r="74" customFormat="false" ht="15" hidden="false" customHeight="false" outlineLevel="0" collapsed="false">
      <c r="A74" s="8" t="s">
        <v>198</v>
      </c>
      <c r="B74" s="8" t="s">
        <v>253</v>
      </c>
      <c r="C74" s="25" t="n">
        <v>0.126745</v>
      </c>
      <c r="D74" s="25" t="n">
        <f aca="false">'Multiples and the Ramp'!C36</f>
        <v>0.126745066582272</v>
      </c>
      <c r="E74" s="25" t="n">
        <f aca="false">D74-C74</f>
        <v>6.65822716405806E-008</v>
      </c>
      <c r="F74" s="8" t="n">
        <v>5E-007</v>
      </c>
      <c r="G74" s="8" t="str">
        <f aca="false">IF(ISNUMBER(D74),IF(ABS(E74)&lt;=F74,"PASS","FAIL"),"FAIL")</f>
        <v>PASS</v>
      </c>
      <c r="H74" s="8"/>
    </row>
    <row r="75" customFormat="false" ht="15" hidden="false" customHeight="false" outlineLevel="0" collapsed="false">
      <c r="A75" s="33" t="s">
        <v>198</v>
      </c>
      <c r="B75" s="33" t="s">
        <v>254</v>
      </c>
      <c r="C75" s="36" t="n">
        <v>0.12353</v>
      </c>
      <c r="D75" s="36" t="n">
        <f aca="false">'Multiples and the Ramp'!C37</f>
        <v>0.123529773339611</v>
      </c>
      <c r="E75" s="36" t="n">
        <f aca="false">D75-C75</f>
        <v>-2.26660388874533E-007</v>
      </c>
      <c r="F75" s="33" t="n">
        <v>5E-006</v>
      </c>
      <c r="G75" s="33" t="str">
        <f aca="false">IF(ISNUMBER(D75),IF(ABS(E75)&lt;=F75,"PASS","FAIL"),"FAIL")</f>
        <v>PASS</v>
      </c>
      <c r="H75" s="33"/>
    </row>
    <row r="76" customFormat="false" ht="15" hidden="false" customHeight="false" outlineLevel="0" collapsed="false">
      <c r="A76" s="8" t="s">
        <v>198</v>
      </c>
      <c r="B76" s="8" t="s">
        <v>255</v>
      </c>
      <c r="C76" s="25" t="n">
        <v>0.098247</v>
      </c>
      <c r="D76" s="25" t="n">
        <f aca="false">'Multiples and the Ramp'!C39</f>
        <v>0.0982468339211412</v>
      </c>
      <c r="E76" s="25" t="n">
        <f aca="false">D76-C76</f>
        <v>-1.66078858762631E-007</v>
      </c>
      <c r="F76" s="8" t="n">
        <v>5E-007</v>
      </c>
      <c r="G76" s="8" t="str">
        <f aca="false">IF(ISNUMBER(D76),IF(ABS(E76)&lt;=F76,"PASS","FAIL"),"FAIL")</f>
        <v>PASS</v>
      </c>
      <c r="H76" s="8"/>
    </row>
    <row r="77" customFormat="false" ht="15" hidden="false" customHeight="false" outlineLevel="0" collapsed="false">
      <c r="A77" s="33" t="s">
        <v>198</v>
      </c>
      <c r="B77" s="33" t="s">
        <v>256</v>
      </c>
      <c r="C77" s="36" t="n">
        <v>0.034689</v>
      </c>
      <c r="D77" s="36" t="n">
        <f aca="false">'The Ramp in Detail'!B89</f>
        <v>0.0346886172653875</v>
      </c>
      <c r="E77" s="36" t="n">
        <f aca="false">D77-C77</f>
        <v>-3.82734612489055E-007</v>
      </c>
      <c r="F77" s="33" t="n">
        <v>5E-007</v>
      </c>
      <c r="G77" s="33" t="str">
        <f aca="false">IF(ISNUMBER(D77),IF(ABS(E77)&lt;=F77,"PASS","FAIL"),"FAIL")</f>
        <v>PASS</v>
      </c>
      <c r="H77" s="33"/>
    </row>
    <row r="79" customFormat="false" ht="15" hidden="false" customHeight="false" outlineLevel="0" collapsed="false">
      <c r="B79" s="8" t="s">
        <v>257</v>
      </c>
      <c r="C79" s="38" t="n">
        <f aca="false">COUNTIF(G6:G77,"PASS")</f>
        <v>72</v>
      </c>
    </row>
    <row r="80" customFormat="false" ht="15" hidden="false" customHeight="false" outlineLevel="0" collapsed="false">
      <c r="B80" s="8" t="s">
        <v>258</v>
      </c>
      <c r="C80" s="38" t="n">
        <f aca="false">COUNTIF(G6:G77,"FAIL")</f>
        <v>0</v>
      </c>
    </row>
    <row r="81" customFormat="false" ht="15" hidden="false" customHeight="false" outlineLevel="0" collapsed="false">
      <c r="B81" s="39" t="s">
        <v>259</v>
      </c>
      <c r="C81" s="39" t="str">
        <f aca="false">IF(C80=0,"ALL OK",C80&amp;"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2026-08-29T05:10:14Z</dcterms:created>
  <dc:creator>openpyxl</dc:creator>
  <dc:description/>
  <dc:language>en-US</dc:language>
  <cp:lastModifiedBy/>
  <dcterms:modified xsi:type="dcterms:W3CDTF">2026-09-24T01:15:26Z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