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Engine" sheetId="3" state="visible" r:id="rId5"/>
    <sheet name="PME" sheetId="4" state="visible" r:id="rId6"/>
    <sheet name="Beyond One Index"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<sst xmlns="http://schemas.openxmlformats.org/spreadsheetml/2006/main" count="319" uniqueCount="178">
  <si>
    <t xml:space="preserve">The Public Market Equivalent</t>
  </si>
  <si>
    <t xml:space="preserve">Companion workbook 3 to Alternative Investments, by Julian R. Sterling</t>
  </si>
  <si>
    <t xml:space="preserve">What this workbook is</t>
  </si>
  <si>
    <t xml:space="preserve">The public market equivalent, worked in the open: every capital call is treated as a purchase of the index and every distribution as a sale, both are compounded to the same date, and the ratio between them is the answer.</t>
  </si>
  <si>
    <t xml:space="preserve">The experiment to run first</t>
  </si>
  <si>
    <t xml:space="preserve">Change the index return series on the Inputs sheet to a different market. The fund's own cash flows do not move and its internal rate of return does not move, and the PME moves a great deal. That is the point of the measure and also its weakness: the choice of index is a decision, and it should be made before the answer is known.</t>
  </si>
  <si>
    <t xml:space="preserve">On the leverage-matched index</t>
  </si>
  <si>
    <t xml:space="preserve">A private equity portfolio is a levered equity portfolio, so comparing it with an unlevered index credits it with leverage anyone can buy. The beta and the funding rate are inputs. Move them and watch the PME fall; the direction is certain and the size is a judgement.</t>
  </si>
  <si>
    <t xml:space="preserve">The Checks sheet reproduces every figure the book prints from this workbook's own formulas. If a check ever reads FAIL, the workbook is wrong, not the book.</t>
  </si>
  <si>
    <t xml:space="preserve">Revised 24 September 2026</t>
  </si>
  <si>
    <t xml:space="preserve">Every check now passes to half a unit of the last printed digit. New sheet, Beyond One Index: the average years of index compounding in the calls (8.02) and in the value returned (4.00), the levered shortcut, the benchmark at a beta of 1.30 computed year by year (8.4883 per cent, PME 1.1976), leverage funded at the cash row and at 3.00 per cent (the PME moves by 0.0070, not roughly 0.006), and the direct alpha against the levered index, which the book declines to compute: 5.2448 per cent.</t>
  </si>
  <si>
    <t xml:space="preserve">Thornbury — inputs</t>
  </si>
  <si>
    <t xml:space="preserve">Blue cells on a yellow fill are inputs. Everything else in this workbook is a formula.</t>
  </si>
  <si>
    <t xml:space="preserve">The foundation and the programme</t>
  </si>
  <si>
    <t xml:space="preserve">Total assets of the foundation</t>
  </si>
  <si>
    <t xml:space="preserve">Target allocation to alternatives</t>
  </si>
  <si>
    <t xml:space="preserve">Capital set aside for the sleeve</t>
  </si>
  <si>
    <t xml:space="preserve">Commitment to the programme</t>
  </si>
  <si>
    <t xml:space="preserve">Residual net asset value, end of Year 10</t>
  </si>
  <si>
    <t xml:space="preserve">Fees and the benchmark</t>
  </si>
  <si>
    <t xml:space="preserve">Management fee rate</t>
  </si>
  <si>
    <t xml:space="preserve">Carried interest</t>
  </si>
  <si>
    <t xml:space="preserve">Advisory and administration layer</t>
  </si>
  <si>
    <t xml:space="preserve">Beta for the leverage-matched index</t>
  </si>
  <si>
    <t xml:space="preserve">Funding rate for the levered index</t>
  </si>
  <si>
    <t xml:space="preserve">Smoothing coefficient</t>
  </si>
  <si>
    <t xml:space="preserve">Ten years, per cent and millions</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</si>
  <si>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</si>
  <si>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</si>
  <si>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</si>
  <si>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</si>
  <si>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</si>
  <si>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</si>
  <si>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</si>
  <si>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</si>
  <si>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</si>
  <si>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t>
  </si>
  <si>
    <t xml:space="preserve">Listed index return, %</t>
  </si>
  <si>
    <t xml:space="preserve">Cash return, %</t>
  </si>
  <si>
    <t xml:space="preserve">Capital calls</t>
  </si>
  <si>
    <t xml:space="preserve">Distributions</t>
  </si>
  <si>
    <t xml:space="preserve">Reported sleeve return, %</t>
  </si>
  <si>
    <t xml:space="preserve">Move a call or a distribution to another year and every number in this workbook moves.</t>
  </si>
  <si>
    <t xml:space="preserve">The engine</t>
  </si>
  <si>
    <t xml:space="preserve">The fund's flows, the sleeve on both idle policies, and the capital actually at work.</t>
  </si>
  <si>
    <t xml:space="preserve">Fund net flow (distributions less calls)</t>
  </si>
  <si>
    <t xml:space="preserve">Net capital at work, cumulative</t>
  </si>
  <si>
    <t xml:space="preserve">The sleeve, uncalled commitment held in CASH</t>
  </si>
  <si>
    <t xml:space="preserve">Balance after the flows</t>
  </si>
  <si>
    <t xml:space="preserve">Return earned on the balance</t>
  </si>
  <si>
    <t xml:space="preserve">Balance</t>
  </si>
  <si>
    <t xml:space="preserve">The sleeve, uncalled commitment held in the LISTED INDEX</t>
  </si>
  <si>
    <t xml:space="preserve">Compounding factors to the end of Year 10</t>
  </si>
  <si>
    <t xml:space="preserve">At the index</t>
  </si>
  <si>
    <t xml:space="preserve">At the leverage-matched index</t>
  </si>
  <si>
    <t xml:space="preserve">Totals</t>
  </si>
  <si>
    <t xml:space="preserve">Capital called</t>
  </si>
  <si>
    <t xml:space="preserve">Distributed</t>
  </si>
  <si>
    <t xml:space="preserve">Uncalled commitment</t>
  </si>
  <si>
    <t xml:space="preserve">Terminal value, cash policy</t>
  </si>
  <si>
    <t xml:space="preserve">Terminal value, index policy</t>
  </si>
  <si>
    <t xml:space="preserve">Peak net capital at work</t>
  </si>
  <si>
    <t xml:space="preserve">The public market equivalent</t>
  </si>
  <si>
    <t xml:space="preserve">Every flow bought or sold the index instead. Compound both, and compare.</t>
  </si>
  <si>
    <t xml:space="preserve">Calls compounded at the index</t>
  </si>
  <si>
    <t xml:space="preserve">Distributions compounded at the index</t>
  </si>
  <si>
    <t xml:space="preserve">Calls compounded at the levered index</t>
  </si>
  <si>
    <t xml:space="preserve">Distributions compounded at the levered index</t>
  </si>
  <si>
    <t xml:space="preserve">Against the index</t>
  </si>
  <si>
    <t xml:space="preserve">Calls compounded</t>
  </si>
  <si>
    <t xml:space="preserve">Distributions compounded plus the residual</t>
  </si>
  <si>
    <t xml:space="preserve">Kaplan-Schoar PME</t>
  </si>
  <si>
    <t xml:space="preserve">Value added against the index, in money</t>
  </si>
  <si>
    <t xml:space="preserve">Against the leverage-matched index</t>
  </si>
  <si>
    <t xml:space="preserve">Levered index, annualised</t>
  </si>
  <si>
    <t xml:space="preserve">PME against the levered index</t>
  </si>
  <si>
    <t xml:space="preserve">Direct alpha — the index-adjusted flow series</t>
  </si>
  <si>
    <t xml:space="preserve">t = 0</t>
  </si>
  <si>
    <t xml:space="preserve">t = 1</t>
  </si>
  <si>
    <t xml:space="preserve">t = 2</t>
  </si>
  <si>
    <t xml:space="preserve">t = 3</t>
  </si>
  <si>
    <t xml:space="preserve">t = 4</t>
  </si>
  <si>
    <t xml:space="preserve">t = 5</t>
  </si>
  <si>
    <t xml:space="preserve">t = 6</t>
  </si>
  <si>
    <t xml:space="preserve">t = 7</t>
  </si>
  <si>
    <t xml:space="preserve">t = 8</t>
  </si>
  <si>
    <t xml:space="preserve">t = 9</t>
  </si>
  <si>
    <t xml:space="preserve">t = 10</t>
  </si>
  <si>
    <t xml:space="preserve">Index-adjusted net flow</t>
  </si>
  <si>
    <t xml:space="preserve">Direct alpha</t>
  </si>
  <si>
    <t xml:space="preserve">Index, annualised</t>
  </si>
  <si>
    <t xml:space="preserve">A PME above 1.00 means the programme beat the index on the same cash flows. It says nothing</t>
  </si>
  <si>
    <t xml:space="preserve">about what the investor earned on the capital that was not called: that is workbook 1.</t>
  </si>
  <si>
    <t xml:space="preserve">Beyond one index: what Chapters 6 and 7 compute in the text</t>
  </si>
  <si>
    <t xml:space="preserve">The book gives two points (beta 1.00 and 1.15, funded at 2.00). This sheet computes the others it mentions, on the same formulas.</t>
  </si>
  <si>
    <t xml:space="preserve">Where the outperformance lives (Chapter 6)</t>
  </si>
  <si>
    <t xml:space="preserve">Calls grew by a factor of</t>
  </si>
  <si>
    <t xml:space="preserve">  years of index compounding that implies</t>
  </si>
  <si>
    <t xml:space="preserve">Distributions and residual grew by</t>
  </si>
  <si>
    <t xml:space="preserve">  years of index compounding</t>
  </si>
  <si>
    <t xml:space="preserve">Distributions alone, compounded</t>
  </si>
  <si>
    <t xml:space="preserve">Value added, in money</t>
  </si>
  <si>
    <t xml:space="preserve">The shortcut: the PME ratio annualised over ten years</t>
  </si>
  <si>
    <t xml:space="preserve">not direct alpha: it spreads the gain over ten years</t>
  </si>
  <si>
    <t xml:space="preserve">The levered benchmark (Chapter 7)</t>
  </si>
  <si>
    <t xml:space="preserve">Shortcut: the ten-year index return levered directly</t>
  </si>
  <si>
    <t xml:space="preserve">  overstatement against the year-by-year levered index</t>
  </si>
  <si>
    <t xml:space="preserve">What the leverage bought, a year</t>
  </si>
  <si>
    <t xml:space="preserve">Share of the value added the adjustment removes</t>
  </si>
  <si>
    <t xml:space="preserve">Decline in the ratio</t>
  </si>
  <si>
    <t xml:space="preserve">PME lost per point of benchmark return</t>
  </si>
  <si>
    <t xml:space="preserve">Straight line: benchmark return at which the PME reaches 1.00, per cent</t>
  </si>
  <si>
    <t xml:space="preserve">an order of magnitude, as Chapter 16 says</t>
  </si>
  <si>
    <t xml:space="preserve">Straight line to a beta of 1.30: benchmark, per cent</t>
  </si>
  <si>
    <t xml:space="preserve">Straight line to a beta of 1.30: PME</t>
  </si>
  <si>
    <t xml:space="preserve">Three benchmarks computed year by year (the steps in column B are not inputs)</t>
  </si>
  <si>
    <t xml:space="preserve">Beta 1.30, funded at 2.00 per cent</t>
  </si>
  <si>
    <t xml:space="preserve">Levered return, per cent</t>
  </si>
  <si>
    <t xml:space="preserve">Growth to the end of Year 10</t>
  </si>
  <si>
    <t xml:space="preserve">Annualised</t>
  </si>
  <si>
    <t xml:space="preserve">PME</t>
  </si>
  <si>
    <t xml:space="preserve">Beta as on the Inputs sheet, funded at the cash row</t>
  </si>
  <si>
    <t xml:space="preserve">Beta as on the Inputs sheet, funded at 3.00 per cent</t>
  </si>
  <si>
    <t xml:space="preserve">PME change from funding at 3.00 rather than 2.00</t>
  </si>
  <si>
    <t xml:space="preserve">revised: the book says roughly 0.006x</t>
  </si>
  <si>
    <t xml:space="preserve">Direct alpha against the levered index (Chapter 7 declines to compute it)</t>
  </si>
  <si>
    <t xml:space="preserve">Index-adjusted net flow, levered</t>
  </si>
  <si>
    <t xml:space="preserve">Direct alpha against the levered index</t>
  </si>
  <si>
    <t xml:space="preserve">new</t>
  </si>
  <si>
    <t xml:space="preserve">  below the unlevered direct alpha by</t>
  </si>
  <si>
    <t xml:space="preserve">Checks</t>
  </si>
  <si>
    <t xml:space="preserve">Each row sets a figure printed in the book beside the figure this workbook computes. Revised 24 September 2026: tolerances are now half a unit of the last printed digit, and every row must pass.</t>
  </si>
  <si>
    <t xml:space="preserve">Ch.</t>
  </si>
  <si>
    <t xml:space="preserve">Figure</t>
  </si>
  <si>
    <t xml:space="preserve">Printed</t>
  </si>
  <si>
    <t xml:space="preserve">Workbook</t>
  </si>
  <si>
    <t xml:space="preserve">Difference</t>
  </si>
  <si>
    <t xml:space="preserve">Tolerance</t>
  </si>
  <si>
    <t xml:space="preserve">Result</t>
  </si>
  <si>
    <t xml:space="preserve">Note</t>
  </si>
  <si>
    <t xml:space="preserve">6</t>
  </si>
  <si>
    <t xml:space="preserve">Distributions plus residual compounded</t>
  </si>
  <si>
    <t xml:space="preserve">7</t>
  </si>
  <si>
    <t xml:space="preserve">1</t>
  </si>
  <si>
    <t xml:space="preserve">Calls growth factor</t>
  </si>
  <si>
    <t xml:space="preserve">  years</t>
  </si>
  <si>
    <t xml:space="preserve">Value growth factor</t>
  </si>
  <si>
    <t xml:space="preserve">the book prints 3.9988</t>
  </si>
  <si>
    <t xml:space="preserve">Distributions compounded</t>
  </si>
  <si>
    <t xml:space="preserve">Value added in money</t>
  </si>
  <si>
    <t xml:space="preserve">the book prints 250.24 (1,230.20 less 979.96)</t>
  </si>
  <si>
    <t xml:space="preserve">Naive annualisation of the PME</t>
  </si>
  <si>
    <t xml:space="preserve">Levered shortcut</t>
  </si>
  <si>
    <t xml:space="preserve">the book prints 7.9009 (from the rounded 7.1312)</t>
  </si>
  <si>
    <t xml:space="preserve">  overstatement</t>
  </si>
  <si>
    <t xml:space="preserve">the book prints 0.0806</t>
  </si>
  <si>
    <t xml:space="preserve">Leverage bought</t>
  </si>
  <si>
    <t xml:space="preserve">the book prints 0.6891 (7.8203 less 7.1312)</t>
  </si>
  <si>
    <t xml:space="preserve">Share of value added removed</t>
  </si>
  <si>
    <t xml:space="preserve">16</t>
  </si>
  <si>
    <t xml:space="preserve">the book prints 2.3817</t>
  </si>
  <si>
    <t xml:space="preserve">PME per point of benchmark</t>
  </si>
  <si>
    <t xml:space="preserve">PME reaches 1.00 at about</t>
  </si>
  <si>
    <t xml:space="preserve">order of magnitude</t>
  </si>
  <si>
    <t xml:space="preserve">Straight line at 1.30: benchmark</t>
  </si>
  <si>
    <t xml:space="preserve">Straight line at 1.30: PME</t>
  </si>
  <si>
    <t xml:space="preserve">Beta 1.30 computed: benchmark</t>
  </si>
  <si>
    <t xml:space="preserve">Beta 1.30 computed: PME</t>
  </si>
  <si>
    <t xml:space="preserve">new: "a shade above 1.1956x"</t>
  </si>
  <si>
    <t xml:space="preserve">Funded at the cash row</t>
  </si>
  <si>
    <t xml:space="preserve">Funded at 3.00</t>
  </si>
  <si>
    <t xml:space="preserve">PME change at 3.00</t>
  </si>
  <si>
    <t xml:space="preserve">Direct alpha, levered index</t>
  </si>
  <si>
    <t xml:space="preserve">Calls compounded, Year 2</t>
  </si>
  <si>
    <t xml:space="preserve">Distributions compounded, Year 8</t>
  </si>
  <si>
    <t xml:space="preserve">Checks that pass</t>
  </si>
  <si>
    <t xml:space="preserve">Checks that fail</t>
  </si>
  <si>
    <t xml:space="preserve">All checks</t>
  </si>
</sst>
</file>

<file path=xl/styles.xml><?xml version="1.0" encoding="utf-8"?>
<styleSheet xmlns="http://schemas.openxmlformats.org/spreadsheetml/2006/main">
  <numFmts count="13">
    <numFmt numFmtId="164" formatCode="General"/>
    <numFmt numFmtId="165" formatCode="#,##0.00;\-#,##0.00"/>
    <numFmt numFmtId="166" formatCode="0.0%;\-0.0%"/>
    <numFmt numFmtId="167" formatCode="0.0000%"/>
    <numFmt numFmtId="168" formatCode="0.00"/>
    <numFmt numFmtId="169" formatCode="0.00\%"/>
    <numFmt numFmtId="170" formatCode="0.0000"/>
    <numFmt numFmtId="171" formatCode="#,##0;\-#,##0"/>
    <numFmt numFmtId="172" formatCode="0.000000"/>
    <numFmt numFmtId="173" formatCode="0.0000\x"/>
    <numFmt numFmtId="174" formatCode="#,##0.00"/>
    <numFmt numFmtId="175" formatCode="0.0"/>
    <numFmt numFmtId="176" formatCode="General"/>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i val="true"/>
      <sz val="9"/>
      <color rgb="FF5A6A70"/>
      <name val="Calibri"/>
      <family val="0"/>
      <charset val="1"/>
    </font>
    <font>
      <b val="true"/>
      <sz val="11"/>
      <color rgb="FF1A1A1A"/>
      <name val="Calibri"/>
      <family val="0"/>
      <charset val="1"/>
    </font>
    <font>
      <b val="true"/>
      <sz val="11"/>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6" customFormat="false" ht="30" hidden="false" customHeight="true" outlineLevel="0" collapsed="false">
      <c r="A16" s="5" t="s">
        <v>8</v>
      </c>
    </row>
    <row r="18" customFormat="false" ht="15" hidden="false" customHeight="false" outlineLevel="0" collapsed="false">
      <c r="A18" s="6" t="s">
        <v>9</v>
      </c>
    </row>
    <row r="20" customFormat="false" ht="55.2" hidden="false" customHeight="false" outlineLevel="0" collapsed="false">
      <c r="A20" s="5"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11" min="2" style="0" width="12"/>
  </cols>
  <sheetData>
    <row r="1" customFormat="false" ht="24" hidden="false" customHeight="true" outlineLevel="0" collapsed="false">
      <c r="A1" s="1" t="s">
        <v>11</v>
      </c>
    </row>
    <row r="2" customFormat="false" ht="15" hidden="false" customHeight="false" outlineLevel="0" collapsed="false">
      <c r="A2" s="2" t="s">
        <v>12</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4" t="s">
        <v>13</v>
      </c>
      <c r="B5" s="7"/>
      <c r="C5" s="7"/>
      <c r="D5" s="7"/>
      <c r="E5" s="7"/>
      <c r="F5" s="7"/>
      <c r="G5" s="7"/>
      <c r="H5" s="7"/>
      <c r="I5" s="7"/>
      <c r="J5" s="7"/>
      <c r="K5" s="7"/>
    </row>
    <row r="7" customFormat="false" ht="15" hidden="false" customHeight="false" outlineLevel="0" collapsed="false">
      <c r="A7" s="8" t="s">
        <v>14</v>
      </c>
      <c r="B7" s="9" t="n">
        <v>2000</v>
      </c>
    </row>
    <row r="8" customFormat="false" ht="15" hidden="false" customHeight="false" outlineLevel="0" collapsed="false">
      <c r="A8" s="8" t="s">
        <v>15</v>
      </c>
      <c r="B8" s="10" t="n">
        <v>0.3</v>
      </c>
    </row>
    <row r="9" customFormat="false" ht="15" hidden="false" customHeight="false" outlineLevel="0" collapsed="false">
      <c r="A9" s="8" t="s">
        <v>16</v>
      </c>
      <c r="B9" s="9" t="n">
        <v>600</v>
      </c>
    </row>
    <row r="10" customFormat="false" ht="15" hidden="false" customHeight="false" outlineLevel="0" collapsed="false">
      <c r="A10" s="8" t="s">
        <v>17</v>
      </c>
      <c r="B10" s="9" t="n">
        <v>600</v>
      </c>
    </row>
    <row r="11" customFormat="false" ht="15" hidden="false" customHeight="false" outlineLevel="0" collapsed="false">
      <c r="A11" s="8" t="s">
        <v>18</v>
      </c>
      <c r="B11" s="9" t="n">
        <v>143</v>
      </c>
    </row>
    <row r="13" customFormat="false" ht="15" hidden="false" customHeight="false" outlineLevel="0" collapsed="false">
      <c r="A13" s="4" t="s">
        <v>19</v>
      </c>
      <c r="B13" s="7"/>
      <c r="C13" s="7"/>
      <c r="D13" s="7"/>
      <c r="E13" s="7"/>
      <c r="F13" s="7"/>
      <c r="G13" s="7"/>
      <c r="H13" s="7"/>
      <c r="I13" s="7"/>
      <c r="J13" s="7"/>
      <c r="K13" s="7"/>
    </row>
    <row r="15" customFormat="false" ht="15" hidden="false" customHeight="false" outlineLevel="0" collapsed="false">
      <c r="A15" s="8" t="s">
        <v>20</v>
      </c>
      <c r="B15" s="11" t="n">
        <v>0.0175</v>
      </c>
    </row>
    <row r="16" customFormat="false" ht="15" hidden="false" customHeight="false" outlineLevel="0" collapsed="false">
      <c r="A16" s="8" t="s">
        <v>21</v>
      </c>
      <c r="B16" s="10" t="n">
        <v>0.2</v>
      </c>
    </row>
    <row r="17" customFormat="false" ht="15" hidden="false" customHeight="false" outlineLevel="0" collapsed="false">
      <c r="A17" s="8" t="s">
        <v>22</v>
      </c>
      <c r="B17" s="11" t="n">
        <v>0.0035</v>
      </c>
    </row>
    <row r="18" customFormat="false" ht="15" hidden="false" customHeight="false" outlineLevel="0" collapsed="false">
      <c r="A18" s="8" t="s">
        <v>23</v>
      </c>
      <c r="B18" s="12" t="n">
        <v>1.15</v>
      </c>
    </row>
    <row r="19" customFormat="false" ht="15" hidden="false" customHeight="false" outlineLevel="0" collapsed="false">
      <c r="A19" s="8" t="s">
        <v>24</v>
      </c>
      <c r="B19" s="13" t="n">
        <v>2</v>
      </c>
    </row>
    <row r="20" customFormat="false" ht="15" hidden="false" customHeight="false" outlineLevel="0" collapsed="false">
      <c r="A20" s="8" t="s">
        <v>25</v>
      </c>
      <c r="B20" s="14" t="n">
        <v>0.5245</v>
      </c>
    </row>
    <row r="22" customFormat="false" ht="15" hidden="false" customHeight="false" outlineLevel="0" collapsed="false">
      <c r="A22" s="4" t="s">
        <v>26</v>
      </c>
      <c r="B22" s="7"/>
      <c r="C22" s="7"/>
      <c r="D22" s="7"/>
      <c r="E22" s="7"/>
      <c r="F22" s="7"/>
      <c r="G22" s="7"/>
      <c r="H22" s="7"/>
      <c r="I22" s="7"/>
      <c r="J22" s="7"/>
      <c r="K22" s="7"/>
    </row>
    <row r="24" customFormat="false" ht="30" hidden="false" customHeight="true" outlineLevel="0" collapsed="false">
      <c r="A24" s="15"/>
      <c r="B24" s="16" t="s">
        <v>27</v>
      </c>
      <c r="C24" s="16" t="s">
        <v>28</v>
      </c>
      <c r="D24" s="16" t="s">
        <v>29</v>
      </c>
      <c r="E24" s="16" t="s">
        <v>30</v>
      </c>
      <c r="F24" s="16" t="s">
        <v>31</v>
      </c>
      <c r="G24" s="16" t="s">
        <v>32</v>
      </c>
      <c r="H24" s="16" t="s">
        <v>33</v>
      </c>
      <c r="I24" s="16" t="s">
        <v>34</v>
      </c>
      <c r="J24" s="16" t="s">
        <v>35</v>
      </c>
      <c r="K24" s="16" t="s">
        <v>36</v>
      </c>
    </row>
    <row r="25" customFormat="false" ht="15" hidden="false" customHeight="false" outlineLevel="0" collapsed="false">
      <c r="A25" s="8" t="s">
        <v>37</v>
      </c>
      <c r="B25" s="12" t="n">
        <v>12.4</v>
      </c>
      <c r="C25" s="12" t="n">
        <v>8.1</v>
      </c>
      <c r="D25" s="12" t="n">
        <v>-6.7</v>
      </c>
      <c r="E25" s="12" t="n">
        <v>18.3</v>
      </c>
      <c r="F25" s="12" t="n">
        <v>9.6</v>
      </c>
      <c r="G25" s="12" t="n">
        <v>2.4</v>
      </c>
      <c r="H25" s="12" t="n">
        <v>14.1</v>
      </c>
      <c r="I25" s="12" t="n">
        <v>-11.2</v>
      </c>
      <c r="J25" s="12" t="n">
        <v>21.7</v>
      </c>
      <c r="K25" s="12" t="n">
        <v>7.3</v>
      </c>
    </row>
    <row r="26" customFormat="false" ht="15" hidden="false" customHeight="false" outlineLevel="0" collapsed="false">
      <c r="A26" s="8" t="s">
        <v>38</v>
      </c>
      <c r="B26" s="12" t="n">
        <v>0.8</v>
      </c>
      <c r="C26" s="12" t="n">
        <v>0.5</v>
      </c>
      <c r="D26" s="12" t="n">
        <v>0.4</v>
      </c>
      <c r="E26" s="12" t="n">
        <v>1.2</v>
      </c>
      <c r="F26" s="12" t="n">
        <v>2.1</v>
      </c>
      <c r="G26" s="12" t="n">
        <v>3.4</v>
      </c>
      <c r="H26" s="12" t="n">
        <v>4.1</v>
      </c>
      <c r="I26" s="12" t="n">
        <v>3.6</v>
      </c>
      <c r="J26" s="12" t="n">
        <v>2.9</v>
      </c>
      <c r="K26" s="12" t="n">
        <v>2.5</v>
      </c>
    </row>
    <row r="27" customFormat="false" ht="15" hidden="false" customHeight="false" outlineLevel="0" collapsed="false">
      <c r="A27" s="8" t="s">
        <v>39</v>
      </c>
      <c r="B27" s="17" t="n">
        <v>90</v>
      </c>
      <c r="C27" s="17" t="n">
        <v>150</v>
      </c>
      <c r="D27" s="17" t="n">
        <v>138</v>
      </c>
      <c r="E27" s="17" t="n">
        <v>120</v>
      </c>
      <c r="F27" s="17" t="n">
        <v>66</v>
      </c>
      <c r="G27" s="17" t="n">
        <v>0</v>
      </c>
      <c r="H27" s="17" t="n">
        <v>0</v>
      </c>
      <c r="I27" s="17" t="n">
        <v>0</v>
      </c>
      <c r="J27" s="17" t="n">
        <v>0</v>
      </c>
      <c r="K27" s="17" t="n">
        <v>0</v>
      </c>
    </row>
    <row r="28" customFormat="false" ht="15" hidden="false" customHeight="false" outlineLevel="0" collapsed="false">
      <c r="A28" s="8" t="s">
        <v>40</v>
      </c>
      <c r="B28" s="17" t="n">
        <v>0</v>
      </c>
      <c r="C28" s="17" t="n">
        <v>0</v>
      </c>
      <c r="D28" s="17" t="n">
        <v>29</v>
      </c>
      <c r="E28" s="17" t="n">
        <v>86</v>
      </c>
      <c r="F28" s="17" t="n">
        <v>143</v>
      </c>
      <c r="G28" s="17" t="n">
        <v>152</v>
      </c>
      <c r="H28" s="17" t="n">
        <v>133</v>
      </c>
      <c r="I28" s="17" t="n">
        <v>95</v>
      </c>
      <c r="J28" s="17" t="n">
        <v>86</v>
      </c>
      <c r="K28" s="17" t="n">
        <v>67</v>
      </c>
    </row>
    <row r="29" customFormat="false" ht="15" hidden="false" customHeight="false" outlineLevel="0" collapsed="false">
      <c r="A29" s="8" t="s">
        <v>41</v>
      </c>
      <c r="B29" s="12" t="n">
        <v>13.4</v>
      </c>
      <c r="C29" s="12" t="n">
        <v>14.1</v>
      </c>
      <c r="D29" s="12" t="n">
        <v>11.8</v>
      </c>
      <c r="E29" s="12" t="n">
        <v>9.2</v>
      </c>
      <c r="F29" s="12" t="n">
        <v>12.6</v>
      </c>
      <c r="G29" s="12" t="n">
        <v>13.3</v>
      </c>
      <c r="H29" s="12" t="n">
        <v>10.9</v>
      </c>
      <c r="I29" s="12" t="n">
        <v>4.8</v>
      </c>
      <c r="J29" s="12" t="n">
        <v>6.1</v>
      </c>
      <c r="K29" s="12" t="n">
        <v>9.7</v>
      </c>
    </row>
    <row r="31" customFormat="false" ht="15" hidden="false" customHeight="false" outlineLevel="0" collapsed="false">
      <c r="A31" s="18" t="s">
        <v>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12" min="2" style="0" width="14"/>
  </cols>
  <sheetData>
    <row r="1" customFormat="false" ht="24" hidden="false" customHeight="true" outlineLevel="0" collapsed="false">
      <c r="A1" s="1" t="s">
        <v>43</v>
      </c>
    </row>
    <row r="2" customFormat="false" ht="15" hidden="false" customHeight="false" outlineLevel="0" collapsed="false">
      <c r="A2" s="2" t="s">
        <v>44</v>
      </c>
    </row>
    <row r="3" customFormat="false" ht="15" hidden="false" customHeight="false" outlineLevel="0" collapsed="false">
      <c r="A3" s="3"/>
      <c r="B3" s="3"/>
      <c r="C3" s="3"/>
      <c r="D3" s="3"/>
      <c r="E3" s="3"/>
      <c r="F3" s="3"/>
      <c r="G3" s="3"/>
      <c r="H3" s="3"/>
      <c r="I3" s="3"/>
      <c r="J3" s="3"/>
      <c r="K3" s="3"/>
    </row>
    <row r="5" customFormat="false" ht="30" hidden="false" customHeight="true" outlineLevel="0" collapsed="false">
      <c r="A5" s="15"/>
      <c r="B5" s="16" t="s">
        <v>27</v>
      </c>
      <c r="C5" s="16" t="s">
        <v>28</v>
      </c>
      <c r="D5" s="16" t="s">
        <v>29</v>
      </c>
      <c r="E5" s="16" t="s">
        <v>30</v>
      </c>
      <c r="F5" s="16" t="s">
        <v>31</v>
      </c>
      <c r="G5" s="16" t="s">
        <v>32</v>
      </c>
      <c r="H5" s="16" t="s">
        <v>33</v>
      </c>
      <c r="I5" s="16" t="s">
        <v>34</v>
      </c>
      <c r="J5" s="16" t="s">
        <v>35</v>
      </c>
      <c r="K5" s="16" t="s">
        <v>36</v>
      </c>
    </row>
    <row r="6" customFormat="false" ht="15" hidden="false" customHeight="false" outlineLevel="0" collapsed="false">
      <c r="A6" s="19" t="s">
        <v>45</v>
      </c>
      <c r="B6" s="20" t="n">
        <f aca="false">Inputs!B28-Inputs!B27</f>
        <v>-90</v>
      </c>
      <c r="C6" s="20" t="n">
        <f aca="false">Inputs!C28-Inputs!C27</f>
        <v>-150</v>
      </c>
      <c r="D6" s="20" t="n">
        <f aca="false">Inputs!D28-Inputs!D27</f>
        <v>-109</v>
      </c>
      <c r="E6" s="20" t="n">
        <f aca="false">Inputs!E28-Inputs!E27</f>
        <v>-34</v>
      </c>
      <c r="F6" s="20" t="n">
        <f aca="false">Inputs!F28-Inputs!F27</f>
        <v>77</v>
      </c>
      <c r="G6" s="20" t="n">
        <f aca="false">Inputs!G28-Inputs!G27</f>
        <v>152</v>
      </c>
      <c r="H6" s="20" t="n">
        <f aca="false">Inputs!H28-Inputs!H27</f>
        <v>133</v>
      </c>
      <c r="I6" s="20" t="n">
        <f aca="false">Inputs!I28-Inputs!I27</f>
        <v>95</v>
      </c>
      <c r="J6" s="20" t="n">
        <f aca="false">Inputs!J28-Inputs!J27</f>
        <v>86</v>
      </c>
      <c r="K6" s="20" t="n">
        <f aca="false">Inputs!K28-Inputs!K27+Inputs!$B$11</f>
        <v>210</v>
      </c>
    </row>
    <row r="7" customFormat="false" ht="15" hidden="false" customHeight="false" outlineLevel="0" collapsed="false">
      <c r="A7" s="8" t="s">
        <v>46</v>
      </c>
      <c r="B7" s="21" t="n">
        <f aca="false">Inputs!B27-Inputs!B28</f>
        <v>90</v>
      </c>
      <c r="C7" s="21" t="n">
        <f aca="false">B7+Inputs!C27-Inputs!C28</f>
        <v>240</v>
      </c>
      <c r="D7" s="21" t="n">
        <f aca="false">C7+Inputs!D27-Inputs!D28</f>
        <v>349</v>
      </c>
      <c r="E7" s="21" t="n">
        <f aca="false">D7+Inputs!E27-Inputs!E28</f>
        <v>383</v>
      </c>
      <c r="F7" s="21" t="n">
        <f aca="false">E7+Inputs!F27-Inputs!F28</f>
        <v>306</v>
      </c>
      <c r="G7" s="21" t="n">
        <f aca="false">F7+Inputs!G27-Inputs!G28</f>
        <v>154</v>
      </c>
      <c r="H7" s="21" t="n">
        <f aca="false">G7+Inputs!H27-Inputs!H28</f>
        <v>21</v>
      </c>
      <c r="I7" s="21" t="n">
        <f aca="false">H7+Inputs!I27-Inputs!I28</f>
        <v>-74</v>
      </c>
      <c r="J7" s="21" t="n">
        <f aca="false">I7+Inputs!J27-Inputs!J28</f>
        <v>-160</v>
      </c>
      <c r="K7" s="21" t="n">
        <f aca="false">J7+Inputs!K27-Inputs!K28</f>
        <v>-227</v>
      </c>
    </row>
    <row r="9" customFormat="false" ht="15" hidden="false" customHeight="false" outlineLevel="0" collapsed="false">
      <c r="A9" s="4" t="s">
        <v>47</v>
      </c>
      <c r="B9" s="7"/>
      <c r="C9" s="7"/>
      <c r="D9" s="7"/>
      <c r="E9" s="7"/>
      <c r="F9" s="7"/>
      <c r="G9" s="7"/>
      <c r="H9" s="7"/>
      <c r="I9" s="7"/>
      <c r="J9" s="7"/>
      <c r="K9" s="7"/>
    </row>
    <row r="11" customFormat="false" ht="30" hidden="false" customHeight="true" outlineLevel="0" collapsed="false">
      <c r="A11" s="15"/>
      <c r="B11" s="16" t="s">
        <v>27</v>
      </c>
      <c r="C11" s="16" t="s">
        <v>28</v>
      </c>
      <c r="D11" s="16" t="s">
        <v>29</v>
      </c>
      <c r="E11" s="16" t="s">
        <v>30</v>
      </c>
      <c r="F11" s="16" t="s">
        <v>31</v>
      </c>
      <c r="G11" s="16" t="s">
        <v>32</v>
      </c>
      <c r="H11" s="16" t="s">
        <v>33</v>
      </c>
      <c r="I11" s="16" t="s">
        <v>34</v>
      </c>
      <c r="J11" s="16" t="s">
        <v>35</v>
      </c>
      <c r="K11" s="16" t="s">
        <v>36</v>
      </c>
    </row>
    <row r="12" customFormat="false" ht="15" hidden="false" customHeight="false" outlineLevel="0" collapsed="false">
      <c r="A12" s="8" t="s">
        <v>48</v>
      </c>
      <c r="B12" s="21" t="n">
        <f aca="false">Inputs!$B$9-Inputs!B27+Inputs!B28</f>
        <v>510</v>
      </c>
      <c r="C12" s="21" t="n">
        <f aca="false">B14-Inputs!C27+Inputs!C28</f>
        <v>364.08</v>
      </c>
      <c r="D12" s="21" t="n">
        <f aca="false">C14-Inputs!D27+Inputs!D28</f>
        <v>256.9004</v>
      </c>
      <c r="E12" s="21" t="n">
        <f aca="false">D14-Inputs!E27+Inputs!E28</f>
        <v>223.9280016</v>
      </c>
      <c r="F12" s="21" t="n">
        <f aca="false">E14-Inputs!F27+Inputs!F28</f>
        <v>303.6151376192</v>
      </c>
      <c r="G12" s="21" t="n">
        <f aca="false">F14-Inputs!G27+Inputs!G28</f>
        <v>461.991055509203</v>
      </c>
      <c r="H12" s="21" t="n">
        <f aca="false">G14-Inputs!H27+Inputs!H28</f>
        <v>610.698751396516</v>
      </c>
      <c r="I12" s="21" t="n">
        <f aca="false">H14-Inputs!I27+Inputs!I28</f>
        <v>730.737400203773</v>
      </c>
      <c r="J12" s="21" t="n">
        <f aca="false">I14-Inputs!J27+Inputs!J28</f>
        <v>843.043946611109</v>
      </c>
      <c r="K12" s="21" t="n">
        <f aca="false">J14-Inputs!K27+Inputs!K28</f>
        <v>934.492221062831</v>
      </c>
    </row>
    <row r="13" customFormat="false" ht="15" hidden="false" customHeight="false" outlineLevel="0" collapsed="false">
      <c r="A13" s="8" t="s">
        <v>49</v>
      </c>
      <c r="B13" s="21" t="n">
        <f aca="false">B12*Inputs!B26/100</f>
        <v>4.08</v>
      </c>
      <c r="C13" s="21" t="n">
        <f aca="false">C12*Inputs!C26/100</f>
        <v>1.8204</v>
      </c>
      <c r="D13" s="21" t="n">
        <f aca="false">D12*Inputs!D26/100</f>
        <v>1.0276016</v>
      </c>
      <c r="E13" s="21" t="n">
        <f aca="false">E12*Inputs!E26/100</f>
        <v>2.6871360192</v>
      </c>
      <c r="F13" s="21" t="n">
        <f aca="false">F12*Inputs!F26/100</f>
        <v>6.3759178900032</v>
      </c>
      <c r="G13" s="21" t="n">
        <f aca="false">G12*Inputs!G26/100</f>
        <v>15.7076958873129</v>
      </c>
      <c r="H13" s="21" t="n">
        <f aca="false">H12*Inputs!H26/100</f>
        <v>25.0386488072572</v>
      </c>
      <c r="I13" s="21" t="n">
        <f aca="false">I12*Inputs!I26/100</f>
        <v>26.3065464073358</v>
      </c>
      <c r="J13" s="21" t="n">
        <f aca="false">J12*Inputs!J26/100</f>
        <v>24.4482744517222</v>
      </c>
      <c r="K13" s="21" t="n">
        <f aca="false">K12*Inputs!K26/100</f>
        <v>23.3623055265708</v>
      </c>
    </row>
    <row r="14" customFormat="false" ht="15" hidden="false" customHeight="false" outlineLevel="0" collapsed="false">
      <c r="A14" s="19" t="s">
        <v>50</v>
      </c>
      <c r="B14" s="20" t="n">
        <f aca="false">B12+B13</f>
        <v>514.08</v>
      </c>
      <c r="C14" s="20" t="n">
        <f aca="false">C12+C13</f>
        <v>365.9004</v>
      </c>
      <c r="D14" s="20" t="n">
        <f aca="false">D12+D13</f>
        <v>257.9280016</v>
      </c>
      <c r="E14" s="20" t="n">
        <f aca="false">E12+E13</f>
        <v>226.6151376192</v>
      </c>
      <c r="F14" s="20" t="n">
        <f aca="false">F12+F13</f>
        <v>309.991055509203</v>
      </c>
      <c r="G14" s="20" t="n">
        <f aca="false">G12+G13</f>
        <v>477.698751396516</v>
      </c>
      <c r="H14" s="20" t="n">
        <f aca="false">H12+H13</f>
        <v>635.737400203773</v>
      </c>
      <c r="I14" s="20" t="n">
        <f aca="false">I12+I13</f>
        <v>757.043946611109</v>
      </c>
      <c r="J14" s="20" t="n">
        <f aca="false">J12+J13</f>
        <v>867.492221062831</v>
      </c>
      <c r="K14" s="20" t="n">
        <f aca="false">K12+K13</f>
        <v>957.854526589402</v>
      </c>
    </row>
    <row r="16" customFormat="false" ht="15" hidden="false" customHeight="false" outlineLevel="0" collapsed="false">
      <c r="A16" s="4" t="s">
        <v>51</v>
      </c>
      <c r="B16" s="7"/>
      <c r="C16" s="7"/>
      <c r="D16" s="7"/>
      <c r="E16" s="7"/>
      <c r="F16" s="7"/>
      <c r="G16" s="7"/>
      <c r="H16" s="7"/>
      <c r="I16" s="7"/>
      <c r="J16" s="7"/>
      <c r="K16" s="7"/>
    </row>
    <row r="18" customFormat="false" ht="30" hidden="false" customHeight="true" outlineLevel="0" collapsed="false">
      <c r="A18" s="15"/>
      <c r="B18" s="16" t="s">
        <v>27</v>
      </c>
      <c r="C18" s="16" t="s">
        <v>28</v>
      </c>
      <c r="D18" s="16" t="s">
        <v>29</v>
      </c>
      <c r="E18" s="16" t="s">
        <v>30</v>
      </c>
      <c r="F18" s="16" t="s">
        <v>31</v>
      </c>
      <c r="G18" s="16" t="s">
        <v>32</v>
      </c>
      <c r="H18" s="16" t="s">
        <v>33</v>
      </c>
      <c r="I18" s="16" t="s">
        <v>34</v>
      </c>
      <c r="J18" s="16" t="s">
        <v>35</v>
      </c>
      <c r="K18" s="16" t="s">
        <v>36</v>
      </c>
    </row>
    <row r="19" customFormat="false" ht="15" hidden="false" customHeight="false" outlineLevel="0" collapsed="false">
      <c r="A19" s="8" t="s">
        <v>48</v>
      </c>
      <c r="B19" s="21" t="n">
        <f aca="false">Inputs!$B$9-Inputs!B27+Inputs!B28</f>
        <v>510</v>
      </c>
      <c r="C19" s="21" t="n">
        <f aca="false">B21-Inputs!C27+Inputs!C28</f>
        <v>423.24</v>
      </c>
      <c r="D19" s="21" t="n">
        <f aca="false">C21-Inputs!D27+Inputs!D28</f>
        <v>348.52244</v>
      </c>
      <c r="E19" s="21" t="n">
        <f aca="false">D21-Inputs!E27+Inputs!E28</f>
        <v>291.17143652</v>
      </c>
      <c r="F19" s="21" t="n">
        <f aca="false">E21-Inputs!F27+Inputs!F28</f>
        <v>421.45580940316</v>
      </c>
      <c r="G19" s="21" t="n">
        <f aca="false">F21-Inputs!G27+Inputs!G28</f>
        <v>613.915567105863</v>
      </c>
      <c r="H19" s="21" t="n">
        <f aca="false">G21-Inputs!H27+Inputs!H28</f>
        <v>761.649540716404</v>
      </c>
      <c r="I19" s="21" t="n">
        <f aca="false">H21-Inputs!I27+Inputs!I28</f>
        <v>964.042125957417</v>
      </c>
      <c r="J19" s="21" t="n">
        <f aca="false">I21-Inputs!J27+Inputs!J28</f>
        <v>942.069407850186</v>
      </c>
      <c r="K19" s="21" t="n">
        <f aca="false">J21-Inputs!K27+Inputs!K28</f>
        <v>1213.49846935368</v>
      </c>
    </row>
    <row r="20" customFormat="false" ht="15" hidden="false" customHeight="false" outlineLevel="0" collapsed="false">
      <c r="A20" s="8" t="s">
        <v>49</v>
      </c>
      <c r="B20" s="21" t="n">
        <f aca="false">B19*Inputs!B25/100</f>
        <v>63.24</v>
      </c>
      <c r="C20" s="21" t="n">
        <f aca="false">C19*Inputs!C25/100</f>
        <v>34.28244</v>
      </c>
      <c r="D20" s="21" t="n">
        <f aca="false">D19*Inputs!D25/100</f>
        <v>-23.35100348</v>
      </c>
      <c r="E20" s="21" t="n">
        <f aca="false">E19*Inputs!E25/100</f>
        <v>53.28437288316</v>
      </c>
      <c r="F20" s="21" t="n">
        <f aca="false">F19*Inputs!F25/100</f>
        <v>40.4597577027034</v>
      </c>
      <c r="G20" s="21" t="n">
        <f aca="false">G19*Inputs!G25/100</f>
        <v>14.7339736105407</v>
      </c>
      <c r="H20" s="21" t="n">
        <f aca="false">H19*Inputs!H25/100</f>
        <v>107.392585241013</v>
      </c>
      <c r="I20" s="21" t="n">
        <f aca="false">I19*Inputs!I25/100</f>
        <v>-107.972718107231</v>
      </c>
      <c r="J20" s="21" t="n">
        <f aca="false">J19*Inputs!J25/100</f>
        <v>204.42906150349</v>
      </c>
      <c r="K20" s="21" t="n">
        <f aca="false">K19*Inputs!K25/100</f>
        <v>88.5853882628184</v>
      </c>
    </row>
    <row r="21" customFormat="false" ht="15" hidden="false" customHeight="false" outlineLevel="0" collapsed="false">
      <c r="A21" s="19" t="s">
        <v>50</v>
      </c>
      <c r="B21" s="20" t="n">
        <f aca="false">B19+B20</f>
        <v>573.24</v>
      </c>
      <c r="C21" s="20" t="n">
        <f aca="false">C19+C20</f>
        <v>457.52244</v>
      </c>
      <c r="D21" s="20" t="n">
        <f aca="false">D19+D20</f>
        <v>325.17143652</v>
      </c>
      <c r="E21" s="20" t="n">
        <f aca="false">E19+E20</f>
        <v>344.45580940316</v>
      </c>
      <c r="F21" s="20" t="n">
        <f aca="false">F19+F20</f>
        <v>461.915567105863</v>
      </c>
      <c r="G21" s="20" t="n">
        <f aca="false">G19+G20</f>
        <v>628.649540716404</v>
      </c>
      <c r="H21" s="20" t="n">
        <f aca="false">H19+H20</f>
        <v>869.042125957417</v>
      </c>
      <c r="I21" s="20" t="n">
        <f aca="false">I19+I20</f>
        <v>856.069407850186</v>
      </c>
      <c r="J21" s="20" t="n">
        <f aca="false">J19+J20</f>
        <v>1146.49846935368</v>
      </c>
      <c r="K21" s="20" t="n">
        <f aca="false">K19+K20</f>
        <v>1302.0838576165</v>
      </c>
    </row>
    <row r="23" customFormat="false" ht="15" hidden="false" customHeight="false" outlineLevel="0" collapsed="false">
      <c r="A23" s="4" t="s">
        <v>52</v>
      </c>
      <c r="B23" s="7"/>
      <c r="C23" s="7"/>
      <c r="D23" s="7"/>
      <c r="E23" s="7"/>
      <c r="F23" s="7"/>
      <c r="G23" s="7"/>
      <c r="H23" s="7"/>
      <c r="I23" s="7"/>
      <c r="J23" s="7"/>
      <c r="K23" s="7"/>
    </row>
    <row r="25" customFormat="false" ht="30" hidden="false" customHeight="true" outlineLevel="0" collapsed="false">
      <c r="A25" s="15"/>
      <c r="B25" s="16" t="s">
        <v>27</v>
      </c>
      <c r="C25" s="16" t="s">
        <v>28</v>
      </c>
      <c r="D25" s="16" t="s">
        <v>29</v>
      </c>
      <c r="E25" s="16" t="s">
        <v>30</v>
      </c>
      <c r="F25" s="16" t="s">
        <v>31</v>
      </c>
      <c r="G25" s="16" t="s">
        <v>32</v>
      </c>
      <c r="H25" s="16" t="s">
        <v>33</v>
      </c>
      <c r="I25" s="16" t="s">
        <v>34</v>
      </c>
      <c r="J25" s="16" t="s">
        <v>35</v>
      </c>
      <c r="K25" s="16" t="s">
        <v>36</v>
      </c>
    </row>
    <row r="26" customFormat="false" ht="15" hidden="false" customHeight="false" outlineLevel="0" collapsed="false">
      <c r="A26" s="8" t="s">
        <v>53</v>
      </c>
      <c r="B26" s="22" t="n">
        <f aca="false">(1+Inputs!B25/100)*(1+Inputs!C25/100)*(1+Inputs!D25/100)*(1+Inputs!E25/100)*(1+Inputs!F25/100)*(1+Inputs!G25/100)*(1+Inputs!H25/100)*(1+Inputs!I25/100)*(1+Inputs!J25/100)*(1+Inputs!K25/100)</f>
        <v>1.99139684503792</v>
      </c>
      <c r="C26" s="22" t="n">
        <f aca="false">(1+Inputs!C25/100)*(1+Inputs!D25/100)*(1+Inputs!E25/100)*(1+Inputs!F25/100)*(1+Inputs!G25/100)*(1+Inputs!H25/100)*(1+Inputs!I25/100)*(1+Inputs!J25/100)*(1+Inputs!K25/100)</f>
        <v>1.77170537814762</v>
      </c>
      <c r="D26" s="22" t="n">
        <f aca="false">(1+Inputs!D25/100)*(1+Inputs!E25/100)*(1+Inputs!F25/100)*(1+Inputs!G25/100)*(1+Inputs!H25/100)*(1+Inputs!I25/100)*(1+Inputs!J25/100)*(1+Inputs!K25/100)</f>
        <v>1.63895039606625</v>
      </c>
      <c r="E26" s="22" t="n">
        <f aca="false">(1+Inputs!E25/100)*(1+Inputs!F25/100)*(1+Inputs!G25/100)*(1+Inputs!H25/100)*(1+Inputs!I25/100)*(1+Inputs!J25/100)*(1+Inputs!K25/100)</f>
        <v>1.75664565494775</v>
      </c>
      <c r="F26" s="22" t="n">
        <f aca="false">(1+Inputs!F25/100)*(1+Inputs!G25/100)*(1+Inputs!H25/100)*(1+Inputs!I25/100)*(1+Inputs!J25/100)*(1+Inputs!K25/100)</f>
        <v>1.48490756969379</v>
      </c>
      <c r="G26" s="22" t="n">
        <f aca="false">(1+Inputs!G25/100)*(1+Inputs!H25/100)*(1+Inputs!I25/100)*(1+Inputs!J25/100)*(1+Inputs!K25/100)</f>
        <v>1.35484267307827</v>
      </c>
      <c r="H26" s="22" t="n">
        <f aca="false">(1+Inputs!H25/100)*(1+Inputs!I25/100)*(1+Inputs!J25/100)*(1+Inputs!K25/100)</f>
        <v>1.323088547928</v>
      </c>
      <c r="I26" s="22" t="n">
        <f aca="false">(1+Inputs!I25/100)*(1+Inputs!J25/100)*(1+Inputs!K25/100)</f>
        <v>1.159586808</v>
      </c>
      <c r="J26" s="22" t="n">
        <f aca="false">(1+Inputs!J25/100)*(1+Inputs!K25/100)</f>
        <v>1.305841</v>
      </c>
      <c r="K26" s="22" t="n">
        <f aca="false">(1+Inputs!K25/100)</f>
        <v>1.073</v>
      </c>
    </row>
    <row r="27" customFormat="false" ht="15" hidden="false" customHeight="false" outlineLevel="0" collapsed="false">
      <c r="A27" s="8" t="s">
        <v>54</v>
      </c>
      <c r="B27" s="22" t="n">
        <f aca="false">(1+(Inputs!$B$19+Inputs!$B$18*(Inputs!B25-Inputs!$B$19))/100)*(1+(Inputs!$B$19+Inputs!$B$18*(Inputs!C25-Inputs!$B$19))/100)*(1+(Inputs!$B$19+Inputs!$B$18*(Inputs!D25-Inputs!$B$19))/100)*(1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2.12327223121253</v>
      </c>
      <c r="C27" s="22" t="n">
        <f aca="false">(1+(Inputs!$B$19+Inputs!$B$18*(Inputs!C25-Inputs!$B$19))/100)*(1+(Inputs!$B$19+Inputs!$B$18*(Inputs!D25-Inputs!$B$19))/100)*(1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1.86317324606224</v>
      </c>
      <c r="D27" s="22" t="n">
        <f aca="false">(1+(Inputs!$B$19+Inputs!$B$18*(Inputs!D25-Inputs!$B$19))/100)*(1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1.70909805628789</v>
      </c>
      <c r="E27" s="22" t="n">
        <f aca="false">(1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1.85781624684808</v>
      </c>
      <c r="F27" s="22" t="n">
        <f aca="false">(1+(Inputs!$B$19+Inputs!$B$18*(Inputs!F25-Inputs!$B$19))/100)*(1+(Inputs!$B$19+Inputs!$B$18*(Inputs!G25-Inputs!$B$19))/100)*(1+(Inputs!$B$19+Inputs!$B$18*(Inputs!H25-Inputs!$B$19))/100)*(1+(Inputs!$B$19+Inputs!$B$18*(Inputs!I25-Inputs!$B$19))/100)*(1+(Inputs!$B$19+Inputs!$B$18*(Inputs!J25-Inputs!$B$19))/100)*(1+(Inputs!$B$19+Inputs!$B$18*(Inputs!K25-Inputs!$B$19))/100)</f>
        <v>1.53862789088416</v>
      </c>
      <c r="G27" s="22" t="n">
        <f aca="false">(1+(Inputs!$B$19+Inputs!$B$18*(Inputs!G25-Inputs!$B$19))/100)*(1+(Inputs!$B$19+Inputs!$B$18*(Inputs!H25-Inputs!$B$19))/100)*(1+(Inputs!$B$19+Inputs!$B$18*(Inputs!I25-Inputs!$B$19))/100)*(1+(Inputs!$B$19+Inputs!$B$18*(Inputs!J25-Inputs!$B$19))/100)*(1+(Inputs!$B$19+Inputs!$B$18*(Inputs!K25-Inputs!$B$19))/100)</f>
        <v>1.38940571689016</v>
      </c>
      <c r="H27" s="22" t="n">
        <f aca="false">(1+(Inputs!$B$19+Inputs!$B$18*(Inputs!H25-Inputs!$B$19))/100)*(1+(Inputs!$B$19+Inputs!$B$18*(Inputs!I25-Inputs!$B$19))/100)*(1+(Inputs!$B$19+Inputs!$B$18*(Inputs!J25-Inputs!$B$19))/100)*(1+(Inputs!$B$19+Inputs!$B$18*(Inputs!K25-Inputs!$B$19))/100)</f>
        <v>1.35604696163396</v>
      </c>
      <c r="I27" s="22" t="n">
        <f aca="false">(1+(Inputs!$B$19+Inputs!$B$18*(Inputs!I25-Inputs!$B$19))/100)*(1+(Inputs!$B$19+Inputs!$B$18*(Inputs!J25-Inputs!$B$19))/100)*(1+(Inputs!$B$19+Inputs!$B$18*(Inputs!K25-Inputs!$B$19))/100)</f>
        <v>1.1698632287745</v>
      </c>
      <c r="J27" s="22" t="n">
        <f aca="false">(1+(Inputs!$B$19+Inputs!$B$18*(Inputs!J25-Inputs!$B$19))/100)*(1+(Inputs!$B$19+Inputs!$B$18*(Inputs!K25-Inputs!$B$19))/100)</f>
        <v>1.3474582225</v>
      </c>
      <c r="K27" s="22" t="n">
        <f aca="false">(1+(Inputs!$B$19+Inputs!$B$18*(Inputs!K25-Inputs!$B$19))/100)</f>
        <v>1.08095</v>
      </c>
    </row>
    <row r="29" customFormat="false" ht="15" hidden="false" customHeight="false" outlineLevel="0" collapsed="false">
      <c r="A29" s="4" t="s">
        <v>55</v>
      </c>
      <c r="B29" s="7"/>
      <c r="C29" s="7"/>
      <c r="D29" s="7"/>
      <c r="E29" s="7"/>
      <c r="F29" s="7"/>
      <c r="G29" s="7"/>
      <c r="H29" s="7"/>
      <c r="I29" s="7"/>
      <c r="J29" s="7"/>
      <c r="K29" s="7"/>
    </row>
    <row r="31" customFormat="false" ht="15" hidden="false" customHeight="false" outlineLevel="0" collapsed="false">
      <c r="A31" s="8" t="s">
        <v>56</v>
      </c>
      <c r="B31" s="21" t="n">
        <f aca="false">SUM(Inputs!B27:K27)</f>
        <v>564</v>
      </c>
    </row>
    <row r="32" customFormat="false" ht="15" hidden="false" customHeight="false" outlineLevel="0" collapsed="false">
      <c r="A32" s="8" t="s">
        <v>57</v>
      </c>
      <c r="B32" s="21" t="n">
        <f aca="false">SUM(Inputs!B28:K28)</f>
        <v>791</v>
      </c>
    </row>
    <row r="33" customFormat="false" ht="15" hidden="false" customHeight="false" outlineLevel="0" collapsed="false">
      <c r="A33" s="8" t="s">
        <v>58</v>
      </c>
      <c r="B33" s="21" t="n">
        <f aca="false">Inputs!B10-B31</f>
        <v>36</v>
      </c>
    </row>
    <row r="34" customFormat="false" ht="15" hidden="false" customHeight="false" outlineLevel="0" collapsed="false">
      <c r="A34" s="19" t="s">
        <v>59</v>
      </c>
      <c r="B34" s="20" t="n">
        <f aca="false">K14+Inputs!B11</f>
        <v>1100.8545265894</v>
      </c>
    </row>
    <row r="35" customFormat="false" ht="15" hidden="false" customHeight="false" outlineLevel="0" collapsed="false">
      <c r="A35" s="19" t="s">
        <v>60</v>
      </c>
      <c r="B35" s="20" t="n">
        <f aca="false">K21+Inputs!B11</f>
        <v>1445.0838576165</v>
      </c>
    </row>
    <row r="36" customFormat="false" ht="15" hidden="false" customHeight="false" outlineLevel="0" collapsed="false">
      <c r="A36" s="19" t="s">
        <v>61</v>
      </c>
      <c r="B36" s="20" t="n">
        <f aca="false">MAX(B7:K7)</f>
        <v>383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11" min="2" style="0" width="14"/>
  </cols>
  <sheetData>
    <row r="1" customFormat="false" ht="24" hidden="false" customHeight="true" outlineLevel="0" collapsed="false">
      <c r="A1" s="1" t="s">
        <v>62</v>
      </c>
    </row>
    <row r="2" customFormat="false" ht="15" hidden="false" customHeight="false" outlineLevel="0" collapsed="false">
      <c r="A2" s="2" t="s">
        <v>63</v>
      </c>
    </row>
    <row r="3" customFormat="false" ht="15" hidden="false" customHeight="false" outlineLevel="0" collapsed="false">
      <c r="A3" s="3"/>
      <c r="B3" s="3"/>
      <c r="C3" s="3"/>
      <c r="D3" s="3"/>
      <c r="E3" s="3"/>
      <c r="F3" s="3"/>
      <c r="G3" s="3"/>
      <c r="H3" s="3"/>
      <c r="I3" s="3"/>
      <c r="J3" s="3"/>
      <c r="K3" s="3"/>
    </row>
    <row r="5" customFormat="false" ht="30" hidden="false" customHeight="true" outlineLevel="0" collapsed="false">
      <c r="A5" s="15"/>
      <c r="B5" s="16" t="s">
        <v>27</v>
      </c>
      <c r="C5" s="16" t="s">
        <v>28</v>
      </c>
      <c r="D5" s="16" t="s">
        <v>29</v>
      </c>
      <c r="E5" s="16" t="s">
        <v>30</v>
      </c>
      <c r="F5" s="16" t="s">
        <v>31</v>
      </c>
      <c r="G5" s="16" t="s">
        <v>32</v>
      </c>
      <c r="H5" s="16" t="s">
        <v>33</v>
      </c>
      <c r="I5" s="16" t="s">
        <v>34</v>
      </c>
      <c r="J5" s="16" t="s">
        <v>35</v>
      </c>
      <c r="K5" s="16" t="s">
        <v>36</v>
      </c>
    </row>
    <row r="6" customFormat="false" ht="15" hidden="false" customHeight="false" outlineLevel="0" collapsed="false">
      <c r="A6" s="8" t="s">
        <v>64</v>
      </c>
      <c r="B6" s="21" t="n">
        <f aca="false">Inputs!B27*Engine!B26</f>
        <v>179.225716053413</v>
      </c>
      <c r="C6" s="21" t="n">
        <f aca="false">Inputs!C27*Engine!C26</f>
        <v>265.755806722142</v>
      </c>
      <c r="D6" s="21" t="n">
        <f aca="false">Inputs!D27*Engine!D26</f>
        <v>226.175154657142</v>
      </c>
      <c r="E6" s="21" t="n">
        <f aca="false">Inputs!E27*Engine!E26</f>
        <v>210.79747859373</v>
      </c>
      <c r="F6" s="21" t="n">
        <f aca="false">Inputs!F27*Engine!F26</f>
        <v>98.0038995997899</v>
      </c>
      <c r="G6" s="21" t="n">
        <f aca="false">Inputs!G27*Engine!G26</f>
        <v>0</v>
      </c>
      <c r="H6" s="21" t="n">
        <f aca="false">Inputs!H27*Engine!H26</f>
        <v>0</v>
      </c>
      <c r="I6" s="21" t="n">
        <f aca="false">Inputs!I27*Engine!I26</f>
        <v>0</v>
      </c>
      <c r="J6" s="21" t="n">
        <f aca="false">Inputs!J27*Engine!J26</f>
        <v>0</v>
      </c>
      <c r="K6" s="21" t="n">
        <f aca="false">Inputs!K27*Engine!K26</f>
        <v>0</v>
      </c>
    </row>
    <row r="7" customFormat="false" ht="15" hidden="false" customHeight="false" outlineLevel="0" collapsed="false">
      <c r="A7" s="8" t="s">
        <v>65</v>
      </c>
      <c r="B7" s="21" t="n">
        <f aca="false">Inputs!B28*Engine!B26</f>
        <v>0</v>
      </c>
      <c r="C7" s="21" t="n">
        <f aca="false">Inputs!C28*Engine!C26</f>
        <v>0</v>
      </c>
      <c r="D7" s="21" t="n">
        <f aca="false">Inputs!D28*Engine!D26</f>
        <v>47.5295614859213</v>
      </c>
      <c r="E7" s="21" t="n">
        <f aca="false">Inputs!E28*Engine!E26</f>
        <v>151.071526325506</v>
      </c>
      <c r="F7" s="21" t="n">
        <f aca="false">Inputs!F28*Engine!F26</f>
        <v>212.341782466211</v>
      </c>
      <c r="G7" s="21" t="n">
        <f aca="false">Inputs!G28*Engine!G26</f>
        <v>205.936086307897</v>
      </c>
      <c r="H7" s="21" t="n">
        <f aca="false">Inputs!H28*Engine!H26</f>
        <v>175.970776874424</v>
      </c>
      <c r="I7" s="21" t="n">
        <f aca="false">Inputs!I28*Engine!I26</f>
        <v>110.16074676</v>
      </c>
      <c r="J7" s="21" t="n">
        <f aca="false">Inputs!J28*Engine!J26</f>
        <v>112.302326</v>
      </c>
      <c r="K7" s="21" t="n">
        <f aca="false">Inputs!K28*Engine!K26</f>
        <v>71.891</v>
      </c>
    </row>
    <row r="8" customFormat="false" ht="15" hidden="false" customHeight="false" outlineLevel="0" collapsed="false">
      <c r="A8" s="8" t="s">
        <v>66</v>
      </c>
      <c r="B8" s="21" t="n">
        <f aca="false">Inputs!B27*Engine!B27</f>
        <v>191.094500809128</v>
      </c>
      <c r="C8" s="21" t="n">
        <f aca="false">Inputs!C27*Engine!C27</f>
        <v>279.475986909337</v>
      </c>
      <c r="D8" s="21" t="n">
        <f aca="false">Inputs!D27*Engine!D27</f>
        <v>235.855531767729</v>
      </c>
      <c r="E8" s="21" t="n">
        <f aca="false">Inputs!E27*Engine!E27</f>
        <v>222.93794962177</v>
      </c>
      <c r="F8" s="21" t="n">
        <f aca="false">Inputs!F27*Engine!F27</f>
        <v>101.549440798355</v>
      </c>
      <c r="G8" s="21" t="n">
        <f aca="false">Inputs!G27*Engine!G27</f>
        <v>0</v>
      </c>
      <c r="H8" s="21" t="n">
        <f aca="false">Inputs!H27*Engine!H27</f>
        <v>0</v>
      </c>
      <c r="I8" s="21" t="n">
        <f aca="false">Inputs!I27*Engine!I27</f>
        <v>0</v>
      </c>
      <c r="J8" s="21" t="n">
        <f aca="false">Inputs!J27*Engine!J27</f>
        <v>0</v>
      </c>
      <c r="K8" s="21" t="n">
        <f aca="false">Inputs!K27*Engine!K27</f>
        <v>0</v>
      </c>
    </row>
    <row r="9" customFormat="false" ht="15" hidden="false" customHeight="false" outlineLevel="0" collapsed="false">
      <c r="A9" s="8" t="s">
        <v>67</v>
      </c>
      <c r="B9" s="21" t="n">
        <f aca="false">Inputs!B28*Engine!B27</f>
        <v>0</v>
      </c>
      <c r="C9" s="21" t="n">
        <f aca="false">Inputs!C28*Engine!C27</f>
        <v>0</v>
      </c>
      <c r="D9" s="21" t="n">
        <f aca="false">Inputs!D28*Engine!D27</f>
        <v>49.5638436323488</v>
      </c>
      <c r="E9" s="21" t="n">
        <f aca="false">Inputs!E28*Engine!E27</f>
        <v>159.772197228935</v>
      </c>
      <c r="F9" s="21" t="n">
        <f aca="false">Inputs!F28*Engine!F27</f>
        <v>220.023788396435</v>
      </c>
      <c r="G9" s="21" t="n">
        <f aca="false">Inputs!G28*Engine!G27</f>
        <v>211.189668967304</v>
      </c>
      <c r="H9" s="21" t="n">
        <f aca="false">Inputs!H28*Engine!H27</f>
        <v>180.354245897317</v>
      </c>
      <c r="I9" s="21" t="n">
        <f aca="false">Inputs!I28*Engine!I27</f>
        <v>111.137006733578</v>
      </c>
      <c r="J9" s="21" t="n">
        <f aca="false">Inputs!J28*Engine!J27</f>
        <v>115.881407135</v>
      </c>
      <c r="K9" s="21" t="n">
        <f aca="false">Inputs!K28*Engine!K27</f>
        <v>72.42365</v>
      </c>
    </row>
    <row r="11" customFormat="false" ht="15" hidden="false" customHeight="false" outlineLevel="0" collapsed="false">
      <c r="A11" s="4" t="s">
        <v>68</v>
      </c>
      <c r="B11" s="7"/>
      <c r="C11" s="7"/>
      <c r="D11" s="7"/>
      <c r="E11" s="7"/>
      <c r="F11" s="7"/>
      <c r="G11" s="7"/>
      <c r="H11" s="7"/>
      <c r="I11" s="7"/>
      <c r="J11" s="7"/>
      <c r="K11" s="7"/>
    </row>
    <row r="13" customFormat="false" ht="15" hidden="false" customHeight="false" outlineLevel="0" collapsed="false">
      <c r="A13" s="19" t="s">
        <v>69</v>
      </c>
      <c r="B13" s="20" t="n">
        <f aca="false">SUM(B6:K6)</f>
        <v>979.958055626218</v>
      </c>
    </row>
    <row r="14" customFormat="false" ht="15" hidden="false" customHeight="false" outlineLevel="0" collapsed="false">
      <c r="A14" s="19" t="s">
        <v>70</v>
      </c>
      <c r="B14" s="20" t="n">
        <f aca="false">SUM(B7:K7)+Inputs!B11</f>
        <v>1230.20380621996</v>
      </c>
    </row>
    <row r="15" customFormat="false" ht="15" hidden="false" customHeight="false" outlineLevel="0" collapsed="false">
      <c r="A15" s="19" t="s">
        <v>71</v>
      </c>
      <c r="B15" s="23" t="n">
        <f aca="false">B14/B13</f>
        <v>1.25536373639363</v>
      </c>
    </row>
    <row r="16" customFormat="false" ht="15" hidden="false" customHeight="false" outlineLevel="0" collapsed="false">
      <c r="A16" s="8" t="s">
        <v>72</v>
      </c>
      <c r="B16" s="21" t="n">
        <f aca="false">B14-B13</f>
        <v>250.245750593743</v>
      </c>
    </row>
    <row r="18" customFormat="false" ht="15" hidden="false" customHeight="false" outlineLevel="0" collapsed="false">
      <c r="A18" s="4" t="s">
        <v>73</v>
      </c>
      <c r="B18" s="7"/>
      <c r="C18" s="7"/>
      <c r="D18" s="7"/>
      <c r="E18" s="7"/>
      <c r="F18" s="7"/>
      <c r="G18" s="7"/>
      <c r="H18" s="7"/>
      <c r="I18" s="7"/>
      <c r="J18" s="7"/>
      <c r="K18" s="7"/>
    </row>
    <row r="20" customFormat="false" ht="15" hidden="false" customHeight="false" outlineLevel="0" collapsed="false">
      <c r="A20" s="8" t="s">
        <v>74</v>
      </c>
      <c r="B20" s="24" t="n">
        <f aca="false">Engine!B27^(1/10)-1</f>
        <v>0.0782030797359108</v>
      </c>
    </row>
    <row r="21" customFormat="false" ht="15" hidden="false" customHeight="false" outlineLevel="0" collapsed="false">
      <c r="A21" s="8" t="s">
        <v>69</v>
      </c>
      <c r="B21" s="21" t="n">
        <f aca="false">SUM(B8:K8)</f>
        <v>1030.91340990632</v>
      </c>
    </row>
    <row r="22" customFormat="false" ht="15" hidden="false" customHeight="false" outlineLevel="0" collapsed="false">
      <c r="A22" s="8" t="s">
        <v>70</v>
      </c>
      <c r="B22" s="21" t="n">
        <f aca="false">SUM(B9:K9)+Inputs!B11</f>
        <v>1263.34580799092</v>
      </c>
    </row>
    <row r="23" customFormat="false" ht="15" hidden="false" customHeight="false" outlineLevel="0" collapsed="false">
      <c r="A23" s="19" t="s">
        <v>75</v>
      </c>
      <c r="B23" s="23" t="n">
        <f aca="false">B22/B21</f>
        <v>1.22546258090262</v>
      </c>
    </row>
    <row r="25" customFormat="false" ht="15" hidden="false" customHeight="false" outlineLevel="0" collapsed="false">
      <c r="A25" s="4" t="s">
        <v>76</v>
      </c>
      <c r="B25" s="7"/>
      <c r="C25" s="7"/>
      <c r="D25" s="7"/>
      <c r="E25" s="7"/>
      <c r="F25" s="7"/>
      <c r="G25" s="7"/>
      <c r="H25" s="7"/>
      <c r="I25" s="7"/>
      <c r="J25" s="7"/>
      <c r="K25" s="7"/>
    </row>
    <row r="27" customFormat="false" ht="30" hidden="false" customHeight="true" outlineLevel="0" collapsed="false">
      <c r="A27" s="15"/>
      <c r="B27" s="16" t="s">
        <v>77</v>
      </c>
      <c r="C27" s="16" t="s">
        <v>78</v>
      </c>
      <c r="D27" s="16" t="s">
        <v>79</v>
      </c>
      <c r="E27" s="16" t="s">
        <v>80</v>
      </c>
      <c r="F27" s="16" t="s">
        <v>81</v>
      </c>
      <c r="G27" s="16" t="s">
        <v>82</v>
      </c>
      <c r="H27" s="16" t="s">
        <v>83</v>
      </c>
      <c r="I27" s="16" t="s">
        <v>84</v>
      </c>
      <c r="J27" s="16" t="s">
        <v>85</v>
      </c>
      <c r="K27" s="16" t="s">
        <v>86</v>
      </c>
      <c r="L27" s="16" t="s">
        <v>87</v>
      </c>
    </row>
    <row r="28" customFormat="false" ht="15" hidden="false" customHeight="false" outlineLevel="0" collapsed="false">
      <c r="A28" s="19" t="s">
        <v>88</v>
      </c>
      <c r="B28" s="20" t="n">
        <f aca="false">B7-B6</f>
        <v>-179.225716053413</v>
      </c>
      <c r="C28" s="20" t="n">
        <f aca="false">C7-C6</f>
        <v>-265.755806722142</v>
      </c>
      <c r="D28" s="20" t="n">
        <f aca="false">D7-D6</f>
        <v>-178.645593171221</v>
      </c>
      <c r="E28" s="20" t="n">
        <f aca="false">E7-E6</f>
        <v>-59.7259522682235</v>
      </c>
      <c r="F28" s="20" t="n">
        <f aca="false">F7-F6</f>
        <v>114.337882866422</v>
      </c>
      <c r="G28" s="20" t="n">
        <f aca="false">G7-G6</f>
        <v>205.936086307897</v>
      </c>
      <c r="H28" s="20" t="n">
        <f aca="false">H7-H6</f>
        <v>175.970776874424</v>
      </c>
      <c r="I28" s="20" t="n">
        <f aca="false">I7-I6</f>
        <v>110.16074676</v>
      </c>
      <c r="J28" s="20" t="n">
        <f aca="false">J7-J6</f>
        <v>112.302326</v>
      </c>
      <c r="K28" s="20" t="n">
        <f aca="false">K7-K6</f>
        <v>71.891</v>
      </c>
      <c r="L28" s="20" t="n">
        <f aca="false">Inputs!B11</f>
        <v>143</v>
      </c>
    </row>
    <row r="30" customFormat="false" ht="15" hidden="false" customHeight="false" outlineLevel="0" collapsed="false">
      <c r="A30" s="19" t="s">
        <v>89</v>
      </c>
      <c r="B30" s="25" t="n">
        <f aca="false">IRR(B28:L28)</f>
        <v>0.0586275461964858</v>
      </c>
    </row>
    <row r="31" customFormat="false" ht="15" hidden="false" customHeight="false" outlineLevel="0" collapsed="false">
      <c r="A31" s="8" t="s">
        <v>90</v>
      </c>
      <c r="B31" s="24" t="n">
        <f aca="false">Engine!B26^(1/10)-1</f>
        <v>0.0713115360147736</v>
      </c>
    </row>
    <row r="33" customFormat="false" ht="15" hidden="false" customHeight="false" outlineLevel="0" collapsed="false">
      <c r="A33" s="18" t="s">
        <v>91</v>
      </c>
    </row>
    <row r="34" customFormat="false" ht="15" hidden="false" customHeight="false" outlineLevel="0" collapsed="false">
      <c r="A34" s="18" t="s">
        <v>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12" min="2" style="0" width="12"/>
  </cols>
  <sheetData>
    <row r="1" customFormat="false" ht="19.7" hidden="false" customHeight="false" outlineLevel="0" collapsed="false">
      <c r="A1" s="1" t="s">
        <v>93</v>
      </c>
    </row>
    <row r="2" customFormat="false" ht="15" hidden="false" customHeight="false" outlineLevel="0" collapsed="false">
      <c r="A2" s="2" t="s">
        <v>94</v>
      </c>
    </row>
    <row r="5" customFormat="false" ht="15" hidden="false" customHeight="false" outlineLevel="0" collapsed="false">
      <c r="A5" s="4" t="s">
        <v>95</v>
      </c>
    </row>
    <row r="7" customFormat="false" ht="15" hidden="false" customHeight="false" outlineLevel="0" collapsed="false">
      <c r="A7" s="8" t="s">
        <v>96</v>
      </c>
      <c r="B7" s="26" t="n">
        <f aca="false">PME!B13/Engine!B31</f>
        <v>1.73751428302521</v>
      </c>
    </row>
    <row r="8" customFormat="false" ht="15" hidden="false" customHeight="false" outlineLevel="0" collapsed="false">
      <c r="A8" s="8" t="s">
        <v>97</v>
      </c>
      <c r="B8" s="26" t="n">
        <f aca="false">LN('Beyond One Index'!B7)/LN(Engine!B26^(1/10))</f>
        <v>8.02012755538354</v>
      </c>
    </row>
    <row r="9" customFormat="false" ht="15" hidden="false" customHeight="false" outlineLevel="0" collapsed="false">
      <c r="A9" s="8" t="s">
        <v>98</v>
      </c>
      <c r="B9" s="26" t="n">
        <f aca="false">PME!B14/(Engine!B32+Inputs!B11)</f>
        <v>1.31713469616698</v>
      </c>
    </row>
    <row r="10" customFormat="false" ht="15" hidden="false" customHeight="false" outlineLevel="0" collapsed="false">
      <c r="A10" s="8" t="s">
        <v>99</v>
      </c>
      <c r="B10" s="26" t="n">
        <f aca="false">LN('Beyond One Index'!B9)/LN(Engine!B26^(1/10))</f>
        <v>3.99889905130153</v>
      </c>
    </row>
    <row r="11" customFormat="false" ht="15" hidden="false" customHeight="false" outlineLevel="0" collapsed="false">
      <c r="A11" s="8" t="s">
        <v>100</v>
      </c>
      <c r="B11" s="27" t="n">
        <f aca="false">SUM(PME!B7:K7)</f>
        <v>1087.20380621996</v>
      </c>
    </row>
    <row r="12" customFormat="false" ht="15" hidden="false" customHeight="false" outlineLevel="0" collapsed="false">
      <c r="A12" s="8" t="s">
        <v>101</v>
      </c>
      <c r="B12" s="27" t="n">
        <f aca="false">PME!B16</f>
        <v>250.245750593743</v>
      </c>
    </row>
    <row r="13" customFormat="false" ht="15" hidden="false" customHeight="false" outlineLevel="0" collapsed="false">
      <c r="A13" s="8" t="s">
        <v>102</v>
      </c>
      <c r="B13" s="24" t="n">
        <f aca="false">PME!B15^(1/10)-1</f>
        <v>0.0230031192025499</v>
      </c>
      <c r="C13" s="2" t="s">
        <v>103</v>
      </c>
    </row>
    <row r="15" customFormat="false" ht="15" hidden="false" customHeight="false" outlineLevel="0" collapsed="false">
      <c r="A15" s="4" t="s">
        <v>104</v>
      </c>
    </row>
    <row r="17" customFormat="false" ht="15" hidden="false" customHeight="false" outlineLevel="0" collapsed="false">
      <c r="A17" s="8" t="s">
        <v>105</v>
      </c>
      <c r="B17" s="24" t="n">
        <f aca="false">(Inputs!B18*PME!B31*100-(Inputs!B18-1)*Inputs!B19)/100</f>
        <v>0.0790082664169896</v>
      </c>
    </row>
    <row r="18" customFormat="false" ht="15" hidden="false" customHeight="false" outlineLevel="0" collapsed="false">
      <c r="A18" s="8" t="s">
        <v>106</v>
      </c>
      <c r="B18" s="24" t="n">
        <f aca="false">'Beyond One Index'!B17-PME!B20</f>
        <v>0.000805186681078818</v>
      </c>
    </row>
    <row r="19" customFormat="false" ht="15" hidden="false" customHeight="false" outlineLevel="0" collapsed="false">
      <c r="A19" s="8" t="s">
        <v>107</v>
      </c>
      <c r="B19" s="24" t="n">
        <f aca="false">PME!B20-PME!B31</f>
        <v>0.00689154372113721</v>
      </c>
    </row>
    <row r="20" customFormat="false" ht="15" hidden="false" customHeight="false" outlineLevel="0" collapsed="false">
      <c r="A20" s="8" t="s">
        <v>108</v>
      </c>
      <c r="B20" s="24" t="n">
        <f aca="false">(PME!B15-PME!B23)/(PME!B15-1)</f>
        <v>0.117092410665994</v>
      </c>
    </row>
    <row r="21" customFormat="false" ht="15" hidden="false" customHeight="false" outlineLevel="0" collapsed="false">
      <c r="A21" s="8" t="s">
        <v>109</v>
      </c>
      <c r="B21" s="24" t="n">
        <f aca="false">(PME!B15-PME!B23)/PME!B15</f>
        <v>0.0238187185308573</v>
      </c>
    </row>
    <row r="22" customFormat="false" ht="15" hidden="false" customHeight="false" outlineLevel="0" collapsed="false">
      <c r="A22" s="8" t="s">
        <v>110</v>
      </c>
      <c r="B22" s="26" t="n">
        <f aca="false">(PME!B15-PME!B23)/((PME!B20-PME!B31)*100)</f>
        <v>0.0433881822432536</v>
      </c>
    </row>
    <row r="23" customFormat="false" ht="15" hidden="false" customHeight="false" outlineLevel="0" collapsed="false">
      <c r="A23" s="8" t="s">
        <v>111</v>
      </c>
      <c r="B23" s="28" t="n">
        <f aca="false">PME!B31*100+(PME!B15-1)/'Beyond One Index'!B22</f>
        <v>13.0167132905637</v>
      </c>
      <c r="C23" s="2" t="s">
        <v>112</v>
      </c>
    </row>
    <row r="24" customFormat="false" ht="15" hidden="false" customHeight="false" outlineLevel="0" collapsed="false">
      <c r="A24" s="8" t="s">
        <v>113</v>
      </c>
      <c r="B24" s="29" t="n">
        <f aca="false">(PME!B31+(1.3-1)/(Inputs!B18-1)*(PME!B20-PME!B31))*100</f>
        <v>8.5094623457048</v>
      </c>
    </row>
    <row r="25" customFormat="false" ht="15" hidden="false" customHeight="false" outlineLevel="0" collapsed="false">
      <c r="A25" s="8" t="s">
        <v>114</v>
      </c>
      <c r="B25" s="26" t="n">
        <f aca="false">PME!B15-(1.3-1)/(Inputs!B18-1)*(PME!B15-PME!B23)</f>
        <v>1.19556142541162</v>
      </c>
    </row>
    <row r="27" customFormat="false" ht="15" hidden="false" customHeight="false" outlineLevel="0" collapsed="false">
      <c r="A27" s="4" t="s">
        <v>115</v>
      </c>
    </row>
    <row r="29" customFormat="false" ht="15" hidden="false" customHeight="false" outlineLevel="0" collapsed="false">
      <c r="A29" s="4" t="s">
        <v>116</v>
      </c>
    </row>
    <row r="30" customFormat="false" ht="15" hidden="false" customHeight="false" outlineLevel="0" collapsed="false">
      <c r="A30" s="16"/>
      <c r="B30" s="16" t="s">
        <v>27</v>
      </c>
      <c r="C30" s="16" t="s">
        <v>28</v>
      </c>
      <c r="D30" s="16" t="s">
        <v>29</v>
      </c>
      <c r="E30" s="16" t="s">
        <v>30</v>
      </c>
      <c r="F30" s="16" t="s">
        <v>31</v>
      </c>
      <c r="G30" s="16" t="s">
        <v>32</v>
      </c>
      <c r="H30" s="16" t="s">
        <v>33</v>
      </c>
      <c r="I30" s="16" t="s">
        <v>34</v>
      </c>
      <c r="J30" s="16" t="s">
        <v>35</v>
      </c>
      <c r="K30" s="16" t="s">
        <v>36</v>
      </c>
    </row>
    <row r="31" customFormat="false" ht="15" hidden="false" customHeight="false" outlineLevel="0" collapsed="false">
      <c r="A31" s="8" t="s">
        <v>117</v>
      </c>
      <c r="B31" s="29" t="n">
        <f aca="false">2+1.3*(Inputs!B25-2)</f>
        <v>15.52</v>
      </c>
      <c r="C31" s="29" t="n">
        <f aca="false">2+1.3*(Inputs!C25-2)</f>
        <v>9.93</v>
      </c>
      <c r="D31" s="29" t="n">
        <f aca="false">2+1.3*(Inputs!D25-2)</f>
        <v>-9.31</v>
      </c>
      <c r="E31" s="29" t="n">
        <f aca="false">2+1.3*(Inputs!E25-2)</f>
        <v>23.19</v>
      </c>
      <c r="F31" s="29" t="n">
        <f aca="false">2+1.3*(Inputs!F25-2)</f>
        <v>11.88</v>
      </c>
      <c r="G31" s="29" t="n">
        <f aca="false">2+1.3*(Inputs!G25-2)</f>
        <v>2.52</v>
      </c>
      <c r="H31" s="29" t="n">
        <f aca="false">2+1.3*(Inputs!H25-2)</f>
        <v>17.73</v>
      </c>
      <c r="I31" s="29" t="n">
        <f aca="false">2+1.3*(Inputs!I25-2)</f>
        <v>-15.16</v>
      </c>
      <c r="J31" s="29" t="n">
        <f aca="false">2+1.3*(Inputs!J25-2)</f>
        <v>27.61</v>
      </c>
      <c r="K31" s="29" t="n">
        <f aca="false">2+1.3*(Inputs!K25-2)</f>
        <v>8.89</v>
      </c>
    </row>
    <row r="32" customFormat="false" ht="15" hidden="false" customHeight="false" outlineLevel="0" collapsed="false">
      <c r="A32" s="8" t="s">
        <v>118</v>
      </c>
      <c r="B32" s="26" t="n">
        <f aca="false">(1+B31/100)*C32</f>
        <v>2.25855063138402</v>
      </c>
      <c r="C32" s="26" t="n">
        <f aca="false">(1+C31/100)*D32</f>
        <v>1.95511654378811</v>
      </c>
      <c r="D32" s="26" t="n">
        <f aca="false">(1+D31/100)*E32</f>
        <v>1.77851045555181</v>
      </c>
      <c r="E32" s="26" t="n">
        <f aca="false">(1+E31/100)*F32</f>
        <v>1.96108772251826</v>
      </c>
      <c r="F32" s="26" t="n">
        <f aca="false">(1+F31/100)*G32</f>
        <v>1.59192119694639</v>
      </c>
      <c r="G32" s="26" t="n">
        <f aca="false">(1+G31/100)*H32</f>
        <v>1.42288272876867</v>
      </c>
      <c r="H32" s="26" t="n">
        <f aca="false">(1+H31/100)*I32</f>
        <v>1.38790746075758</v>
      </c>
      <c r="I32" s="26" t="n">
        <f aca="false">(1+I31/100)*J32</f>
        <v>1.178890224036</v>
      </c>
      <c r="J32" s="26" t="n">
        <f aca="false">(1+J31/100)*K32</f>
        <v>1.38954529</v>
      </c>
      <c r="K32" s="26" t="n">
        <f aca="false">(1+K31/100)</f>
        <v>1.0889</v>
      </c>
    </row>
    <row r="33" customFormat="false" ht="15" hidden="false" customHeight="false" outlineLevel="0" collapsed="false">
      <c r="A33" s="8" t="s">
        <v>119</v>
      </c>
      <c r="B33" s="24" t="n">
        <f aca="false">B32^(1/10)-1</f>
        <v>0.0848831978005027</v>
      </c>
    </row>
    <row r="34" customFormat="false" ht="15" hidden="false" customHeight="false" outlineLevel="0" collapsed="false">
      <c r="A34" s="8" t="s">
        <v>120</v>
      </c>
      <c r="B34" s="26" t="n">
        <f aca="false">(SUMPRODUCT(Inputs!B28:K28,B32:K32)+Inputs!B11)/SUMPRODUCT(Inputs!B27:K27,B32:K32)</f>
        <v>1.19755549444278</v>
      </c>
    </row>
    <row r="35" customFormat="false" ht="15" hidden="false" customHeight="false" outlineLevel="0" collapsed="false">
      <c r="A35" s="4" t="s">
        <v>121</v>
      </c>
    </row>
    <row r="36" customFormat="false" ht="15" hidden="false" customHeight="false" outlineLevel="0" collapsed="false">
      <c r="A36" s="16"/>
      <c r="B36" s="16" t="s">
        <v>27</v>
      </c>
      <c r="C36" s="16" t="s">
        <v>28</v>
      </c>
      <c r="D36" s="16" t="s">
        <v>29</v>
      </c>
      <c r="E36" s="16" t="s">
        <v>30</v>
      </c>
      <c r="F36" s="16" t="s">
        <v>31</v>
      </c>
      <c r="G36" s="16" t="s">
        <v>32</v>
      </c>
      <c r="H36" s="16" t="s">
        <v>33</v>
      </c>
      <c r="I36" s="16" t="s">
        <v>34</v>
      </c>
      <c r="J36" s="16" t="s">
        <v>35</v>
      </c>
      <c r="K36" s="16" t="s">
        <v>36</v>
      </c>
    </row>
    <row r="37" customFormat="false" ht="15" hidden="false" customHeight="false" outlineLevel="0" collapsed="false">
      <c r="A37" s="8" t="s">
        <v>117</v>
      </c>
      <c r="B37" s="29" t="n">
        <f aca="false">Inputs!B26+Inputs!$B$18*(Inputs!B25-Inputs!B26)</f>
        <v>14.14</v>
      </c>
      <c r="C37" s="29" t="n">
        <f aca="false">Inputs!C26+Inputs!$B$18*(Inputs!C25-Inputs!C26)</f>
        <v>9.24</v>
      </c>
      <c r="D37" s="29" t="n">
        <f aca="false">Inputs!D26+Inputs!$B$18*(Inputs!D25-Inputs!D26)</f>
        <v>-7.765</v>
      </c>
      <c r="E37" s="29" t="n">
        <f aca="false">Inputs!E26+Inputs!$B$18*(Inputs!E25-Inputs!E26)</f>
        <v>20.865</v>
      </c>
      <c r="F37" s="29" t="n">
        <f aca="false">Inputs!F26+Inputs!$B$18*(Inputs!F25-Inputs!F26)</f>
        <v>10.725</v>
      </c>
      <c r="G37" s="29" t="n">
        <f aca="false">Inputs!G26+Inputs!$B$18*(Inputs!G25-Inputs!G26)</f>
        <v>2.25</v>
      </c>
      <c r="H37" s="29" t="n">
        <f aca="false">Inputs!H26+Inputs!$B$18*(Inputs!H25-Inputs!H26)</f>
        <v>15.6</v>
      </c>
      <c r="I37" s="29" t="n">
        <f aca="false">Inputs!I26+Inputs!$B$18*(Inputs!I25-Inputs!I26)</f>
        <v>-13.42</v>
      </c>
      <c r="J37" s="29" t="n">
        <f aca="false">Inputs!J26+Inputs!$B$18*(Inputs!J25-Inputs!J26)</f>
        <v>24.52</v>
      </c>
      <c r="K37" s="29" t="n">
        <f aca="false">Inputs!K26+Inputs!$B$18*(Inputs!K25-Inputs!K26)</f>
        <v>8.02</v>
      </c>
    </row>
    <row r="38" customFormat="false" ht="15" hidden="false" customHeight="false" outlineLevel="0" collapsed="false">
      <c r="A38" s="8" t="s">
        <v>118</v>
      </c>
      <c r="B38" s="26" t="n">
        <f aca="false">(1+B37/100)*C38</f>
        <v>2.1185736886491</v>
      </c>
      <c r="C38" s="26" t="n">
        <f aca="false">(1+C37/100)*D38</f>
        <v>1.85611852869205</v>
      </c>
      <c r="D38" s="26" t="n">
        <f aca="false">(1+D37/100)*E38</f>
        <v>1.69911985416702</v>
      </c>
      <c r="E38" s="26" t="n">
        <f aca="false">(1+E37/100)*F38</f>
        <v>1.84216387940263</v>
      </c>
      <c r="F38" s="26" t="n">
        <f aca="false">(1+F37/100)*G38</f>
        <v>1.52414998502679</v>
      </c>
      <c r="G38" s="26" t="n">
        <f aca="false">(1+G37/100)*H38</f>
        <v>1.37651838792214</v>
      </c>
      <c r="H38" s="26" t="n">
        <f aca="false">(1+H37/100)*I38</f>
        <v>1.34622825224659</v>
      </c>
      <c r="I38" s="26" t="n">
        <f aca="false">(1+I37/100)*J38</f>
        <v>1.164557311632</v>
      </c>
      <c r="J38" s="26" t="n">
        <f aca="false">(1+J37/100)*K38</f>
        <v>1.34506504</v>
      </c>
      <c r="K38" s="26" t="n">
        <f aca="false">(1+K37/100)</f>
        <v>1.0802</v>
      </c>
    </row>
    <row r="39" customFormat="false" ht="15" hidden="false" customHeight="false" outlineLevel="0" collapsed="false">
      <c r="A39" s="8" t="s">
        <v>119</v>
      </c>
      <c r="B39" s="24" t="n">
        <f aca="false">B38^(1/10)-1</f>
        <v>0.0779642486171159</v>
      </c>
    </row>
    <row r="40" customFormat="false" ht="15" hidden="false" customHeight="false" outlineLevel="0" collapsed="false">
      <c r="A40" s="8" t="s">
        <v>120</v>
      </c>
      <c r="B40" s="26" t="n">
        <f aca="false">(SUMPRODUCT(Inputs!B28:K28,B38:K38)+Inputs!B11)/SUMPRODUCT(Inputs!B27:K27,B38:K38)</f>
        <v>1.22472567010285</v>
      </c>
    </row>
    <row r="41" customFormat="false" ht="15" hidden="false" customHeight="false" outlineLevel="0" collapsed="false">
      <c r="A41" s="4" t="s">
        <v>122</v>
      </c>
    </row>
    <row r="42" customFormat="false" ht="15" hidden="false" customHeight="false" outlineLevel="0" collapsed="false">
      <c r="A42" s="16"/>
      <c r="B42" s="16" t="s">
        <v>27</v>
      </c>
      <c r="C42" s="16" t="s">
        <v>28</v>
      </c>
      <c r="D42" s="16" t="s">
        <v>29</v>
      </c>
      <c r="E42" s="16" t="s">
        <v>30</v>
      </c>
      <c r="F42" s="16" t="s">
        <v>31</v>
      </c>
      <c r="G42" s="16" t="s">
        <v>32</v>
      </c>
      <c r="H42" s="16" t="s">
        <v>33</v>
      </c>
      <c r="I42" s="16" t="s">
        <v>34</v>
      </c>
      <c r="J42" s="16" t="s">
        <v>35</v>
      </c>
      <c r="K42" s="16" t="s">
        <v>36</v>
      </c>
    </row>
    <row r="43" customFormat="false" ht="15" hidden="false" customHeight="false" outlineLevel="0" collapsed="false">
      <c r="A43" s="8" t="s">
        <v>117</v>
      </c>
      <c r="B43" s="29" t="n">
        <f aca="false">3+Inputs!$B$18*(Inputs!B25-3)</f>
        <v>13.81</v>
      </c>
      <c r="C43" s="29" t="n">
        <f aca="false">3+Inputs!$B$18*(Inputs!C25-3)</f>
        <v>8.865</v>
      </c>
      <c r="D43" s="29" t="n">
        <f aca="false">3+Inputs!$B$18*(Inputs!D25-3)</f>
        <v>-8.155</v>
      </c>
      <c r="E43" s="29" t="n">
        <f aca="false">3+Inputs!$B$18*(Inputs!E25-3)</f>
        <v>20.595</v>
      </c>
      <c r="F43" s="29" t="n">
        <f aca="false">3+Inputs!$B$18*(Inputs!F25-3)</f>
        <v>10.59</v>
      </c>
      <c r="G43" s="29" t="n">
        <f aca="false">3+Inputs!$B$18*(Inputs!G25-3)</f>
        <v>2.31</v>
      </c>
      <c r="H43" s="29" t="n">
        <f aca="false">3+Inputs!$B$18*(Inputs!H25-3)</f>
        <v>15.765</v>
      </c>
      <c r="I43" s="29" t="n">
        <f aca="false">3+Inputs!$B$18*(Inputs!I25-3)</f>
        <v>-13.33</v>
      </c>
      <c r="J43" s="29" t="n">
        <f aca="false">3+Inputs!$B$18*(Inputs!J25-3)</f>
        <v>24.505</v>
      </c>
      <c r="K43" s="29" t="n">
        <f aca="false">3+Inputs!$B$18*(Inputs!K25-3)</f>
        <v>7.945</v>
      </c>
    </row>
    <row r="44" customFormat="false" ht="15" hidden="false" customHeight="false" outlineLevel="0" collapsed="false">
      <c r="A44" s="8" t="s">
        <v>118</v>
      </c>
      <c r="B44" s="26" t="n">
        <f aca="false">(1+B43/100)*C44</f>
        <v>2.09374052623113</v>
      </c>
      <c r="C44" s="26" t="n">
        <f aca="false">(1+C43/100)*D44</f>
        <v>1.8396806310791</v>
      </c>
      <c r="D44" s="26" t="n">
        <f aca="false">(1+D43/100)*E44</f>
        <v>1.68987335790116</v>
      </c>
      <c r="E44" s="26" t="n">
        <f aca="false">(1+E43/100)*F44</f>
        <v>1.8399187303622</v>
      </c>
      <c r="F44" s="26" t="n">
        <f aca="false">(1+F43/100)*G44</f>
        <v>1.52570067611609</v>
      </c>
      <c r="G44" s="26" t="n">
        <f aca="false">(1+G43/100)*H44</f>
        <v>1.37960093689854</v>
      </c>
      <c r="H44" s="26" t="n">
        <f aca="false">(1+H43/100)*I44</f>
        <v>1.34845170256919</v>
      </c>
      <c r="I44" s="26" t="n">
        <f aca="false">(1+I43/100)*J44</f>
        <v>1.16481812514075</v>
      </c>
      <c r="J44" s="26" t="n">
        <f aca="false">(1+J43/100)*K44</f>
        <v>1.3439692225</v>
      </c>
      <c r="K44" s="26" t="n">
        <f aca="false">(1+K43/100)</f>
        <v>1.07945</v>
      </c>
    </row>
    <row r="45" customFormat="false" ht="15" hidden="false" customHeight="false" outlineLevel="0" collapsed="false">
      <c r="A45" s="8" t="s">
        <v>119</v>
      </c>
      <c r="B45" s="24" t="n">
        <f aca="false">B44^(1/10)-1</f>
        <v>0.0766939827066491</v>
      </c>
    </row>
    <row r="46" customFormat="false" ht="15" hidden="false" customHeight="false" outlineLevel="0" collapsed="false">
      <c r="A46" s="8" t="s">
        <v>120</v>
      </c>
      <c r="B46" s="26" t="n">
        <f aca="false">(SUMPRODUCT(Inputs!B28:K28,B44:K44)+Inputs!B11)/SUMPRODUCT(Inputs!B27:K27,B44:K44)</f>
        <v>1.2325067143137</v>
      </c>
    </row>
    <row r="47" customFormat="false" ht="15" hidden="false" customHeight="false" outlineLevel="0" collapsed="false">
      <c r="A47" s="8" t="s">
        <v>123</v>
      </c>
      <c r="B47" s="26" t="n">
        <f aca="false">'Beyond One Index'!B46-PME!B23</f>
        <v>0.00704413341107601</v>
      </c>
      <c r="C47" s="2" t="s">
        <v>124</v>
      </c>
    </row>
    <row r="49" customFormat="false" ht="15" hidden="false" customHeight="false" outlineLevel="0" collapsed="false">
      <c r="A49" s="4" t="s">
        <v>125</v>
      </c>
    </row>
    <row r="51" customFormat="false" ht="15" hidden="false" customHeight="false" outlineLevel="0" collapsed="false">
      <c r="A51" s="16"/>
      <c r="B51" s="16" t="s">
        <v>77</v>
      </c>
      <c r="C51" s="16" t="s">
        <v>78</v>
      </c>
      <c r="D51" s="16" t="s">
        <v>79</v>
      </c>
      <c r="E51" s="16" t="s">
        <v>80</v>
      </c>
      <c r="F51" s="16" t="s">
        <v>81</v>
      </c>
      <c r="G51" s="16" t="s">
        <v>82</v>
      </c>
      <c r="H51" s="16" t="s">
        <v>83</v>
      </c>
      <c r="I51" s="16" t="s">
        <v>84</v>
      </c>
      <c r="J51" s="16" t="s">
        <v>85</v>
      </c>
      <c r="K51" s="16" t="s">
        <v>86</v>
      </c>
      <c r="L51" s="16" t="s">
        <v>87</v>
      </c>
    </row>
    <row r="52" customFormat="false" ht="15" hidden="false" customHeight="false" outlineLevel="0" collapsed="false">
      <c r="A52" s="8" t="s">
        <v>126</v>
      </c>
      <c r="B52" s="27" t="n">
        <f aca="false">PME!B9-PME!B8</f>
        <v>-191.094500809128</v>
      </c>
      <c r="C52" s="27" t="n">
        <f aca="false">PME!C9-PME!C8</f>
        <v>-279.475986909337</v>
      </c>
      <c r="D52" s="27" t="n">
        <f aca="false">PME!D9-PME!D8</f>
        <v>-186.29168813538</v>
      </c>
      <c r="E52" s="27" t="n">
        <f aca="false">PME!E9-PME!E8</f>
        <v>-63.1657523928347</v>
      </c>
      <c r="F52" s="27" t="n">
        <f aca="false">PME!F9-PME!F8</f>
        <v>118.47434759808</v>
      </c>
      <c r="G52" s="27" t="n">
        <f aca="false">PME!G9-PME!G8</f>
        <v>211.189668967304</v>
      </c>
      <c r="H52" s="27" t="n">
        <f aca="false">PME!H9-PME!H8</f>
        <v>180.354245897317</v>
      </c>
      <c r="I52" s="27" t="n">
        <f aca="false">PME!I9-PME!I8</f>
        <v>111.137006733578</v>
      </c>
      <c r="J52" s="27" t="n">
        <f aca="false">PME!J9-PME!J8</f>
        <v>115.881407135</v>
      </c>
      <c r="K52" s="27" t="n">
        <f aca="false">PME!K9-PME!K8</f>
        <v>72.42365</v>
      </c>
      <c r="L52" s="27" t="n">
        <f aca="false">Inputs!B11</f>
        <v>143</v>
      </c>
    </row>
    <row r="53" customFormat="false" ht="15" hidden="false" customHeight="false" outlineLevel="0" collapsed="false">
      <c r="A53" s="8" t="s">
        <v>127</v>
      </c>
      <c r="B53" s="24" t="n">
        <f aca="false">IRR(B52:L52)</f>
        <v>0.0524480593907229</v>
      </c>
      <c r="C53" s="2" t="s">
        <v>128</v>
      </c>
    </row>
    <row r="54" customFormat="false" ht="15" hidden="false" customHeight="false" outlineLevel="0" collapsed="false">
      <c r="A54" s="8" t="s">
        <v>129</v>
      </c>
      <c r="B54" s="24" t="n">
        <f aca="false">PME!B30-'Beyond One Index'!B53</f>
        <v>0.00617948680576291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58"/>
    <col collapsed="false" customWidth="true" hidden="false" outlineLevel="0" max="4" min="3" style="0" width="13"/>
    <col collapsed="false" customWidth="true" hidden="false" outlineLevel="0" max="5" min="5" style="0" width="12"/>
    <col collapsed="false" customWidth="true" hidden="false" outlineLevel="0" max="6" min="6" style="0" width="10"/>
    <col collapsed="false" customWidth="true" hidden="false" outlineLevel="0" max="7" min="7" style="0" width="9"/>
    <col collapsed="false" customWidth="true" hidden="false" outlineLevel="0" max="8" min="8" style="0" width="60"/>
  </cols>
  <sheetData>
    <row r="1" customFormat="false" ht="19.7" hidden="false" customHeight="false" outlineLevel="0" collapsed="false">
      <c r="A1" s="30" t="s">
        <v>130</v>
      </c>
    </row>
    <row r="2" customFormat="false" ht="15" hidden="false" customHeight="false" outlineLevel="0" collapsed="false">
      <c r="A2" s="2" t="s">
        <v>131</v>
      </c>
    </row>
    <row r="5" customFormat="false" ht="15" hidden="false" customHeight="false" outlineLevel="0" collapsed="false">
      <c r="A5" s="31" t="s">
        <v>132</v>
      </c>
      <c r="B5" s="31" t="s">
        <v>133</v>
      </c>
      <c r="C5" s="31" t="s">
        <v>134</v>
      </c>
      <c r="D5" s="31" t="s">
        <v>135</v>
      </c>
      <c r="E5" s="31" t="s">
        <v>136</v>
      </c>
      <c r="F5" s="31" t="s">
        <v>137</v>
      </c>
      <c r="G5" s="31" t="s">
        <v>138</v>
      </c>
      <c r="H5" s="31" t="s">
        <v>139</v>
      </c>
    </row>
    <row r="6" customFormat="false" ht="15" hidden="false" customHeight="false" outlineLevel="0" collapsed="false">
      <c r="A6" s="8" t="s">
        <v>140</v>
      </c>
      <c r="B6" s="8" t="s">
        <v>64</v>
      </c>
      <c r="C6" s="27" t="n">
        <v>979.96</v>
      </c>
      <c r="D6" s="27" t="n">
        <f aca="false">PME!B13</f>
        <v>979.958055626218</v>
      </c>
      <c r="E6" s="27" t="n">
        <f aca="false">D6-C6</f>
        <v>-0.00194437378252132</v>
      </c>
      <c r="F6" s="8" t="n">
        <v>0.005</v>
      </c>
      <c r="G6" s="8" t="str">
        <f aca="false">IF(ISNUMBER(D6),IF(ABS(E6)&lt;=F6,"PASS","FAIL"),"FAIL")</f>
        <v>PASS</v>
      </c>
      <c r="H6" s="8"/>
    </row>
    <row r="7" customFormat="false" ht="15" hidden="false" customHeight="false" outlineLevel="0" collapsed="false">
      <c r="A7" s="32" t="s">
        <v>140</v>
      </c>
      <c r="B7" s="32" t="s">
        <v>141</v>
      </c>
      <c r="C7" s="33" t="n">
        <v>1230.2</v>
      </c>
      <c r="D7" s="33" t="n">
        <f aca="false">PME!B14</f>
        <v>1230.20380621996</v>
      </c>
      <c r="E7" s="33" t="n">
        <f aca="false">D7-C7</f>
        <v>0.00380621996055197</v>
      </c>
      <c r="F7" s="32" t="n">
        <v>0.05</v>
      </c>
      <c r="G7" s="32" t="str">
        <f aca="false">IF(ISNUMBER(D7),IF(ABS(E7)&lt;=F7,"PASS","FAIL"),"FAIL")</f>
        <v>PASS</v>
      </c>
      <c r="H7" s="32"/>
    </row>
    <row r="8" customFormat="false" ht="15" hidden="false" customHeight="false" outlineLevel="0" collapsed="false">
      <c r="A8" s="8" t="s">
        <v>140</v>
      </c>
      <c r="B8" s="8" t="s">
        <v>71</v>
      </c>
      <c r="C8" s="26" t="n">
        <v>1.2554</v>
      </c>
      <c r="D8" s="26" t="n">
        <f aca="false">PME!B15</f>
        <v>1.25536373639363</v>
      </c>
      <c r="E8" s="26" t="n">
        <f aca="false">D8-C8</f>
        <v>-3.62636063746535E-005</v>
      </c>
      <c r="F8" s="8" t="n">
        <v>5E-005</v>
      </c>
      <c r="G8" s="8" t="str">
        <f aca="false">IF(ISNUMBER(D8),IF(ABS(E8)&lt;=F8,"PASS","FAIL"),"FAIL")</f>
        <v>PASS</v>
      </c>
      <c r="H8" s="8"/>
    </row>
    <row r="9" customFormat="false" ht="15" hidden="false" customHeight="false" outlineLevel="0" collapsed="false">
      <c r="A9" s="32" t="s">
        <v>140</v>
      </c>
      <c r="B9" s="32" t="s">
        <v>89</v>
      </c>
      <c r="C9" s="34" t="n">
        <v>0.058628</v>
      </c>
      <c r="D9" s="34" t="n">
        <f aca="false">PME!B30</f>
        <v>0.0586275461964858</v>
      </c>
      <c r="E9" s="34" t="n">
        <f aca="false">D9-C9</f>
        <v>-4.53803514204043E-007</v>
      </c>
      <c r="F9" s="32" t="n">
        <v>5E-007</v>
      </c>
      <c r="G9" s="32" t="str">
        <f aca="false">IF(ISNUMBER(D9),IF(ABS(E9)&lt;=F9,"PASS","FAIL"),"FAIL")</f>
        <v>PASS</v>
      </c>
      <c r="H9" s="32"/>
    </row>
    <row r="10" customFormat="false" ht="15" hidden="false" customHeight="false" outlineLevel="0" collapsed="false">
      <c r="A10" s="8" t="s">
        <v>142</v>
      </c>
      <c r="B10" s="8" t="s">
        <v>74</v>
      </c>
      <c r="C10" s="24" t="n">
        <v>0.078203</v>
      </c>
      <c r="D10" s="24" t="n">
        <f aca="false">PME!B20</f>
        <v>0.0782030797359108</v>
      </c>
      <c r="E10" s="24" t="n">
        <f aca="false">D10-C10</f>
        <v>7.97359107906903E-008</v>
      </c>
      <c r="F10" s="8" t="n">
        <v>5E-007</v>
      </c>
      <c r="G10" s="8" t="str">
        <f aca="false">IF(ISNUMBER(D10),IF(ABS(E10)&lt;=F10,"PASS","FAIL"),"FAIL")</f>
        <v>PASS</v>
      </c>
      <c r="H10" s="8"/>
    </row>
    <row r="11" customFormat="false" ht="15" hidden="false" customHeight="false" outlineLevel="0" collapsed="false">
      <c r="A11" s="32" t="s">
        <v>142</v>
      </c>
      <c r="B11" s="32" t="s">
        <v>75</v>
      </c>
      <c r="C11" s="35" t="n">
        <v>1.2255</v>
      </c>
      <c r="D11" s="35" t="n">
        <f aca="false">PME!B23</f>
        <v>1.22546258090262</v>
      </c>
      <c r="E11" s="35" t="n">
        <f aca="false">D11-C11</f>
        <v>-3.74190973797539E-005</v>
      </c>
      <c r="F11" s="32" t="n">
        <v>5E-005</v>
      </c>
      <c r="G11" s="32" t="str">
        <f aca="false">IF(ISNUMBER(D11),IF(ABS(E11)&lt;=F11,"PASS","FAIL"),"FAIL")</f>
        <v>PASS</v>
      </c>
      <c r="H11" s="32"/>
    </row>
    <row r="12" customFormat="false" ht="15" hidden="false" customHeight="false" outlineLevel="0" collapsed="false">
      <c r="A12" s="8" t="s">
        <v>143</v>
      </c>
      <c r="B12" s="8" t="s">
        <v>90</v>
      </c>
      <c r="C12" s="24" t="n">
        <v>0.071312</v>
      </c>
      <c r="D12" s="24" t="n">
        <f aca="false">PME!B31</f>
        <v>0.0713115360147736</v>
      </c>
      <c r="E12" s="24" t="n">
        <f aca="false">D12-C12</f>
        <v>-4.63985226420438E-007</v>
      </c>
      <c r="F12" s="8" t="n">
        <v>5E-007</v>
      </c>
      <c r="G12" s="8" t="str">
        <f aca="false">IF(ISNUMBER(D12),IF(ABS(E12)&lt;=F12,"PASS","FAIL"),"FAIL")</f>
        <v>PASS</v>
      </c>
      <c r="H12" s="8"/>
    </row>
    <row r="13" customFormat="false" ht="15" hidden="false" customHeight="false" outlineLevel="0" collapsed="false">
      <c r="A13" s="32" t="s">
        <v>140</v>
      </c>
      <c r="B13" s="32" t="s">
        <v>144</v>
      </c>
      <c r="C13" s="35" t="n">
        <v>1.7375</v>
      </c>
      <c r="D13" s="35" t="n">
        <f aca="false">'Beyond One Index'!B7</f>
        <v>1.73751428302521</v>
      </c>
      <c r="E13" s="35" t="n">
        <f aca="false">D13-C13</f>
        <v>1.42830252083392E-005</v>
      </c>
      <c r="F13" s="32" t="n">
        <v>5E-005</v>
      </c>
      <c r="G13" s="32" t="str">
        <f aca="false">IF(ISNUMBER(D13),IF(ABS(E13)&lt;=F13,"PASS","FAIL"),"FAIL")</f>
        <v>PASS</v>
      </c>
      <c r="H13" s="32"/>
    </row>
    <row r="14" customFormat="false" ht="15" hidden="false" customHeight="false" outlineLevel="0" collapsed="false">
      <c r="A14" s="8" t="s">
        <v>140</v>
      </c>
      <c r="B14" s="8" t="s">
        <v>145</v>
      </c>
      <c r="C14" s="26" t="n">
        <v>8.0201</v>
      </c>
      <c r="D14" s="26" t="n">
        <f aca="false">'Beyond One Index'!B8</f>
        <v>8.02012755538354</v>
      </c>
      <c r="E14" s="26" t="n">
        <f aca="false">D14-C14</f>
        <v>2.75553835393794E-005</v>
      </c>
      <c r="F14" s="8" t="n">
        <v>5E-005</v>
      </c>
      <c r="G14" s="8" t="str">
        <f aca="false">IF(ISNUMBER(D14),IF(ABS(E14)&lt;=F14,"PASS","FAIL"),"FAIL")</f>
        <v>PASS</v>
      </c>
      <c r="H14" s="8"/>
    </row>
    <row r="15" customFormat="false" ht="15" hidden="false" customHeight="false" outlineLevel="0" collapsed="false">
      <c r="A15" s="32" t="s">
        <v>140</v>
      </c>
      <c r="B15" s="32" t="s">
        <v>146</v>
      </c>
      <c r="C15" s="35" t="n">
        <v>1.3171</v>
      </c>
      <c r="D15" s="35" t="n">
        <f aca="false">'Beyond One Index'!B9</f>
        <v>1.31713469616698</v>
      </c>
      <c r="E15" s="35" t="n">
        <f aca="false">D15-C15</f>
        <v>3.46961669814849E-005</v>
      </c>
      <c r="F15" s="32" t="n">
        <v>5E-005</v>
      </c>
      <c r="G15" s="32" t="str">
        <f aca="false">IF(ISNUMBER(D15),IF(ABS(E15)&lt;=F15,"PASS","FAIL"),"FAIL")</f>
        <v>PASS</v>
      </c>
      <c r="H15" s="32"/>
    </row>
    <row r="16" customFormat="false" ht="15" hidden="false" customHeight="false" outlineLevel="0" collapsed="false">
      <c r="A16" s="8" t="s">
        <v>140</v>
      </c>
      <c r="B16" s="8" t="s">
        <v>145</v>
      </c>
      <c r="C16" s="26" t="n">
        <v>3.9989</v>
      </c>
      <c r="D16" s="26" t="n">
        <f aca="false">'Beyond One Index'!B10</f>
        <v>3.99889905130153</v>
      </c>
      <c r="E16" s="26" t="n">
        <f aca="false">D16-C16</f>
        <v>-9.48698472225118E-007</v>
      </c>
      <c r="F16" s="8" t="n">
        <v>5E-005</v>
      </c>
      <c r="G16" s="8" t="str">
        <f aca="false">IF(ISNUMBER(D16),IF(ABS(E16)&lt;=F16,"PASS","FAIL"),"FAIL")</f>
        <v>PASS</v>
      </c>
      <c r="H16" s="8" t="s">
        <v>147</v>
      </c>
    </row>
    <row r="17" customFormat="false" ht="15" hidden="false" customHeight="false" outlineLevel="0" collapsed="false">
      <c r="A17" s="32" t="s">
        <v>140</v>
      </c>
      <c r="B17" s="32" t="s">
        <v>148</v>
      </c>
      <c r="C17" s="33" t="n">
        <v>1087.2</v>
      </c>
      <c r="D17" s="33" t="n">
        <f aca="false">'Beyond One Index'!B11</f>
        <v>1087.20380621996</v>
      </c>
      <c r="E17" s="33" t="n">
        <f aca="false">D17-C17</f>
        <v>0.00380621996055197</v>
      </c>
      <c r="F17" s="32" t="n">
        <v>0.05</v>
      </c>
      <c r="G17" s="32" t="str">
        <f aca="false">IF(ISNUMBER(D17),IF(ABS(E17)&lt;=F17,"PASS","FAIL"),"FAIL")</f>
        <v>PASS</v>
      </c>
      <c r="H17" s="32"/>
    </row>
    <row r="18" customFormat="false" ht="15" hidden="false" customHeight="false" outlineLevel="0" collapsed="false">
      <c r="A18" s="8" t="s">
        <v>140</v>
      </c>
      <c r="B18" s="8" t="s">
        <v>149</v>
      </c>
      <c r="C18" s="27" t="n">
        <v>250.25</v>
      </c>
      <c r="D18" s="27" t="n">
        <f aca="false">'Beyond One Index'!B12</f>
        <v>250.245750593743</v>
      </c>
      <c r="E18" s="27" t="n">
        <f aca="false">D18-C18</f>
        <v>-0.00424940625691761</v>
      </c>
      <c r="F18" s="8" t="n">
        <v>0.005</v>
      </c>
      <c r="G18" s="8" t="str">
        <f aca="false">IF(ISNUMBER(D18),IF(ABS(E18)&lt;=F18,"PASS","FAIL"),"FAIL")</f>
        <v>PASS</v>
      </c>
      <c r="H18" s="8" t="s">
        <v>150</v>
      </c>
    </row>
    <row r="19" customFormat="false" ht="15" hidden="false" customHeight="false" outlineLevel="0" collapsed="false">
      <c r="A19" s="32" t="s">
        <v>140</v>
      </c>
      <c r="B19" s="32" t="s">
        <v>151</v>
      </c>
      <c r="C19" s="34" t="n">
        <v>0.023003</v>
      </c>
      <c r="D19" s="34" t="n">
        <f aca="false">'Beyond One Index'!B13</f>
        <v>0.0230031192025499</v>
      </c>
      <c r="E19" s="34" t="n">
        <f aca="false">D19-C19</f>
        <v>1.19202549938441E-007</v>
      </c>
      <c r="F19" s="32" t="n">
        <v>5E-007</v>
      </c>
      <c r="G19" s="32" t="str">
        <f aca="false">IF(ISNUMBER(D19),IF(ABS(E19)&lt;=F19,"PASS","FAIL"),"FAIL")</f>
        <v>PASS</v>
      </c>
      <c r="H19" s="32"/>
    </row>
    <row r="20" customFormat="false" ht="15" hidden="false" customHeight="false" outlineLevel="0" collapsed="false">
      <c r="A20" s="8" t="s">
        <v>142</v>
      </c>
      <c r="B20" s="8" t="s">
        <v>152</v>
      </c>
      <c r="C20" s="24" t="n">
        <v>0.079008</v>
      </c>
      <c r="D20" s="24" t="n">
        <f aca="false">'Beyond One Index'!B17</f>
        <v>0.0790082664169896</v>
      </c>
      <c r="E20" s="24" t="n">
        <f aca="false">D20-C20</f>
        <v>2.66416989608276E-007</v>
      </c>
      <c r="F20" s="8" t="n">
        <v>5E-007</v>
      </c>
      <c r="G20" s="8" t="str">
        <f aca="false">IF(ISNUMBER(D20),IF(ABS(E20)&lt;=F20,"PASS","FAIL"),"FAIL")</f>
        <v>PASS</v>
      </c>
      <c r="H20" s="8" t="s">
        <v>153</v>
      </c>
    </row>
    <row r="21" customFormat="false" ht="15" hidden="false" customHeight="false" outlineLevel="0" collapsed="false">
      <c r="A21" s="32" t="s">
        <v>142</v>
      </c>
      <c r="B21" s="32" t="s">
        <v>154</v>
      </c>
      <c r="C21" s="34" t="n">
        <v>0.000805</v>
      </c>
      <c r="D21" s="34" t="n">
        <f aca="false">'Beyond One Index'!B18</f>
        <v>0.000805186681078818</v>
      </c>
      <c r="E21" s="34" t="n">
        <f aca="false">D21-C21</f>
        <v>1.86681078817694E-007</v>
      </c>
      <c r="F21" s="32" t="n">
        <v>5E-007</v>
      </c>
      <c r="G21" s="32" t="str">
        <f aca="false">IF(ISNUMBER(D21),IF(ABS(E21)&lt;=F21,"PASS","FAIL"),"FAIL")</f>
        <v>PASS</v>
      </c>
      <c r="H21" s="32" t="s">
        <v>155</v>
      </c>
    </row>
    <row r="22" customFormat="false" ht="15" hidden="false" customHeight="false" outlineLevel="0" collapsed="false">
      <c r="A22" s="8" t="s">
        <v>142</v>
      </c>
      <c r="B22" s="8" t="s">
        <v>156</v>
      </c>
      <c r="C22" s="24" t="n">
        <v>0.006892</v>
      </c>
      <c r="D22" s="24" t="n">
        <f aca="false">'Beyond One Index'!B19</f>
        <v>0.00689154372113721</v>
      </c>
      <c r="E22" s="24" t="n">
        <f aca="false">D22-C22</f>
        <v>-4.56278862794209E-007</v>
      </c>
      <c r="F22" s="8" t="n">
        <v>5E-007</v>
      </c>
      <c r="G22" s="8" t="str">
        <f aca="false">IF(ISNUMBER(D22),IF(ABS(E22)&lt;=F22,"PASS","FAIL"),"FAIL")</f>
        <v>PASS</v>
      </c>
      <c r="H22" s="8" t="s">
        <v>157</v>
      </c>
    </row>
    <row r="23" customFormat="false" ht="15" hidden="false" customHeight="false" outlineLevel="0" collapsed="false">
      <c r="A23" s="32" t="s">
        <v>142</v>
      </c>
      <c r="B23" s="32" t="s">
        <v>158</v>
      </c>
      <c r="C23" s="34" t="n">
        <v>0.1171</v>
      </c>
      <c r="D23" s="34" t="n">
        <f aca="false">'Beyond One Index'!B20</f>
        <v>0.117092410665994</v>
      </c>
      <c r="E23" s="34" t="n">
        <f aca="false">D23-C23</f>
        <v>-7.58933400554773E-006</v>
      </c>
      <c r="F23" s="32" t="n">
        <v>5E-005</v>
      </c>
      <c r="G23" s="32" t="str">
        <f aca="false">IF(ISNUMBER(D23),IF(ABS(E23)&lt;=F23,"PASS","FAIL"),"FAIL")</f>
        <v>PASS</v>
      </c>
      <c r="H23" s="32"/>
    </row>
    <row r="24" customFormat="false" ht="15" hidden="false" customHeight="false" outlineLevel="0" collapsed="false">
      <c r="A24" s="8" t="s">
        <v>159</v>
      </c>
      <c r="B24" s="8" t="s">
        <v>109</v>
      </c>
      <c r="C24" s="24" t="n">
        <v>0.023819</v>
      </c>
      <c r="D24" s="24" t="n">
        <f aca="false">'Beyond One Index'!B21</f>
        <v>0.0238187185308573</v>
      </c>
      <c r="E24" s="24" t="n">
        <f aca="false">D24-C24</f>
        <v>-2.81469142673907E-007</v>
      </c>
      <c r="F24" s="8" t="n">
        <v>5E-007</v>
      </c>
      <c r="G24" s="8" t="str">
        <f aca="false">IF(ISNUMBER(D24),IF(ABS(E24)&lt;=F24,"PASS","FAIL"),"FAIL")</f>
        <v>PASS</v>
      </c>
      <c r="H24" s="8" t="s">
        <v>160</v>
      </c>
    </row>
    <row r="25" customFormat="false" ht="15" hidden="false" customHeight="false" outlineLevel="0" collapsed="false">
      <c r="A25" s="32" t="s">
        <v>159</v>
      </c>
      <c r="B25" s="32" t="s">
        <v>161</v>
      </c>
      <c r="C25" s="35" t="n">
        <v>0.0434</v>
      </c>
      <c r="D25" s="35" t="n">
        <f aca="false">'Beyond One Index'!B22</f>
        <v>0.0433881822432536</v>
      </c>
      <c r="E25" s="35" t="n">
        <f aca="false">D25-C25</f>
        <v>-1.18177567463643E-005</v>
      </c>
      <c r="F25" s="32" t="n">
        <v>5E-005</v>
      </c>
      <c r="G25" s="32" t="str">
        <f aca="false">IF(ISNUMBER(D25),IF(ABS(E25)&lt;=F25,"PASS","FAIL"),"FAIL")</f>
        <v>PASS</v>
      </c>
      <c r="H25" s="32"/>
    </row>
    <row r="26" customFormat="false" ht="15" hidden="false" customHeight="false" outlineLevel="0" collapsed="false">
      <c r="A26" s="8" t="s">
        <v>159</v>
      </c>
      <c r="B26" s="8" t="s">
        <v>162</v>
      </c>
      <c r="C26" s="28" t="n">
        <v>13</v>
      </c>
      <c r="D26" s="28" t="n">
        <f aca="false">'Beyond One Index'!B23</f>
        <v>13.0167132905637</v>
      </c>
      <c r="E26" s="28" t="n">
        <f aca="false">D26-C26</f>
        <v>0.0167132905637004</v>
      </c>
      <c r="F26" s="8" t="n">
        <v>0.5</v>
      </c>
      <c r="G26" s="8" t="str">
        <f aca="false">IF(ISNUMBER(D26),IF(ABS(E26)&lt;=F26,"PASS","FAIL"),"FAIL")</f>
        <v>PASS</v>
      </c>
      <c r="H26" s="8" t="s">
        <v>163</v>
      </c>
    </row>
    <row r="27" customFormat="false" ht="15" hidden="false" customHeight="false" outlineLevel="0" collapsed="false">
      <c r="A27" s="32" t="s">
        <v>142</v>
      </c>
      <c r="B27" s="32" t="s">
        <v>164</v>
      </c>
      <c r="C27" s="36" t="n">
        <v>8.51</v>
      </c>
      <c r="D27" s="36" t="n">
        <f aca="false">'Beyond One Index'!B24</f>
        <v>8.5094623457048</v>
      </c>
      <c r="E27" s="36" t="n">
        <f aca="false">D27-C27</f>
        <v>-0.000537654295198919</v>
      </c>
      <c r="F27" s="32" t="n">
        <v>0.005</v>
      </c>
      <c r="G27" s="32" t="str">
        <f aca="false">IF(ISNUMBER(D27),IF(ABS(E27)&lt;=F27,"PASS","FAIL"),"FAIL")</f>
        <v>PASS</v>
      </c>
      <c r="H27" s="32"/>
    </row>
    <row r="28" customFormat="false" ht="15" hidden="false" customHeight="false" outlineLevel="0" collapsed="false">
      <c r="A28" s="8" t="s">
        <v>142</v>
      </c>
      <c r="B28" s="8" t="s">
        <v>165</v>
      </c>
      <c r="C28" s="26" t="n">
        <v>1.1956</v>
      </c>
      <c r="D28" s="26" t="n">
        <f aca="false">'Beyond One Index'!B25</f>
        <v>1.19556142541162</v>
      </c>
      <c r="E28" s="26" t="n">
        <f aca="false">D28-C28</f>
        <v>-3.85745883848543E-005</v>
      </c>
      <c r="F28" s="8" t="n">
        <v>5E-005</v>
      </c>
      <c r="G28" s="8" t="str">
        <f aca="false">IF(ISNUMBER(D28),IF(ABS(E28)&lt;=F28,"PASS","FAIL"),"FAIL")</f>
        <v>PASS</v>
      </c>
      <c r="H28" s="8"/>
    </row>
    <row r="29" customFormat="false" ht="15" hidden="false" customHeight="false" outlineLevel="0" collapsed="false">
      <c r="A29" s="32" t="s">
        <v>142</v>
      </c>
      <c r="B29" s="32" t="s">
        <v>166</v>
      </c>
      <c r="C29" s="34" t="n">
        <v>0.084883</v>
      </c>
      <c r="D29" s="34" t="n">
        <f aca="false">'Beyond One Index'!B33</f>
        <v>0.0848831978005027</v>
      </c>
      <c r="E29" s="34" t="n">
        <f aca="false">D29-C29</f>
        <v>1.97800502685364E-007</v>
      </c>
      <c r="F29" s="32" t="n">
        <v>5E-007</v>
      </c>
      <c r="G29" s="32" t="str">
        <f aca="false">IF(ISNUMBER(D29),IF(ABS(E29)&lt;=F29,"PASS","FAIL"),"FAIL")</f>
        <v>PASS</v>
      </c>
      <c r="H29" s="32"/>
    </row>
    <row r="30" customFormat="false" ht="15" hidden="false" customHeight="false" outlineLevel="0" collapsed="false">
      <c r="A30" s="8" t="s">
        <v>142</v>
      </c>
      <c r="B30" s="8" t="s">
        <v>167</v>
      </c>
      <c r="C30" s="26" t="n">
        <v>1.1976</v>
      </c>
      <c r="D30" s="26" t="n">
        <f aca="false">'Beyond One Index'!B34</f>
        <v>1.19755549444278</v>
      </c>
      <c r="E30" s="26" t="n">
        <f aca="false">D30-C30</f>
        <v>-4.45055572184661E-005</v>
      </c>
      <c r="F30" s="8" t="n">
        <v>5E-005</v>
      </c>
      <c r="G30" s="8" t="str">
        <f aca="false">IF(ISNUMBER(D30),IF(ABS(E30)&lt;=F30,"PASS","FAIL"),"FAIL")</f>
        <v>PASS</v>
      </c>
      <c r="H30" s="8" t="s">
        <v>168</v>
      </c>
    </row>
    <row r="31" customFormat="false" ht="15" hidden="false" customHeight="false" outlineLevel="0" collapsed="false">
      <c r="A31" s="32" t="s">
        <v>142</v>
      </c>
      <c r="B31" s="32" t="s">
        <v>169</v>
      </c>
      <c r="C31" s="34" t="n">
        <v>0.077964</v>
      </c>
      <c r="D31" s="34" t="n">
        <f aca="false">'Beyond One Index'!B39</f>
        <v>0.0779642486171159</v>
      </c>
      <c r="E31" s="34" t="n">
        <f aca="false">D31-C31</f>
        <v>2.48617115922167E-007</v>
      </c>
      <c r="F31" s="32" t="n">
        <v>5E-007</v>
      </c>
      <c r="G31" s="32" t="str">
        <f aca="false">IF(ISNUMBER(D31),IF(ABS(E31)&lt;=F31,"PASS","FAIL"),"FAIL")</f>
        <v>PASS</v>
      </c>
      <c r="H31" s="32"/>
    </row>
    <row r="32" customFormat="false" ht="15" hidden="false" customHeight="false" outlineLevel="0" collapsed="false">
      <c r="A32" s="8" t="s">
        <v>142</v>
      </c>
      <c r="B32" s="8" t="s">
        <v>170</v>
      </c>
      <c r="C32" s="24" t="n">
        <v>0.076694</v>
      </c>
      <c r="D32" s="24" t="n">
        <f aca="false">'Beyond One Index'!B45</f>
        <v>0.0766939827066491</v>
      </c>
      <c r="E32" s="24" t="n">
        <f aca="false">D32-C32</f>
        <v>-1.72933509318129E-008</v>
      </c>
      <c r="F32" s="8" t="n">
        <v>5E-007</v>
      </c>
      <c r="G32" s="8" t="str">
        <f aca="false">IF(ISNUMBER(D32),IF(ABS(E32)&lt;=F32,"PASS","FAIL"),"FAIL")</f>
        <v>PASS</v>
      </c>
      <c r="H32" s="8"/>
    </row>
    <row r="33" customFormat="false" ht="15" hidden="false" customHeight="false" outlineLevel="0" collapsed="false">
      <c r="A33" s="32" t="s">
        <v>142</v>
      </c>
      <c r="B33" s="32" t="s">
        <v>171</v>
      </c>
      <c r="C33" s="35" t="n">
        <v>0.007</v>
      </c>
      <c r="D33" s="35" t="n">
        <f aca="false">'Beyond One Index'!B47</f>
        <v>0.00704413341107601</v>
      </c>
      <c r="E33" s="35" t="n">
        <f aca="false">D33-C33</f>
        <v>4.41334110760144E-005</v>
      </c>
      <c r="F33" s="32" t="n">
        <v>5E-005</v>
      </c>
      <c r="G33" s="32" t="str">
        <f aca="false">IF(ISNUMBER(D33),IF(ABS(E33)&lt;=F33,"PASS","FAIL"),"FAIL")</f>
        <v>PASS</v>
      </c>
      <c r="H33" s="32" t="s">
        <v>124</v>
      </c>
    </row>
    <row r="34" customFormat="false" ht="15" hidden="false" customHeight="false" outlineLevel="0" collapsed="false">
      <c r="A34" s="8" t="s">
        <v>142</v>
      </c>
      <c r="B34" s="8" t="s">
        <v>172</v>
      </c>
      <c r="C34" s="24" t="n">
        <v>0.052448</v>
      </c>
      <c r="D34" s="24" t="n">
        <f aca="false">'Beyond One Index'!B53</f>
        <v>0.0524480593907229</v>
      </c>
      <c r="E34" s="24" t="n">
        <f aca="false">D34-C34</f>
        <v>5.93907228882418E-008</v>
      </c>
      <c r="F34" s="8" t="n">
        <v>5E-007</v>
      </c>
      <c r="G34" s="8" t="str">
        <f aca="false">IF(ISNUMBER(D34),IF(ABS(E34)&lt;=F34,"PASS","FAIL"),"FAIL")</f>
        <v>PASS</v>
      </c>
      <c r="H34" s="8" t="s">
        <v>128</v>
      </c>
    </row>
    <row r="35" customFormat="false" ht="15" hidden="false" customHeight="false" outlineLevel="0" collapsed="false">
      <c r="A35" s="32" t="s">
        <v>140</v>
      </c>
      <c r="B35" s="32" t="s">
        <v>173</v>
      </c>
      <c r="C35" s="33" t="n">
        <v>265.76</v>
      </c>
      <c r="D35" s="33" t="n">
        <f aca="false">PME!C6</f>
        <v>265.755806722142</v>
      </c>
      <c r="E35" s="33" t="n">
        <f aca="false">D35-C35</f>
        <v>-0.0041932778576097</v>
      </c>
      <c r="F35" s="32" t="n">
        <v>0.005</v>
      </c>
      <c r="G35" s="32" t="str">
        <f aca="false">IF(ISNUMBER(D35),IF(ABS(E35)&lt;=F35,"PASS","FAIL"),"FAIL")</f>
        <v>PASS</v>
      </c>
      <c r="H35" s="32"/>
    </row>
    <row r="36" customFormat="false" ht="15" hidden="false" customHeight="false" outlineLevel="0" collapsed="false">
      <c r="A36" s="8" t="s">
        <v>140</v>
      </c>
      <c r="B36" s="8" t="s">
        <v>174</v>
      </c>
      <c r="C36" s="27" t="n">
        <v>110.16</v>
      </c>
      <c r="D36" s="27" t="n">
        <f aca="false">PME!I7</f>
        <v>110.16074676</v>
      </c>
      <c r="E36" s="27" t="n">
        <f aca="false">D36-C36</f>
        <v>0.000746760000012614</v>
      </c>
      <c r="F36" s="8" t="n">
        <v>0.005</v>
      </c>
      <c r="G36" s="8" t="str">
        <f aca="false">IF(ISNUMBER(D36),IF(ABS(E36)&lt;=F36,"PASS","FAIL"),"FAIL")</f>
        <v>PASS</v>
      </c>
      <c r="H36" s="8"/>
    </row>
    <row r="38" customFormat="false" ht="15" hidden="false" customHeight="false" outlineLevel="0" collapsed="false">
      <c r="B38" s="8" t="s">
        <v>175</v>
      </c>
      <c r="C38" s="37" t="n">
        <f aca="false">COUNTIF(G6:G36,"PASS")</f>
        <v>31</v>
      </c>
    </row>
    <row r="39" customFormat="false" ht="15" hidden="false" customHeight="false" outlineLevel="0" collapsed="false">
      <c r="B39" s="8" t="s">
        <v>176</v>
      </c>
      <c r="C39" s="37" t="n">
        <f aca="false">COUNTIF(G6:G36,"FAIL")</f>
        <v>0</v>
      </c>
    </row>
    <row r="40" customFormat="false" ht="15" hidden="false" customHeight="false" outlineLevel="0" collapsed="false">
      <c r="B40" s="38" t="s">
        <v>177</v>
      </c>
      <c r="C40" s="38" t="str">
        <f aca="false">IF(C39=0,"ALL OK",C39&amp;"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2026-08-29T05:10:45Z</dcterms:created>
  <dc:creator>openpyxl</dc:creator>
  <dc:description/>
  <dc:language>en-US</dc:language>
  <cp:lastModifiedBy/>
  <dcterms:modified xsi:type="dcterms:W3CDTF">2026-09-24T01:15:26Z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