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Engine" sheetId="3" state="visible" r:id="rId5"/>
    <sheet name="The Three Returns" sheetId="4" state="visible" r:id="rId6"/>
    <sheet name="Two Adjustments"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<sst xmlns="http://schemas.openxmlformats.org/spreadsheetml/2006/main" count="297" uniqueCount="193">
  <si>
    <t xml:space="preserve">Thornbury — The Three Returns</t>
  </si>
  <si>
    <t xml:space="preserve">Companion workbook 1 to Alternative Investments, by Julian R. Sterling</t>
  </si>
  <si>
    <t xml:space="preserve">What this workbook is</t>
  </si>
  <si>
    <t xml:space="preserve">The three returns of the Thornbury programme computed from one call and distribution schedule: the fund's internal rate of return, the sleeve with the uncalled commitment held in the listed index, and the sleeve with it held in cash, all beside the index itself.</t>
  </si>
  <si>
    <t xml:space="preserve">The experiment to run first</t>
  </si>
  <si>
    <t xml:space="preserve">On the Inputs sheet, change nothing except the cash return row: set it equal to the index return row. The fund's internal rate of return will not move by a basis point, because nothing the manager did has changed. The two sleeve returns will converge. That gap is the whole of Chapter 9, and on the book's figures it is worth 2.9307 points a year.</t>
  </si>
  <si>
    <t xml:space="preserve">On the timing convention</t>
  </si>
  <si>
    <t xml:space="preserve">Flows are treated as occurring at the start of the year shown, so time zero is the start of Year 1 and the last flow sits at t = 9, where the residual value is also struck. Dating the residual a year later gives 12.9426 per cent instead of 13.2935. The difference is the convention, not an error.</t>
  </si>
  <si>
    <t xml:space="preserve">Conventions</t>
  </si>
  <si>
    <t xml:space="preserve">Blue text on a pale yellow fill is an input. Black text is a formula. Amounts are in millions. Returns are entered as per cent and displayed as percentages once computed.</t>
  </si>
  <si>
    <t xml:space="preserve">The Checks sheet reproduces every figure the book prints from this workbook's own formulas. If a check ever reads FAIL, the workbook is wrong, not the book.</t>
  </si>
  <si>
    <t xml:space="preserve">Revised 24 September 2026</t>
  </si>
  <si>
    <t xml:space="preserve">Every check now passes to half a unit of the last printed digit (it was half a percentage point). New sheet, Two Adjustments: the IRR with the residual dated where the sleeve and the PME date it (12.9426 per cent; the apparent advantage is then 2.83 times the real one, not 3.00), and both sleeve returns net of the 21.00 advisory layer that Chapter 14 counts and the sleeve account never charges (8.9657 and 6.0248 per cent).</t>
  </si>
  <si>
    <t xml:space="preserve">Thornbury — inputs</t>
  </si>
  <si>
    <t xml:space="preserve">Blue cells on a yellow fill are inputs. Everything else in this workbook is a formula.</t>
  </si>
  <si>
    <t xml:space="preserve">The foundation and the programme</t>
  </si>
  <si>
    <t xml:space="preserve">Total assets of the foundation</t>
  </si>
  <si>
    <t xml:space="preserve">Target allocation to alternatives</t>
  </si>
  <si>
    <t xml:space="preserve">Capital set aside for the sleeve</t>
  </si>
  <si>
    <t xml:space="preserve">Commitment to the programme</t>
  </si>
  <si>
    <t xml:space="preserve">Residual net asset value, end of Year 10</t>
  </si>
  <si>
    <t xml:space="preserve">Fees and the benchmark</t>
  </si>
  <si>
    <t xml:space="preserve">Management fee rate</t>
  </si>
  <si>
    <t xml:space="preserve">Carried interest</t>
  </si>
  <si>
    <t xml:space="preserve">Advisory and administration layer</t>
  </si>
  <si>
    <t xml:space="preserve">Beta for the leverage-matched index</t>
  </si>
  <si>
    <t xml:space="preserve">Funding rate for the levered index</t>
  </si>
  <si>
    <t xml:space="preserve">Smoothing coefficient</t>
  </si>
  <si>
    <t xml:space="preserve">Ten years, per cent and millions</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</si>
  <si>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</si>
  <si>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</si>
  <si>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</si>
  <si>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</si>
  <si>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</si>
  <si>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</si>
  <si>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</si>
  <si>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</si>
  <si>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</si>
  <si>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</si>
  <si>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Listed index return, %</t>
  </si>
  <si>
    <t xml:space="preserve">Cash return, %</t>
  </si>
  <si>
    <t xml:space="preserve">Capital calls</t>
  </si>
  <si>
    <t xml:space="preserve">Distributions</t>
  </si>
  <si>
    <t xml:space="preserve">Reported sleeve return, %</t>
  </si>
  <si>
    <t xml:space="preserve">Move a call or a distribution to another year and every number in this workbook moves.</t>
  </si>
  <si>
    <t xml:space="preserve">The engine</t>
  </si>
  <si>
    <t xml:space="preserve">The fund's flows, the sleeve on both idle policies, and the capital actually at work.</t>
  </si>
  <si>
    <t xml:space="preserve">Fund net flow (distributions less calls)</t>
  </si>
  <si>
    <t xml:space="preserve">Net capital at work, cumulative</t>
  </si>
  <si>
    <t xml:space="preserve">The sleeve, uncalled commitment held in CASH</t>
  </si>
  <si>
    <t xml:space="preserve">Balance after the flows</t>
  </si>
  <si>
    <t xml:space="preserve">Return earned on the balance</t>
  </si>
  <si>
    <t xml:space="preserve">Balance</t>
  </si>
  <si>
    <t xml:space="preserve">The sleeve, uncalled commitment held in the LISTED INDEX</t>
  </si>
  <si>
    <t xml:space="preserve">Compounding factors to the end of Year 10</t>
  </si>
  <si>
    <t xml:space="preserve">At the index</t>
  </si>
  <si>
    <t xml:space="preserve">At the leverage-matched index</t>
  </si>
  <si>
    <t xml:space="preserve">Totals</t>
  </si>
  <si>
    <t xml:space="preserve">Capital called</t>
  </si>
  <si>
    <t xml:space="preserve">Distributed</t>
  </si>
  <si>
    <t xml:space="preserve">Uncalled commitment</t>
  </si>
  <si>
    <t xml:space="preserve">Terminal value, cash policy</t>
  </si>
  <si>
    <t xml:space="preserve">Terminal value, index policy</t>
  </si>
  <si>
    <t xml:space="preserve">Peak net capital at work</t>
  </si>
  <si>
    <t xml:space="preserve">The three returns</t>
  </si>
  <si>
    <t xml:space="preserve">All three describe the same programme over the same ten years. All three are correct.</t>
  </si>
  <si>
    <t xml:space="preserve">The fund's own cash-flow series</t>
  </si>
  <si>
    <t xml:space="preserve">Time</t>
  </si>
  <si>
    <t xml:space="preserve">Net flow</t>
  </si>
  <si>
    <t xml:space="preserve">Note</t>
  </si>
  <si>
    <t xml:space="preserve">t = 0</t>
  </si>
  <si>
    <t xml:space="preserve">start of Year 1</t>
  </si>
  <si>
    <t xml:space="preserve">t = 1</t>
  </si>
  <si>
    <t xml:space="preserve">start of Year 2</t>
  </si>
  <si>
    <t xml:space="preserve">t = 2</t>
  </si>
  <si>
    <t xml:space="preserve">start of Year 3</t>
  </si>
  <si>
    <t xml:space="preserve">t = 3</t>
  </si>
  <si>
    <t xml:space="preserve">start of Year 4</t>
  </si>
  <si>
    <t xml:space="preserve">t = 4</t>
  </si>
  <si>
    <t xml:space="preserve">start of Year 5</t>
  </si>
  <si>
    <t xml:space="preserve">t = 5</t>
  </si>
  <si>
    <t xml:space="preserve">start of Year 6</t>
  </si>
  <si>
    <t xml:space="preserve">t = 6</t>
  </si>
  <si>
    <t xml:space="preserve">start of Year 7</t>
  </si>
  <si>
    <t xml:space="preserve">t = 7</t>
  </si>
  <si>
    <t xml:space="preserve">start of Year 8</t>
  </si>
  <si>
    <t xml:space="preserve">t = 8</t>
  </si>
  <si>
    <t xml:space="preserve">start of Year 9</t>
  </si>
  <si>
    <t xml:space="preserve">t = 9</t>
  </si>
  <si>
    <t xml:space="preserve">start of Year 10, residual struck here</t>
  </si>
  <si>
    <t xml:space="preserve">The three returns, annualised</t>
  </si>
  <si>
    <t xml:space="preserve">Return</t>
  </si>
  <si>
    <t xml:space="preserve">Annualised</t>
  </si>
  <si>
    <t xml:space="preserve">Whose number it is</t>
  </si>
  <si>
    <t xml:space="preserve">Reported net IRR of the fund</t>
  </si>
  <si>
    <t xml:space="preserve">the manager's</t>
  </si>
  <si>
    <t xml:space="preserve">The sleeve, uncalled held in the listed index</t>
  </si>
  <si>
    <t xml:space="preserve">the foundation's, on one policy</t>
  </si>
  <si>
    <t xml:space="preserve">The sleeve, uncalled held in cash</t>
  </si>
  <si>
    <t xml:space="preserve">the foundation's, on the other</t>
  </si>
  <si>
    <t xml:space="preserve">The listed index</t>
  </si>
  <si>
    <t xml:space="preserve">the alternative that was rejected</t>
  </si>
  <si>
    <t xml:space="preserve">What the difference is worth</t>
  </si>
  <si>
    <t xml:space="preserve">Apparent advantage (fund less index)</t>
  </si>
  <si>
    <t xml:space="preserve">Real advantage, uncalled in the index</t>
  </si>
  <si>
    <t xml:space="preserve">Real advantage, uncalled in cash</t>
  </si>
  <si>
    <t xml:space="preserve">Share of the apparent advantage that reached the foundation</t>
  </si>
  <si>
    <t xml:space="preserve">Apparent divided by real</t>
  </si>
  <si>
    <t xml:space="preserve">Cost of the idle capital (fund less sleeve, index policy)</t>
  </si>
  <si>
    <t xml:space="preserve">Cost of holding the uncalled in cash rather than the index</t>
  </si>
  <si>
    <t xml:space="preserve">The capital behind each number</t>
  </si>
  <si>
    <t xml:space="preserve">Capital set aside</t>
  </si>
  <si>
    <t xml:space="preserve">600 placed in the index on day one</t>
  </si>
  <si>
    <t xml:space="preserve">Two adjustments the book mentions and does not carry through</t>
  </si>
  <si>
    <t xml:space="preserve">One date for the residual in all three returns, and the advisory layer charged where it is paid. Both are formulas on the Inputs sheet.</t>
  </si>
  <si>
    <t xml:space="preserve">The residual on one date: the end of Year 10, as the sleeve and the PME date it</t>
  </si>
  <si>
    <t xml:space="preserve">t = 10</t>
  </si>
  <si>
    <t xml:space="preserve">Fund net flow, residual one year after the last distribution</t>
  </si>
  <si>
    <t xml:space="preserve">Fund IRR with the residual at the end of Year 10</t>
  </si>
  <si>
    <t xml:space="preserve">Appendix A prints it: 12.9426 per cent</t>
  </si>
  <si>
    <t xml:space="preserve">Apparent advantage on that date</t>
  </si>
  <si>
    <t xml:space="preserve">Apparent divided by real, one date throughout</t>
  </si>
  <si>
    <t xml:space="preserve">the headline 3.00 dates the residual a year earlier in the IRR than in the sleeve</t>
  </si>
  <si>
    <t xml:space="preserve">The sleeve account adds the residual after the Year 10 interest, and the PME adds it without compounding: both put it at the end of Year 10.</t>
  </si>
  <si>
    <t xml:space="preserve">The IRR series puts it at t = 9, beside the Year 10 distribution. Neither is wrong; mixing them moves the ratio from 2.83 to 3.00.</t>
  </si>
  <si>
    <t xml:space="preserve">The sleeve net of the advisory layer (35 basis points on the 600, charged at each year end)</t>
  </si>
  <si>
    <t xml:space="preserve">After the flows, cash policy</t>
  </si>
  <si>
    <t xml:space="preserve">Return on the balance</t>
  </si>
  <si>
    <t xml:space="preserve">After the flows, index policy</t>
  </si>
  <si>
    <t xml:space="preserve">Sleeve return net of the layer, uncalled in the index</t>
  </si>
  <si>
    <t xml:space="preserve">Sleeve return net of the layer, uncalled in cash</t>
  </si>
  <si>
    <t xml:space="preserve">Real advantage net of the layer, index policy</t>
  </si>
  <si>
    <t xml:space="preserve">Apparent divided by real, net of the layer</t>
  </si>
  <si>
    <t xml:space="preserve">Chapter 14 counts the 21.00 in the fee load and calls it the foundation's own: it is in nobody's fund report, so it is not in the calls or</t>
  </si>
  <si>
    <t xml:space="preserve">the distributions either. The sleeve account of Chapter 8 never charges it. Charged here, both sleeve returns fall by about a fifth of a point.</t>
  </si>
  <si>
    <t xml:space="preserve">The cash account, reconciled (Chapter 9)</t>
  </si>
  <si>
    <t xml:space="preserve">Interest earned over ten years, unrounded</t>
  </si>
  <si>
    <t xml:space="preserve">Interest, the ten yearly figures as printed (rounded) and added</t>
  </si>
  <si>
    <t xml:space="preserve">the book prints 130.87 and says the two hundredths are rounding</t>
  </si>
  <si>
    <t xml:space="preserve">Commitment less calls plus distributions plus interest</t>
  </si>
  <si>
    <t xml:space="preserve">must equal the Year 10 cash balance</t>
  </si>
  <si>
    <t xml:space="preserve">Index policy less cash policy, terminal value</t>
  </si>
  <si>
    <t xml:space="preserve">The index alone less the cash policy, terminal value</t>
  </si>
  <si>
    <t xml:space="preserve">Checks</t>
  </si>
  <si>
    <t xml:space="preserve">Each row sets a figure printed in the book beside the figure this workbook computes. Revised 24 September 2026: tolerances are now half a unit of the last printed digit, and every row must pass.</t>
  </si>
  <si>
    <t xml:space="preserve">Ch.</t>
  </si>
  <si>
    <t xml:space="preserve">Figure</t>
  </si>
  <si>
    <t xml:space="preserve">Printed</t>
  </si>
  <si>
    <t xml:space="preserve">Workbook</t>
  </si>
  <si>
    <t xml:space="preserve">Difference</t>
  </si>
  <si>
    <t xml:space="preserve">Tolerance</t>
  </si>
  <si>
    <t xml:space="preserve">Result</t>
  </si>
  <si>
    <t xml:space="preserve">4</t>
  </si>
  <si>
    <t xml:space="preserve">8</t>
  </si>
  <si>
    <t xml:space="preserve">The sleeve, uncalled in the listed index</t>
  </si>
  <si>
    <t xml:space="preserve">The sleeve, uncalled in cash</t>
  </si>
  <si>
    <t xml:space="preserve">1</t>
  </si>
  <si>
    <t xml:space="preserve">The listed index, annualised</t>
  </si>
  <si>
    <t xml:space="preserve">11</t>
  </si>
  <si>
    <t xml:space="preserve">Apparent advantage</t>
  </si>
  <si>
    <t xml:space="preserve">Real advantage, index policy</t>
  </si>
  <si>
    <t xml:space="preserve">Real advantage, cash policy</t>
  </si>
  <si>
    <t xml:space="preserve">Share that reached the foundation</t>
  </si>
  <si>
    <t xml:space="preserve">printed 3.00 (2.9963)</t>
  </si>
  <si>
    <t xml:space="preserve">Cost of the idle capital</t>
  </si>
  <si>
    <t xml:space="preserve">9</t>
  </si>
  <si>
    <t xml:space="preserve">Cost of holding the uncalled in cash</t>
  </si>
  <si>
    <t xml:space="preserve">600 placed in the index</t>
  </si>
  <si>
    <t xml:space="preserve">2</t>
  </si>
  <si>
    <t xml:space="preserve">10</t>
  </si>
  <si>
    <t xml:space="preserve">App. A</t>
  </si>
  <si>
    <t xml:space="preserve">Fund IRR, residual dated the end of Year 10</t>
  </si>
  <si>
    <t xml:space="preserve">the convention the sleeve and the PME use</t>
  </si>
  <si>
    <t xml:space="preserve">Apparent divided by real, residual on one date</t>
  </si>
  <si>
    <t xml:space="preserve">new: the book prints only the 3.00</t>
  </si>
  <si>
    <t xml:space="preserve">14</t>
  </si>
  <si>
    <t xml:space="preserve">Sleeve net of the advisory layer, index policy</t>
  </si>
  <si>
    <t xml:space="preserve">new: the 21.00 is not in the sleeve account</t>
  </si>
  <si>
    <t xml:space="preserve">Sleeve net of the advisory layer, cash policy</t>
  </si>
  <si>
    <t xml:space="preserve">new</t>
  </si>
  <si>
    <t xml:space="preserve">Interest, yearly figures as printed, added</t>
  </si>
  <si>
    <t xml:space="preserve">The cash account closes on its interest</t>
  </si>
  <si>
    <t xml:space="preserve">identity</t>
  </si>
  <si>
    <t xml:space="preserve">The index alone less the cash policy</t>
  </si>
  <si>
    <t xml:space="preserve">the book prints 93.99 (1,194.84 less 1,100.85)</t>
  </si>
  <si>
    <t xml:space="preserve">Cash balance, end of Year 4 (the trough)</t>
  </si>
  <si>
    <t xml:space="preserve">Interest, Year 7</t>
  </si>
  <si>
    <t xml:space="preserve">Idle capital plus real advantage = apparent advantage</t>
  </si>
  <si>
    <t xml:space="preserve">Idle capital plus treasury gap = IRR less cash sleeve</t>
  </si>
  <si>
    <t xml:space="preserve">the book prints 7.0364 (4.1057 plus 2.9307)</t>
  </si>
  <si>
    <t xml:space="preserve">Checks that pass</t>
  </si>
  <si>
    <t xml:space="preserve">Checks that fail</t>
  </si>
  <si>
    <t xml:space="preserve">All checks</t>
  </si>
</sst>
</file>

<file path=xl/styles.xml><?xml version="1.0" encoding="utf-8"?>
<styleSheet xmlns="http://schemas.openxmlformats.org/spreadsheetml/2006/main">
  <numFmts count="12">
    <numFmt numFmtId="164" formatCode="General"/>
    <numFmt numFmtId="165" formatCode="#,##0.00;\-#,##0.00"/>
    <numFmt numFmtId="166" formatCode="0.0%;\-0.0%"/>
    <numFmt numFmtId="167" formatCode="0.0000%"/>
    <numFmt numFmtId="168" formatCode="0.00"/>
    <numFmt numFmtId="169" formatCode="0.00\%"/>
    <numFmt numFmtId="170" formatCode="0.0000"/>
    <numFmt numFmtId="171" formatCode="#,##0;\-#,##0"/>
    <numFmt numFmtId="172" formatCode="0.000000"/>
    <numFmt numFmtId="173" formatCode="0.00\x"/>
    <numFmt numFmtId="174" formatCode="#,##0.00"/>
    <numFmt numFmtId="175"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
      <b val="true"/>
      <sz val="11"/>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30" hidden="false" customHeight="true" outlineLevel="0" collapsed="false">
      <c r="A19" s="5" t="s">
        <v>9</v>
      </c>
    </row>
    <row r="20" customFormat="false" ht="30" hidden="false" customHeight="true" outlineLevel="0" collapsed="false">
      <c r="A20" s="5" t="s">
        <v>10</v>
      </c>
    </row>
    <row r="22" customFormat="false" ht="15" hidden="false" customHeight="false" outlineLevel="0" collapsed="false">
      <c r="A22" s="6" t="s">
        <v>11</v>
      </c>
    </row>
    <row r="24" customFormat="false" ht="55.2" hidden="false" customHeight="false" outlineLevel="0" collapsed="false">
      <c r="A24"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11" min="2" style="0" width="12"/>
  </cols>
  <sheetData>
    <row r="1" customFormat="false" ht="24" hidden="false" customHeight="true" outlineLevel="0" collapsed="false">
      <c r="A1" s="1" t="s">
        <v>13</v>
      </c>
    </row>
    <row r="2" customFormat="false" ht="15" hidden="false" customHeight="false" outlineLevel="0" collapsed="false">
      <c r="A2" s="2" t="s">
        <v>14</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4" t="s">
        <v>15</v>
      </c>
      <c r="B5" s="7"/>
      <c r="C5" s="7"/>
      <c r="D5" s="7"/>
      <c r="E5" s="7"/>
      <c r="F5" s="7"/>
      <c r="G5" s="7"/>
      <c r="H5" s="7"/>
      <c r="I5" s="7"/>
      <c r="J5" s="7"/>
      <c r="K5" s="7"/>
    </row>
    <row r="7" customFormat="false" ht="15" hidden="false" customHeight="false" outlineLevel="0" collapsed="false">
      <c r="A7" s="8" t="s">
        <v>16</v>
      </c>
      <c r="B7" s="9" t="n">
        <v>2000</v>
      </c>
    </row>
    <row r="8" customFormat="false" ht="15" hidden="false" customHeight="false" outlineLevel="0" collapsed="false">
      <c r="A8" s="8" t="s">
        <v>17</v>
      </c>
      <c r="B8" s="10" t="n">
        <v>0.3</v>
      </c>
    </row>
    <row r="9" customFormat="false" ht="15" hidden="false" customHeight="false" outlineLevel="0" collapsed="false">
      <c r="A9" s="8" t="s">
        <v>18</v>
      </c>
      <c r="B9" s="9" t="n">
        <v>600</v>
      </c>
    </row>
    <row r="10" customFormat="false" ht="15" hidden="false" customHeight="false" outlineLevel="0" collapsed="false">
      <c r="A10" s="8" t="s">
        <v>19</v>
      </c>
      <c r="B10" s="9" t="n">
        <v>600</v>
      </c>
    </row>
    <row r="11" customFormat="false" ht="15" hidden="false" customHeight="false" outlineLevel="0" collapsed="false">
      <c r="A11" s="8" t="s">
        <v>20</v>
      </c>
      <c r="B11" s="9" t="n">
        <v>143</v>
      </c>
    </row>
    <row r="13" customFormat="false" ht="15" hidden="false" customHeight="false" outlineLevel="0" collapsed="false">
      <c r="A13" s="4" t="s">
        <v>21</v>
      </c>
      <c r="B13" s="7"/>
      <c r="C13" s="7"/>
      <c r="D13" s="7"/>
      <c r="E13" s="7"/>
      <c r="F13" s="7"/>
      <c r="G13" s="7"/>
      <c r="H13" s="7"/>
      <c r="I13" s="7"/>
      <c r="J13" s="7"/>
      <c r="K13" s="7"/>
    </row>
    <row r="15" customFormat="false" ht="15" hidden="false" customHeight="false" outlineLevel="0" collapsed="false">
      <c r="A15" s="8" t="s">
        <v>22</v>
      </c>
      <c r="B15" s="11" t="n">
        <v>0.0175</v>
      </c>
    </row>
    <row r="16" customFormat="false" ht="15" hidden="false" customHeight="false" outlineLevel="0" collapsed="false">
      <c r="A16" s="8" t="s">
        <v>23</v>
      </c>
      <c r="B16" s="10" t="n">
        <v>0.2</v>
      </c>
    </row>
    <row r="17" customFormat="false" ht="15" hidden="false" customHeight="false" outlineLevel="0" collapsed="false">
      <c r="A17" s="8" t="s">
        <v>24</v>
      </c>
      <c r="B17" s="11" t="n">
        <v>0.0035</v>
      </c>
    </row>
    <row r="18" customFormat="false" ht="15" hidden="false" customHeight="false" outlineLevel="0" collapsed="false">
      <c r="A18" s="8" t="s">
        <v>25</v>
      </c>
      <c r="B18" s="12" t="n">
        <v>1.15</v>
      </c>
    </row>
    <row r="19" customFormat="false" ht="15" hidden="false" customHeight="false" outlineLevel="0" collapsed="false">
      <c r="A19" s="8" t="s">
        <v>26</v>
      </c>
      <c r="B19" s="13" t="n">
        <v>2</v>
      </c>
    </row>
    <row r="20" customFormat="false" ht="15" hidden="false" customHeight="false" outlineLevel="0" collapsed="false">
      <c r="A20" s="8" t="s">
        <v>27</v>
      </c>
      <c r="B20" s="14" t="n">
        <v>0.5245</v>
      </c>
    </row>
    <row r="22" customFormat="false" ht="15" hidden="false" customHeight="false" outlineLevel="0" collapsed="false">
      <c r="A22" s="4" t="s">
        <v>28</v>
      </c>
      <c r="B22" s="7"/>
      <c r="C22" s="7"/>
      <c r="D22" s="7"/>
      <c r="E22" s="7"/>
      <c r="F22" s="7"/>
      <c r="G22" s="7"/>
      <c r="H22" s="7"/>
      <c r="I22" s="7"/>
      <c r="J22" s="7"/>
      <c r="K22" s="7"/>
    </row>
    <row r="24" customFormat="false" ht="30" hidden="false" customHeight="true" outlineLevel="0" collapsed="false">
      <c r="A24" s="15"/>
      <c r="B24" s="16" t="s">
        <v>29</v>
      </c>
      <c r="C24" s="16" t="s">
        <v>30</v>
      </c>
      <c r="D24" s="16" t="s">
        <v>31</v>
      </c>
      <c r="E24" s="16" t="s">
        <v>32</v>
      </c>
      <c r="F24" s="16" t="s">
        <v>33</v>
      </c>
      <c r="G24" s="16" t="s">
        <v>34</v>
      </c>
      <c r="H24" s="16" t="s">
        <v>35</v>
      </c>
      <c r="I24" s="16" t="s">
        <v>36</v>
      </c>
      <c r="J24" s="16" t="s">
        <v>37</v>
      </c>
      <c r="K24" s="16" t="s">
        <v>38</v>
      </c>
    </row>
    <row r="25" customFormat="false" ht="15" hidden="false" customHeight="false" outlineLevel="0" collapsed="false">
      <c r="A25" s="8" t="s">
        <v>39</v>
      </c>
      <c r="B25" s="12" t="n">
        <v>12.4</v>
      </c>
      <c r="C25" s="12" t="n">
        <v>8.1</v>
      </c>
      <c r="D25" s="12" t="n">
        <v>-6.7</v>
      </c>
      <c r="E25" s="12" t="n">
        <v>18.3</v>
      </c>
      <c r="F25" s="12" t="n">
        <v>9.6</v>
      </c>
      <c r="G25" s="12" t="n">
        <v>2.4</v>
      </c>
      <c r="H25" s="12" t="n">
        <v>14.1</v>
      </c>
      <c r="I25" s="12" t="n">
        <v>-11.2</v>
      </c>
      <c r="J25" s="12" t="n">
        <v>21.7</v>
      </c>
      <c r="K25" s="12" t="n">
        <v>7.3</v>
      </c>
    </row>
    <row r="26" customFormat="false" ht="15" hidden="false" customHeight="false" outlineLevel="0" collapsed="false">
      <c r="A26" s="8" t="s">
        <v>40</v>
      </c>
      <c r="B26" s="12" t="n">
        <v>0.8</v>
      </c>
      <c r="C26" s="12" t="n">
        <v>0.5</v>
      </c>
      <c r="D26" s="12" t="n">
        <v>0.4</v>
      </c>
      <c r="E26" s="12" t="n">
        <v>1.2</v>
      </c>
      <c r="F26" s="12" t="n">
        <v>2.1</v>
      </c>
      <c r="G26" s="12" t="n">
        <v>3.4</v>
      </c>
      <c r="H26" s="12" t="n">
        <v>4.1</v>
      </c>
      <c r="I26" s="12" t="n">
        <v>3.6</v>
      </c>
      <c r="J26" s="12" t="n">
        <v>2.9</v>
      </c>
      <c r="K26" s="12" t="n">
        <v>2.5</v>
      </c>
    </row>
    <row r="27" customFormat="false" ht="15" hidden="false" customHeight="false" outlineLevel="0" collapsed="false">
      <c r="A27" s="8" t="s">
        <v>41</v>
      </c>
      <c r="B27" s="17" t="n">
        <v>90</v>
      </c>
      <c r="C27" s="17" t="n">
        <v>150</v>
      </c>
      <c r="D27" s="17" t="n">
        <v>138</v>
      </c>
      <c r="E27" s="17" t="n">
        <v>120</v>
      </c>
      <c r="F27" s="17" t="n">
        <v>66</v>
      </c>
      <c r="G27" s="17" t="n">
        <v>0</v>
      </c>
      <c r="H27" s="17" t="n">
        <v>0</v>
      </c>
      <c r="I27" s="17" t="n">
        <v>0</v>
      </c>
      <c r="J27" s="17" t="n">
        <v>0</v>
      </c>
      <c r="K27" s="17" t="n">
        <v>0</v>
      </c>
    </row>
    <row r="28" customFormat="false" ht="15" hidden="false" customHeight="false" outlineLevel="0" collapsed="false">
      <c r="A28" s="8" t="s">
        <v>42</v>
      </c>
      <c r="B28" s="17" t="n">
        <v>0</v>
      </c>
      <c r="C28" s="17" t="n">
        <v>0</v>
      </c>
      <c r="D28" s="17" t="n">
        <v>29</v>
      </c>
      <c r="E28" s="17" t="n">
        <v>86</v>
      </c>
      <c r="F28" s="17" t="n">
        <v>143</v>
      </c>
      <c r="G28" s="17" t="n">
        <v>152</v>
      </c>
      <c r="H28" s="17" t="n">
        <v>133</v>
      </c>
      <c r="I28" s="17" t="n">
        <v>95</v>
      </c>
      <c r="J28" s="17" t="n">
        <v>86</v>
      </c>
      <c r="K28" s="17" t="n">
        <v>67</v>
      </c>
    </row>
    <row r="29" customFormat="false" ht="15" hidden="false" customHeight="false" outlineLevel="0" collapsed="false">
      <c r="A29" s="8" t="s">
        <v>43</v>
      </c>
      <c r="B29" s="12" t="n">
        <v>13.4</v>
      </c>
      <c r="C29" s="12" t="n">
        <v>14.1</v>
      </c>
      <c r="D29" s="12" t="n">
        <v>11.8</v>
      </c>
      <c r="E29" s="12" t="n">
        <v>9.2</v>
      </c>
      <c r="F29" s="12" t="n">
        <v>12.6</v>
      </c>
      <c r="G29" s="12" t="n">
        <v>13.3</v>
      </c>
      <c r="H29" s="12" t="n">
        <v>10.9</v>
      </c>
      <c r="I29" s="12" t="n">
        <v>4.8</v>
      </c>
      <c r="J29" s="12" t="n">
        <v>6.1</v>
      </c>
      <c r="K29" s="12" t="n">
        <v>9.7</v>
      </c>
    </row>
    <row r="31" customFormat="false" ht="15" hidden="false" customHeight="false" outlineLevel="0" collapsed="false">
      <c r="A31" s="18" t="s">
        <v>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12" min="2" style="0" width="14"/>
  </cols>
  <sheetData>
    <row r="1" customFormat="false" ht="24" hidden="false" customHeight="true" outlineLevel="0" collapsed="false">
      <c r="A1" s="1" t="s">
        <v>45</v>
      </c>
    </row>
    <row r="2" customFormat="false" ht="15" hidden="false" customHeight="false" outlineLevel="0" collapsed="false">
      <c r="A2" s="2" t="s">
        <v>46</v>
      </c>
    </row>
    <row r="3" customFormat="false" ht="15" hidden="false" customHeight="false" outlineLevel="0" collapsed="false">
      <c r="A3" s="3"/>
      <c r="B3" s="3"/>
      <c r="C3" s="3"/>
      <c r="D3" s="3"/>
      <c r="E3" s="3"/>
      <c r="F3" s="3"/>
      <c r="G3" s="3"/>
      <c r="H3" s="3"/>
      <c r="I3" s="3"/>
      <c r="J3" s="3"/>
      <c r="K3" s="3"/>
    </row>
    <row r="5" customFormat="false" ht="30" hidden="false" customHeight="true" outlineLevel="0" collapsed="false">
      <c r="A5" s="15"/>
      <c r="B5" s="16" t="s">
        <v>29</v>
      </c>
      <c r="C5" s="16" t="s">
        <v>30</v>
      </c>
      <c r="D5" s="16" t="s">
        <v>31</v>
      </c>
      <c r="E5" s="16" t="s">
        <v>32</v>
      </c>
      <c r="F5" s="16" t="s">
        <v>33</v>
      </c>
      <c r="G5" s="16" t="s">
        <v>34</v>
      </c>
      <c r="H5" s="16" t="s">
        <v>35</v>
      </c>
      <c r="I5" s="16" t="s">
        <v>36</v>
      </c>
      <c r="J5" s="16" t="s">
        <v>37</v>
      </c>
      <c r="K5" s="16" t="s">
        <v>38</v>
      </c>
    </row>
    <row r="6" customFormat="false" ht="15" hidden="false" customHeight="false" outlineLevel="0" collapsed="false">
      <c r="A6" s="19" t="s">
        <v>47</v>
      </c>
      <c r="B6" s="20" t="n">
        <f aca="false">Inputs!B28-Inputs!B27</f>
        <v>-90</v>
      </c>
      <c r="C6" s="20" t="n">
        <f aca="false">Inputs!C28-Inputs!C27</f>
        <v>-150</v>
      </c>
      <c r="D6" s="20" t="n">
        <f aca="false">Inputs!D28-Inputs!D27</f>
        <v>-109</v>
      </c>
      <c r="E6" s="20" t="n">
        <f aca="false">Inputs!E28-Inputs!E27</f>
        <v>-34</v>
      </c>
      <c r="F6" s="20" t="n">
        <f aca="false">Inputs!F28-Inputs!F27</f>
        <v>77</v>
      </c>
      <c r="G6" s="20" t="n">
        <f aca="false">Inputs!G28-Inputs!G27</f>
        <v>152</v>
      </c>
      <c r="H6" s="20" t="n">
        <f aca="false">Inputs!H28-Inputs!H27</f>
        <v>133</v>
      </c>
      <c r="I6" s="20" t="n">
        <f aca="false">Inputs!I28-Inputs!I27</f>
        <v>95</v>
      </c>
      <c r="J6" s="20" t="n">
        <f aca="false">Inputs!J28-Inputs!J27</f>
        <v>86</v>
      </c>
      <c r="K6" s="20" t="n">
        <f aca="false">Inputs!K28-Inputs!K27+Inputs!$B$11</f>
        <v>210</v>
      </c>
    </row>
    <row r="7" customFormat="false" ht="15" hidden="false" customHeight="false" outlineLevel="0" collapsed="false">
      <c r="A7" s="8" t="s">
        <v>48</v>
      </c>
      <c r="B7" s="21" t="n">
        <f aca="false">Inputs!B27-Inputs!B28</f>
        <v>90</v>
      </c>
      <c r="C7" s="21" t="n">
        <f aca="false">B7+Inputs!C27-Inputs!C28</f>
        <v>240</v>
      </c>
      <c r="D7" s="21" t="n">
        <f aca="false">C7+Inputs!D27-Inputs!D28</f>
        <v>349</v>
      </c>
      <c r="E7" s="21" t="n">
        <f aca="false">D7+Inputs!E27-Inputs!E28</f>
        <v>383</v>
      </c>
      <c r="F7" s="21" t="n">
        <f aca="false">E7+Inputs!F27-Inputs!F28</f>
        <v>306</v>
      </c>
      <c r="G7" s="21" t="n">
        <f aca="false">F7+Inputs!G27-Inputs!G28</f>
        <v>154</v>
      </c>
      <c r="H7" s="21" t="n">
        <f aca="false">G7+Inputs!H27-Inputs!H28</f>
        <v>21</v>
      </c>
      <c r="I7" s="21" t="n">
        <f aca="false">H7+Inputs!I27-Inputs!I28</f>
        <v>-74</v>
      </c>
      <c r="J7" s="21" t="n">
        <f aca="false">I7+Inputs!J27-Inputs!J28</f>
        <v>-160</v>
      </c>
      <c r="K7" s="21" t="n">
        <f aca="false">J7+Inputs!K27-Inputs!K28</f>
        <v>-227</v>
      </c>
    </row>
    <row r="9" customFormat="false" ht="15" hidden="false" customHeight="false" outlineLevel="0" collapsed="false">
      <c r="A9" s="4" t="s">
        <v>49</v>
      </c>
      <c r="B9" s="7"/>
      <c r="C9" s="7"/>
      <c r="D9" s="7"/>
      <c r="E9" s="7"/>
      <c r="F9" s="7"/>
      <c r="G9" s="7"/>
      <c r="H9" s="7"/>
      <c r="I9" s="7"/>
      <c r="J9" s="7"/>
      <c r="K9" s="7"/>
    </row>
    <row r="11" customFormat="false" ht="30" hidden="false" customHeight="true" outlineLevel="0" collapsed="false">
      <c r="A11" s="15"/>
      <c r="B11" s="16" t="s">
        <v>29</v>
      </c>
      <c r="C11" s="16" t="s">
        <v>30</v>
      </c>
      <c r="D11" s="16" t="s">
        <v>31</v>
      </c>
      <c r="E11" s="16" t="s">
        <v>32</v>
      </c>
      <c r="F11" s="16" t="s">
        <v>33</v>
      </c>
      <c r="G11" s="16" t="s">
        <v>34</v>
      </c>
      <c r="H11" s="16" t="s">
        <v>35</v>
      </c>
      <c r="I11" s="16" t="s">
        <v>36</v>
      </c>
      <c r="J11" s="16" t="s">
        <v>37</v>
      </c>
      <c r="K11" s="16" t="s">
        <v>38</v>
      </c>
    </row>
    <row r="12" customFormat="false" ht="15" hidden="false" customHeight="false" outlineLevel="0" collapsed="false">
      <c r="A12" s="8" t="s">
        <v>50</v>
      </c>
      <c r="B12" s="21" t="n">
        <f aca="false">Inputs!$B$9-Inputs!B27+Inputs!B28</f>
        <v>510</v>
      </c>
      <c r="C12" s="21" t="n">
        <f aca="false">B14-Inputs!C27+Inputs!C28</f>
        <v>364.08</v>
      </c>
      <c r="D12" s="21" t="n">
        <f aca="false">C14-Inputs!D27+Inputs!D28</f>
        <v>256.9004</v>
      </c>
      <c r="E12" s="21" t="n">
        <f aca="false">D14-Inputs!E27+Inputs!E28</f>
        <v>223.9280016</v>
      </c>
      <c r="F12" s="21" t="n">
        <f aca="false">E14-Inputs!F27+Inputs!F28</f>
        <v>303.6151376192</v>
      </c>
      <c r="G12" s="21" t="n">
        <f aca="false">F14-Inputs!G27+Inputs!G28</f>
        <v>461.991055509203</v>
      </c>
      <c r="H12" s="21" t="n">
        <f aca="false">G14-Inputs!H27+Inputs!H28</f>
        <v>610.698751396516</v>
      </c>
      <c r="I12" s="21" t="n">
        <f aca="false">H14-Inputs!I27+Inputs!I28</f>
        <v>730.737400203773</v>
      </c>
      <c r="J12" s="21" t="n">
        <f aca="false">I14-Inputs!J27+Inputs!J28</f>
        <v>843.043946611109</v>
      </c>
      <c r="K12" s="21" t="n">
        <f aca="false">J14-Inputs!K27+Inputs!K28</f>
        <v>934.492221062831</v>
      </c>
    </row>
    <row r="13" customFormat="false" ht="15" hidden="false" customHeight="false" outlineLevel="0" collapsed="false">
      <c r="A13" s="8" t="s">
        <v>51</v>
      </c>
      <c r="B13" s="21" t="n">
        <f aca="false">B12*Inputs!B26/100</f>
        <v>4.08</v>
      </c>
      <c r="C13" s="21" t="n">
        <f aca="false">C12*Inputs!C26/100</f>
        <v>1.8204</v>
      </c>
      <c r="D13" s="21" t="n">
        <f aca="false">D12*Inputs!D26/100</f>
        <v>1.0276016</v>
      </c>
      <c r="E13" s="21" t="n">
        <f aca="false">E12*Inputs!E26/100</f>
        <v>2.6871360192</v>
      </c>
      <c r="F13" s="21" t="n">
        <f aca="false">F12*Inputs!F26/100</f>
        <v>6.3759178900032</v>
      </c>
      <c r="G13" s="21" t="n">
        <f aca="false">G12*Inputs!G26/100</f>
        <v>15.7076958873129</v>
      </c>
      <c r="H13" s="21" t="n">
        <f aca="false">H12*Inputs!H26/100</f>
        <v>25.0386488072572</v>
      </c>
      <c r="I13" s="21" t="n">
        <f aca="false">I12*Inputs!I26/100</f>
        <v>26.3065464073358</v>
      </c>
      <c r="J13" s="21" t="n">
        <f aca="false">J12*Inputs!J26/100</f>
        <v>24.4482744517222</v>
      </c>
      <c r="K13" s="21" t="n">
        <f aca="false">K12*Inputs!K26/100</f>
        <v>23.3623055265708</v>
      </c>
    </row>
    <row r="14" customFormat="false" ht="15" hidden="false" customHeight="false" outlineLevel="0" collapsed="false">
      <c r="A14" s="19" t="s">
        <v>52</v>
      </c>
      <c r="B14" s="20" t="n">
        <f aca="false">B12+B13</f>
        <v>514.08</v>
      </c>
      <c r="C14" s="20" t="n">
        <f aca="false">C12+C13</f>
        <v>365.9004</v>
      </c>
      <c r="D14" s="20" t="n">
        <f aca="false">D12+D13</f>
        <v>257.9280016</v>
      </c>
      <c r="E14" s="20" t="n">
        <f aca="false">E12+E13</f>
        <v>226.6151376192</v>
      </c>
      <c r="F14" s="20" t="n">
        <f aca="false">F12+F13</f>
        <v>309.991055509203</v>
      </c>
      <c r="G14" s="20" t="n">
        <f aca="false">G12+G13</f>
        <v>477.698751396516</v>
      </c>
      <c r="H14" s="20" t="n">
        <f aca="false">H12+H13</f>
        <v>635.737400203773</v>
      </c>
      <c r="I14" s="20" t="n">
        <f aca="false">I12+I13</f>
        <v>757.043946611109</v>
      </c>
      <c r="J14" s="20" t="n">
        <f aca="false">J12+J13</f>
        <v>867.492221062831</v>
      </c>
      <c r="K14" s="20" t="n">
        <f aca="false">K12+K13</f>
        <v>957.854526589402</v>
      </c>
    </row>
    <row r="16" customFormat="false" ht="15" hidden="false" customHeight="false" outlineLevel="0" collapsed="false">
      <c r="A16" s="4" t="s">
        <v>53</v>
      </c>
      <c r="B16" s="7"/>
      <c r="C16" s="7"/>
      <c r="D16" s="7"/>
      <c r="E16" s="7"/>
      <c r="F16" s="7"/>
      <c r="G16" s="7"/>
      <c r="H16" s="7"/>
      <c r="I16" s="7"/>
      <c r="J16" s="7"/>
      <c r="K16" s="7"/>
    </row>
    <row r="18" customFormat="false" ht="30" hidden="false" customHeight="true" outlineLevel="0" collapsed="false">
      <c r="A18" s="15"/>
      <c r="B18" s="16" t="s">
        <v>29</v>
      </c>
      <c r="C18" s="16" t="s">
        <v>30</v>
      </c>
      <c r="D18" s="16" t="s">
        <v>31</v>
      </c>
      <c r="E18" s="16" t="s">
        <v>32</v>
      </c>
      <c r="F18" s="16" t="s">
        <v>33</v>
      </c>
      <c r="G18" s="16" t="s">
        <v>34</v>
      </c>
      <c r="H18" s="16" t="s">
        <v>35</v>
      </c>
      <c r="I18" s="16" t="s">
        <v>36</v>
      </c>
      <c r="J18" s="16" t="s">
        <v>37</v>
      </c>
      <c r="K18" s="16" t="s">
        <v>38</v>
      </c>
    </row>
    <row r="19" customFormat="false" ht="15" hidden="false" customHeight="false" outlineLevel="0" collapsed="false">
      <c r="A19" s="8" t="s">
        <v>50</v>
      </c>
      <c r="B19" s="21" t="n">
        <f aca="false">Inputs!$B$9-Inputs!B27+Inputs!B28</f>
        <v>510</v>
      </c>
      <c r="C19" s="21" t="n">
        <f aca="false">B21-Inputs!C27+Inputs!C28</f>
        <v>423.24</v>
      </c>
      <c r="D19" s="21" t="n">
        <f aca="false">C21-Inputs!D27+Inputs!D28</f>
        <v>348.52244</v>
      </c>
      <c r="E19" s="21" t="n">
        <f aca="false">D21-Inputs!E27+Inputs!E28</f>
        <v>291.17143652</v>
      </c>
      <c r="F19" s="21" t="n">
        <f aca="false">E21-Inputs!F27+Inputs!F28</f>
        <v>421.45580940316</v>
      </c>
      <c r="G19" s="21" t="n">
        <f aca="false">F21-Inputs!G27+Inputs!G28</f>
        <v>613.915567105863</v>
      </c>
      <c r="H19" s="21" t="n">
        <f aca="false">G21-Inputs!H27+Inputs!H28</f>
        <v>761.649540716404</v>
      </c>
      <c r="I19" s="21" t="n">
        <f aca="false">H21-Inputs!I27+Inputs!I28</f>
        <v>964.042125957417</v>
      </c>
      <c r="J19" s="21" t="n">
        <f aca="false">I21-Inputs!J27+Inputs!J28</f>
        <v>942.069407850186</v>
      </c>
      <c r="K19" s="21" t="n">
        <f aca="false">J21-Inputs!K27+Inputs!K28</f>
        <v>1213.49846935368</v>
      </c>
    </row>
    <row r="20" customFormat="false" ht="15" hidden="false" customHeight="false" outlineLevel="0" collapsed="false">
      <c r="A20" s="8" t="s">
        <v>51</v>
      </c>
      <c r="B20" s="21" t="n">
        <f aca="false">B19*Inputs!B25/100</f>
        <v>63.24</v>
      </c>
      <c r="C20" s="21" t="n">
        <f aca="false">C19*Inputs!C25/100</f>
        <v>34.28244</v>
      </c>
      <c r="D20" s="21" t="n">
        <f aca="false">D19*Inputs!D25/100</f>
        <v>-23.35100348</v>
      </c>
      <c r="E20" s="21" t="n">
        <f aca="false">E19*Inputs!E25/100</f>
        <v>53.28437288316</v>
      </c>
      <c r="F20" s="21" t="n">
        <f aca="false">F19*Inputs!F25/100</f>
        <v>40.4597577027034</v>
      </c>
      <c r="G20" s="21" t="n">
        <f aca="false">G19*Inputs!G25/100</f>
        <v>14.7339736105407</v>
      </c>
      <c r="H20" s="21" t="n">
        <f aca="false">H19*Inputs!H25/100</f>
        <v>107.392585241013</v>
      </c>
      <c r="I20" s="21" t="n">
        <f aca="false">I19*Inputs!I25/100</f>
        <v>-107.972718107231</v>
      </c>
      <c r="J20" s="21" t="n">
        <f aca="false">J19*Inputs!J25/100</f>
        <v>204.42906150349</v>
      </c>
      <c r="K20" s="21" t="n">
        <f aca="false">K19*Inputs!K25/100</f>
        <v>88.5853882628184</v>
      </c>
    </row>
    <row r="21" customFormat="false" ht="15" hidden="false" customHeight="false" outlineLevel="0" collapsed="false">
      <c r="A21" s="19" t="s">
        <v>52</v>
      </c>
      <c r="B21" s="20" t="n">
        <f aca="false">B19+B20</f>
        <v>573.24</v>
      </c>
      <c r="C21" s="20" t="n">
        <f aca="false">C19+C20</f>
        <v>457.52244</v>
      </c>
      <c r="D21" s="20" t="n">
        <f aca="false">D19+D20</f>
        <v>325.17143652</v>
      </c>
      <c r="E21" s="20" t="n">
        <f aca="false">E19+E20</f>
        <v>344.45580940316</v>
      </c>
      <c r="F21" s="20" t="n">
        <f aca="false">F19+F20</f>
        <v>461.915567105863</v>
      </c>
      <c r="G21" s="20" t="n">
        <f aca="false">G19+G20</f>
        <v>628.649540716404</v>
      </c>
      <c r="H21" s="20" t="n">
        <f aca="false">H19+H20</f>
        <v>869.042125957417</v>
      </c>
      <c r="I21" s="20" t="n">
        <f aca="false">I19+I20</f>
        <v>856.069407850186</v>
      </c>
      <c r="J21" s="20" t="n">
        <f aca="false">J19+J20</f>
        <v>1146.49846935368</v>
      </c>
      <c r="K21" s="20" t="n">
        <f aca="false">K19+K20</f>
        <v>1302.0838576165</v>
      </c>
    </row>
    <row r="23" customFormat="false" ht="15" hidden="false" customHeight="false" outlineLevel="0" collapsed="false">
      <c r="A23" s="4" t="s">
        <v>54</v>
      </c>
      <c r="B23" s="7"/>
      <c r="C23" s="7"/>
      <c r="D23" s="7"/>
      <c r="E23" s="7"/>
      <c r="F23" s="7"/>
      <c r="G23" s="7"/>
      <c r="H23" s="7"/>
      <c r="I23" s="7"/>
      <c r="J23" s="7"/>
      <c r="K23" s="7"/>
    </row>
    <row r="25" customFormat="false" ht="30" hidden="false" customHeight="true" outlineLevel="0" collapsed="false">
      <c r="A25" s="15"/>
      <c r="B25" s="16" t="s">
        <v>29</v>
      </c>
      <c r="C25" s="16" t="s">
        <v>30</v>
      </c>
      <c r="D25" s="16" t="s">
        <v>31</v>
      </c>
      <c r="E25" s="16" t="s">
        <v>32</v>
      </c>
      <c r="F25" s="16" t="s">
        <v>33</v>
      </c>
      <c r="G25" s="16" t="s">
        <v>34</v>
      </c>
      <c r="H25" s="16" t="s">
        <v>35</v>
      </c>
      <c r="I25" s="16" t="s">
        <v>36</v>
      </c>
      <c r="J25" s="16" t="s">
        <v>37</v>
      </c>
      <c r="K25" s="16" t="s">
        <v>38</v>
      </c>
    </row>
    <row r="26" customFormat="false" ht="15" hidden="false" customHeight="false" outlineLevel="0" collapsed="false">
      <c r="A26" s="8" t="s">
        <v>55</v>
      </c>
      <c r="B26" s="22" t="n">
        <f aca="false">(1+Inputs!B25/100)*(1+Inputs!C25/100)*(1+Inputs!D25/100)*(1+Inputs!E25/100)*(1+Inputs!F25/100)*(1+Inputs!G25/100)*(1+Inputs!H25/100)*(1+Inputs!I25/100)*(1+Inputs!J25/100)*(1+Inputs!K25/100)</f>
        <v>1.99139684503792</v>
      </c>
      <c r="C26" s="22" t="n">
        <f aca="false">(1+Inputs!C25/100)*(1+Inputs!D25/100)*(1+Inputs!E25/100)*(1+Inputs!F25/100)*(1+Inputs!G25/100)*(1+Inputs!H25/100)*(1+Inputs!I25/100)*(1+Inputs!J25/100)*(1+Inputs!K25/100)</f>
        <v>1.77170537814762</v>
      </c>
      <c r="D26" s="22" t="n">
        <f aca="false">(1+Inputs!D25/100)*(1+Inputs!E25/100)*(1+Inputs!F25/100)*(1+Inputs!G25/100)*(1+Inputs!H25/100)*(1+Inputs!I25/100)*(1+Inputs!J25/100)*(1+Inputs!K25/100)</f>
        <v>1.63895039606625</v>
      </c>
      <c r="E26" s="22" t="n">
        <f aca="false">(1+Inputs!E25/100)*(1+Inputs!F25/100)*(1+Inputs!G25/100)*(1+Inputs!H25/100)*(1+Inputs!I25/100)*(1+Inputs!J25/100)*(1+Inputs!K25/100)</f>
        <v>1.75664565494775</v>
      </c>
      <c r="F26" s="22" t="n">
        <f aca="false">(1+Inputs!F25/100)*(1+Inputs!G25/100)*(1+Inputs!H25/100)*(1+Inputs!I25/100)*(1+Inputs!J25/100)*(1+Inputs!K25/100)</f>
        <v>1.48490756969379</v>
      </c>
      <c r="G26" s="22" t="n">
        <f aca="false">(1+Inputs!G25/100)*(1+Inputs!H25/100)*(1+Inputs!I25/100)*(1+Inputs!J25/100)*(1+Inputs!K25/100)</f>
        <v>1.35484267307827</v>
      </c>
      <c r="H26" s="22" t="n">
        <f aca="false">(1+Inputs!H25/100)*(1+Inputs!I25/100)*(1+Inputs!J25/100)*(1+Inputs!K25/100)</f>
        <v>1.323088547928</v>
      </c>
      <c r="I26" s="22" t="n">
        <f aca="false">(1+Inputs!I25/100)*(1+Inputs!J25/100)*(1+Inputs!K25/100)</f>
        <v>1.159586808</v>
      </c>
      <c r="J26" s="22" t="n">
        <f aca="false">(1+Inputs!J25/100)*(1+Inputs!K25/100)</f>
        <v>1.305841</v>
      </c>
      <c r="K26" s="22" t="n">
        <f aca="false">(1+Inputs!K25/100)</f>
        <v>1.073</v>
      </c>
    </row>
    <row r="27" customFormat="false" ht="15" hidden="false" customHeight="false" outlineLevel="0" collapsed="false">
      <c r="A27" s="8" t="s">
        <v>56</v>
      </c>
      <c r="B27" s="22" t="n">
        <f aca="false">(1+(Inputs!$B$19+Inputs!$B$18*(Inputs!B25-Inputs!$B$19))/100)*(1+(Inputs!$B$19+Inputs!$B$18*(Inputs!C25-Inputs!$B$19))/100)*(1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2.12327223121253</v>
      </c>
      <c r="C27" s="22" t="n">
        <f aca="false">(1+(Inputs!$B$19+Inputs!$B$18*(Inputs!C25-Inputs!$B$19))/100)*(1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1.86317324606224</v>
      </c>
      <c r="D27" s="22" t="n">
        <f aca="false">(1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1.70909805628789</v>
      </c>
      <c r="E27" s="22" t="n">
        <f aca="false">(1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1.85781624684808</v>
      </c>
      <c r="F27" s="22" t="n">
        <f aca="false">(1+(Inputs!$B$19+Inputs!$B$18*(Inputs!F25-Inputs!$B$19))/100)*(1+(Inputs!$B$19+Inputs!$B$18*(Inputs!G25-Inputs!$B$19))/100)*(1+(Inputs!$B$19+Inputs!$B$18*(Inputs!H25-Inputs!$B$19))/100)*(1+(Inputs!$B$19+Inputs!$B$18*(Inputs!I25-Inputs!$B$19))/100)*(1+(Inputs!$B$19+Inputs!$B$18*(Inputs!J25-Inputs!$B$19))/100)*(1+(Inputs!$B$19+Inputs!$B$18*(Inputs!K25-Inputs!$B$19))/100)</f>
        <v>1.53862789088416</v>
      </c>
      <c r="G27" s="22" t="n">
        <f aca="false">(1+(Inputs!$B$19+Inputs!$B$18*(Inputs!G25-Inputs!$B$19))/100)*(1+(Inputs!$B$19+Inputs!$B$18*(Inputs!H25-Inputs!$B$19))/100)*(1+(Inputs!$B$19+Inputs!$B$18*(Inputs!I25-Inputs!$B$19))/100)*(1+(Inputs!$B$19+Inputs!$B$18*(Inputs!J25-Inputs!$B$19))/100)*(1+(Inputs!$B$19+Inputs!$B$18*(Inputs!K25-Inputs!$B$19))/100)</f>
        <v>1.38940571689016</v>
      </c>
      <c r="H27" s="22" t="n">
        <f aca="false">(1+(Inputs!$B$19+Inputs!$B$18*(Inputs!H25-Inputs!$B$19))/100)*(1+(Inputs!$B$19+Inputs!$B$18*(Inputs!I25-Inputs!$B$19))/100)*(1+(Inputs!$B$19+Inputs!$B$18*(Inputs!J25-Inputs!$B$19))/100)*(1+(Inputs!$B$19+Inputs!$B$18*(Inputs!K25-Inputs!$B$19))/100)</f>
        <v>1.35604696163396</v>
      </c>
      <c r="I27" s="22" t="n">
        <f aca="false">(1+(Inputs!$B$19+Inputs!$B$18*(Inputs!I25-Inputs!$B$19))/100)*(1+(Inputs!$B$19+Inputs!$B$18*(Inputs!J25-Inputs!$B$19))/100)*(1+(Inputs!$B$19+Inputs!$B$18*(Inputs!K25-Inputs!$B$19))/100)</f>
        <v>1.1698632287745</v>
      </c>
      <c r="J27" s="22" t="n">
        <f aca="false">(1+(Inputs!$B$19+Inputs!$B$18*(Inputs!J25-Inputs!$B$19))/100)*(1+(Inputs!$B$19+Inputs!$B$18*(Inputs!K25-Inputs!$B$19))/100)</f>
        <v>1.3474582225</v>
      </c>
      <c r="K27" s="22" t="n">
        <f aca="false">(1+(Inputs!$B$19+Inputs!$B$18*(Inputs!K25-Inputs!$B$19))/100)</f>
        <v>1.08095</v>
      </c>
    </row>
    <row r="29" customFormat="false" ht="15" hidden="false" customHeight="false" outlineLevel="0" collapsed="false">
      <c r="A29" s="4" t="s">
        <v>57</v>
      </c>
      <c r="B29" s="7"/>
      <c r="C29" s="7"/>
      <c r="D29" s="7"/>
      <c r="E29" s="7"/>
      <c r="F29" s="7"/>
      <c r="G29" s="7"/>
      <c r="H29" s="7"/>
      <c r="I29" s="7"/>
      <c r="J29" s="7"/>
      <c r="K29" s="7"/>
    </row>
    <row r="31" customFormat="false" ht="15" hidden="false" customHeight="false" outlineLevel="0" collapsed="false">
      <c r="A31" s="8" t="s">
        <v>58</v>
      </c>
      <c r="B31" s="21" t="n">
        <f aca="false">SUM(Inputs!B27:K27)</f>
        <v>564</v>
      </c>
    </row>
    <row r="32" customFormat="false" ht="15" hidden="false" customHeight="false" outlineLevel="0" collapsed="false">
      <c r="A32" s="8" t="s">
        <v>59</v>
      </c>
      <c r="B32" s="21" t="n">
        <f aca="false">SUM(Inputs!B28:K28)</f>
        <v>791</v>
      </c>
    </row>
    <row r="33" customFormat="false" ht="15" hidden="false" customHeight="false" outlineLevel="0" collapsed="false">
      <c r="A33" s="8" t="s">
        <v>60</v>
      </c>
      <c r="B33" s="21" t="n">
        <f aca="false">Inputs!B10-B31</f>
        <v>36</v>
      </c>
    </row>
    <row r="34" customFormat="false" ht="15" hidden="false" customHeight="false" outlineLevel="0" collapsed="false">
      <c r="A34" s="19" t="s">
        <v>61</v>
      </c>
      <c r="B34" s="20" t="n">
        <f aca="false">K14+Inputs!B11</f>
        <v>1100.8545265894</v>
      </c>
    </row>
    <row r="35" customFormat="false" ht="15" hidden="false" customHeight="false" outlineLevel="0" collapsed="false">
      <c r="A35" s="19" t="s">
        <v>62</v>
      </c>
      <c r="B35" s="20" t="n">
        <f aca="false">K21+Inputs!B11</f>
        <v>1445.0838576165</v>
      </c>
    </row>
    <row r="36" customFormat="false" ht="15" hidden="false" customHeight="false" outlineLevel="0" collapsed="false">
      <c r="A36" s="19" t="s">
        <v>63</v>
      </c>
      <c r="B36" s="20" t="n">
        <f aca="false">MAX(B7:K7)</f>
        <v>383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56"/>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row>
    <row r="5" customFormat="false" ht="15" hidden="false" customHeight="false" outlineLevel="0" collapsed="false">
      <c r="A5" s="4" t="s">
        <v>66</v>
      </c>
      <c r="B5" s="7"/>
      <c r="C5" s="7"/>
    </row>
    <row r="7" customFormat="false" ht="30" hidden="false" customHeight="true" outlineLevel="0" collapsed="false">
      <c r="A7" s="15" t="s">
        <v>67</v>
      </c>
      <c r="B7" s="16" t="s">
        <v>68</v>
      </c>
      <c r="C7" s="16" t="s">
        <v>69</v>
      </c>
    </row>
    <row r="8" customFormat="false" ht="15" hidden="false" customHeight="false" outlineLevel="0" collapsed="false">
      <c r="A8" s="8" t="s">
        <v>70</v>
      </c>
      <c r="B8" s="21" t="n">
        <f aca="false">Engine!B6</f>
        <v>-90</v>
      </c>
      <c r="C8" s="8" t="s">
        <v>71</v>
      </c>
    </row>
    <row r="9" customFormat="false" ht="15" hidden="false" customHeight="false" outlineLevel="0" collapsed="false">
      <c r="A9" s="8" t="s">
        <v>72</v>
      </c>
      <c r="B9" s="21" t="n">
        <f aca="false">Engine!C6</f>
        <v>-150</v>
      </c>
      <c r="C9" s="8" t="s">
        <v>73</v>
      </c>
    </row>
    <row r="10" customFormat="false" ht="15" hidden="false" customHeight="false" outlineLevel="0" collapsed="false">
      <c r="A10" s="8" t="s">
        <v>74</v>
      </c>
      <c r="B10" s="21" t="n">
        <f aca="false">Engine!D6</f>
        <v>-109</v>
      </c>
      <c r="C10" s="8" t="s">
        <v>75</v>
      </c>
    </row>
    <row r="11" customFormat="false" ht="15" hidden="false" customHeight="false" outlineLevel="0" collapsed="false">
      <c r="A11" s="8" t="s">
        <v>76</v>
      </c>
      <c r="B11" s="21" t="n">
        <f aca="false">Engine!E6</f>
        <v>-34</v>
      </c>
      <c r="C11" s="8" t="s">
        <v>77</v>
      </c>
    </row>
    <row r="12" customFormat="false" ht="15" hidden="false" customHeight="false" outlineLevel="0" collapsed="false">
      <c r="A12" s="8" t="s">
        <v>78</v>
      </c>
      <c r="B12" s="21" t="n">
        <f aca="false">Engine!F6</f>
        <v>77</v>
      </c>
      <c r="C12" s="8" t="s">
        <v>79</v>
      </c>
    </row>
    <row r="13" customFormat="false" ht="15" hidden="false" customHeight="false" outlineLevel="0" collapsed="false">
      <c r="A13" s="8" t="s">
        <v>80</v>
      </c>
      <c r="B13" s="21" t="n">
        <f aca="false">Engine!G6</f>
        <v>152</v>
      </c>
      <c r="C13" s="8" t="s">
        <v>81</v>
      </c>
    </row>
    <row r="14" customFormat="false" ht="15" hidden="false" customHeight="false" outlineLevel="0" collapsed="false">
      <c r="A14" s="8" t="s">
        <v>82</v>
      </c>
      <c r="B14" s="21" t="n">
        <f aca="false">Engine!H6</f>
        <v>133</v>
      </c>
      <c r="C14" s="8" t="s">
        <v>83</v>
      </c>
    </row>
    <row r="15" customFormat="false" ht="15" hidden="false" customHeight="false" outlineLevel="0" collapsed="false">
      <c r="A15" s="8" t="s">
        <v>84</v>
      </c>
      <c r="B15" s="21" t="n">
        <f aca="false">Engine!I6</f>
        <v>95</v>
      </c>
      <c r="C15" s="8" t="s">
        <v>85</v>
      </c>
    </row>
    <row r="16" customFormat="false" ht="15" hidden="false" customHeight="false" outlineLevel="0" collapsed="false">
      <c r="A16" s="8" t="s">
        <v>86</v>
      </c>
      <c r="B16" s="21" t="n">
        <f aca="false">Engine!J6</f>
        <v>86</v>
      </c>
      <c r="C16" s="8" t="s">
        <v>87</v>
      </c>
    </row>
    <row r="17" customFormat="false" ht="15" hidden="false" customHeight="false" outlineLevel="0" collapsed="false">
      <c r="A17" s="8" t="s">
        <v>88</v>
      </c>
      <c r="B17" s="21" t="n">
        <f aca="false">Engine!K6</f>
        <v>210</v>
      </c>
      <c r="C17" s="8" t="s">
        <v>89</v>
      </c>
    </row>
    <row r="19" customFormat="false" ht="15" hidden="false" customHeight="false" outlineLevel="0" collapsed="false">
      <c r="A19" s="4" t="s">
        <v>90</v>
      </c>
      <c r="B19" s="7"/>
      <c r="C19" s="7"/>
    </row>
    <row r="21" customFormat="false" ht="30" hidden="false" customHeight="true" outlineLevel="0" collapsed="false">
      <c r="A21" s="15" t="s">
        <v>91</v>
      </c>
      <c r="B21" s="16" t="s">
        <v>92</v>
      </c>
      <c r="C21" s="16" t="s">
        <v>93</v>
      </c>
    </row>
    <row r="22" customFormat="false" ht="15" hidden="false" customHeight="false" outlineLevel="0" collapsed="false">
      <c r="A22" s="19" t="s">
        <v>94</v>
      </c>
      <c r="B22" s="23" t="n">
        <f aca="false">IRR(B8:B17)</f>
        <v>0.132935451186529</v>
      </c>
      <c r="C22" s="8" t="s">
        <v>95</v>
      </c>
    </row>
    <row r="23" customFormat="false" ht="15" hidden="false" customHeight="false" outlineLevel="0" collapsed="false">
      <c r="A23" s="19" t="s">
        <v>96</v>
      </c>
      <c r="B23" s="23" t="n">
        <f aca="false">(Engine!B35/Inputs!B9)^(1/10)-1</f>
        <v>0.091878161805681</v>
      </c>
      <c r="C23" s="8" t="s">
        <v>97</v>
      </c>
    </row>
    <row r="24" customFormat="false" ht="15" hidden="false" customHeight="false" outlineLevel="0" collapsed="false">
      <c r="A24" s="19" t="s">
        <v>98</v>
      </c>
      <c r="B24" s="23" t="n">
        <f aca="false">(Engine!B34/Inputs!B9)^(1/10)-1</f>
        <v>0.0625707782633376</v>
      </c>
      <c r="C24" s="8" t="s">
        <v>99</v>
      </c>
    </row>
    <row r="25" customFormat="false" ht="15" hidden="false" customHeight="false" outlineLevel="0" collapsed="false">
      <c r="A25" s="19" t="s">
        <v>100</v>
      </c>
      <c r="B25" s="23" t="n">
        <f aca="false">Engine!B26^(1/10)-1</f>
        <v>0.0713115360147736</v>
      </c>
      <c r="C25" s="8" t="s">
        <v>101</v>
      </c>
    </row>
    <row r="27" customFormat="false" ht="15" hidden="false" customHeight="false" outlineLevel="0" collapsed="false">
      <c r="A27" s="4" t="s">
        <v>102</v>
      </c>
      <c r="B27" s="7"/>
      <c r="C27" s="7"/>
    </row>
    <row r="29" customFormat="false" ht="15" hidden="false" customHeight="false" outlineLevel="0" collapsed="false">
      <c r="A29" s="19" t="s">
        <v>103</v>
      </c>
      <c r="B29" s="23" t="n">
        <f aca="false">B22-B25</f>
        <v>0.0616239151717552</v>
      </c>
    </row>
    <row r="30" customFormat="false" ht="15" hidden="false" customHeight="false" outlineLevel="0" collapsed="false">
      <c r="A30" s="19" t="s">
        <v>104</v>
      </c>
      <c r="B30" s="23" t="n">
        <f aca="false">B23-B25</f>
        <v>0.0205666257909074</v>
      </c>
    </row>
    <row r="31" customFormat="false" ht="15" hidden="false" customHeight="false" outlineLevel="0" collapsed="false">
      <c r="A31" s="19" t="s">
        <v>105</v>
      </c>
      <c r="B31" s="23" t="n">
        <f aca="false">B24-B25</f>
        <v>-0.00874075775143601</v>
      </c>
    </row>
    <row r="32" customFormat="false" ht="15" hidden="false" customHeight="false" outlineLevel="0" collapsed="false">
      <c r="A32" s="19" t="s">
        <v>106</v>
      </c>
      <c r="B32" s="23" t="n">
        <f aca="false">B30/B29</f>
        <v>0.333744224682659</v>
      </c>
    </row>
    <row r="33" customFormat="false" ht="15" hidden="false" customHeight="false" outlineLevel="0" collapsed="false">
      <c r="A33" s="19" t="s">
        <v>107</v>
      </c>
      <c r="B33" s="24" t="n">
        <f aca="false">B29/B30</f>
        <v>2.99630653069982</v>
      </c>
    </row>
    <row r="34" customFormat="false" ht="15" hidden="false" customHeight="false" outlineLevel="0" collapsed="false">
      <c r="A34" s="8" t="s">
        <v>108</v>
      </c>
      <c r="B34" s="25" t="n">
        <f aca="false">B22-B23</f>
        <v>0.0410572893808478</v>
      </c>
    </row>
    <row r="35" customFormat="false" ht="15" hidden="false" customHeight="false" outlineLevel="0" collapsed="false">
      <c r="A35" s="19" t="s">
        <v>109</v>
      </c>
      <c r="B35" s="23" t="n">
        <f aca="false">B23-B24</f>
        <v>0.0293073835423434</v>
      </c>
    </row>
    <row r="37" customFormat="false" ht="15" hidden="false" customHeight="false" outlineLevel="0" collapsed="false">
      <c r="A37" s="4" t="s">
        <v>110</v>
      </c>
      <c r="B37" s="7"/>
      <c r="C37" s="7"/>
    </row>
    <row r="39" customFormat="false" ht="15" hidden="false" customHeight="false" outlineLevel="0" collapsed="false">
      <c r="A39" s="8" t="s">
        <v>111</v>
      </c>
      <c r="B39" s="21" t="n">
        <f aca="false">Inputs!B9</f>
        <v>600</v>
      </c>
    </row>
    <row r="40" customFormat="false" ht="15" hidden="false" customHeight="false" outlineLevel="0" collapsed="false">
      <c r="A40" s="8" t="s">
        <v>58</v>
      </c>
      <c r="B40" s="21" t="n">
        <f aca="false">Engine!B31</f>
        <v>564</v>
      </c>
    </row>
    <row r="41" customFormat="false" ht="15" hidden="false" customHeight="false" outlineLevel="0" collapsed="false">
      <c r="A41" s="8" t="s">
        <v>63</v>
      </c>
      <c r="B41" s="21" t="n">
        <f aca="false">Engine!B36</f>
        <v>383</v>
      </c>
    </row>
    <row r="42" customFormat="false" ht="15" hidden="false" customHeight="false" outlineLevel="0" collapsed="false">
      <c r="A42" s="8" t="s">
        <v>62</v>
      </c>
      <c r="B42" s="21" t="n">
        <f aca="false">Engine!B35</f>
        <v>1445.0838576165</v>
      </c>
    </row>
    <row r="43" customFormat="false" ht="15" hidden="false" customHeight="false" outlineLevel="0" collapsed="false">
      <c r="A43" s="8" t="s">
        <v>61</v>
      </c>
      <c r="B43" s="21" t="n">
        <f aca="false">Engine!B34</f>
        <v>1100.8545265894</v>
      </c>
    </row>
    <row r="44" customFormat="false" ht="15" hidden="false" customHeight="false" outlineLevel="0" collapsed="false">
      <c r="A44" s="8" t="s">
        <v>112</v>
      </c>
      <c r="B44" s="21" t="n">
        <f aca="false">Inputs!B9*Engine!B26</f>
        <v>1194.83810702275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12" min="2" style="0" width="12"/>
  </cols>
  <sheetData>
    <row r="1" customFormat="false" ht="19.7" hidden="false" customHeight="false" outlineLevel="0" collapsed="false">
      <c r="A1" s="1" t="s">
        <v>113</v>
      </c>
    </row>
    <row r="2" customFormat="false" ht="15" hidden="false" customHeight="false" outlineLevel="0" collapsed="false">
      <c r="A2" s="2" t="s">
        <v>114</v>
      </c>
    </row>
    <row r="5" customFormat="false" ht="15" hidden="false" customHeight="false" outlineLevel="0" collapsed="false">
      <c r="A5" s="4" t="s">
        <v>115</v>
      </c>
    </row>
    <row r="7" customFormat="false" ht="15" hidden="false" customHeight="false" outlineLevel="0" collapsed="false">
      <c r="A7" s="16"/>
      <c r="B7" s="16" t="s">
        <v>70</v>
      </c>
      <c r="C7" s="16" t="s">
        <v>72</v>
      </c>
      <c r="D7" s="16" t="s">
        <v>74</v>
      </c>
      <c r="E7" s="16" t="s">
        <v>76</v>
      </c>
      <c r="F7" s="16" t="s">
        <v>78</v>
      </c>
      <c r="G7" s="16" t="s">
        <v>80</v>
      </c>
      <c r="H7" s="16" t="s">
        <v>82</v>
      </c>
      <c r="I7" s="16" t="s">
        <v>84</v>
      </c>
      <c r="J7" s="16" t="s">
        <v>86</v>
      </c>
      <c r="K7" s="16" t="s">
        <v>88</v>
      </c>
      <c r="L7" s="16" t="s">
        <v>116</v>
      </c>
    </row>
    <row r="8" customFormat="false" ht="15" hidden="false" customHeight="false" outlineLevel="0" collapsed="false">
      <c r="A8" s="8" t="s">
        <v>117</v>
      </c>
      <c r="B8" s="26" t="n">
        <f aca="false">Engine!B6</f>
        <v>-90</v>
      </c>
      <c r="C8" s="26" t="n">
        <f aca="false">Engine!C6</f>
        <v>-150</v>
      </c>
      <c r="D8" s="26" t="n">
        <f aca="false">Engine!D6</f>
        <v>-109</v>
      </c>
      <c r="E8" s="26" t="n">
        <f aca="false">Engine!E6</f>
        <v>-34</v>
      </c>
      <c r="F8" s="26" t="n">
        <f aca="false">Engine!F6</f>
        <v>77</v>
      </c>
      <c r="G8" s="26" t="n">
        <f aca="false">Engine!G6</f>
        <v>152</v>
      </c>
      <c r="H8" s="26" t="n">
        <f aca="false">Engine!H6</f>
        <v>133</v>
      </c>
      <c r="I8" s="26" t="n">
        <f aca="false">Engine!I6</f>
        <v>95</v>
      </c>
      <c r="J8" s="26" t="n">
        <f aca="false">Engine!J6</f>
        <v>86</v>
      </c>
      <c r="K8" s="26" t="n">
        <f aca="false">Inputs!K28-Inputs!K27</f>
        <v>67</v>
      </c>
      <c r="L8" s="26" t="n">
        <f aca="false">Inputs!B11</f>
        <v>143</v>
      </c>
    </row>
    <row r="9" customFormat="false" ht="15" hidden="false" customHeight="false" outlineLevel="0" collapsed="false">
      <c r="A9" s="8" t="s">
        <v>118</v>
      </c>
      <c r="B9" s="25" t="n">
        <f aca="false">IRR(B8:L8)</f>
        <v>0.129426324943432</v>
      </c>
      <c r="C9" s="2" t="s">
        <v>119</v>
      </c>
    </row>
    <row r="10" customFormat="false" ht="15" hidden="false" customHeight="false" outlineLevel="0" collapsed="false">
      <c r="A10" s="8" t="s">
        <v>120</v>
      </c>
      <c r="B10" s="25" t="n">
        <f aca="false">'Two Adjustments'!B9-'The Three Returns'!B25</f>
        <v>0.0581147889286582</v>
      </c>
    </row>
    <row r="11" customFormat="false" ht="15" hidden="false" customHeight="false" outlineLevel="0" collapsed="false">
      <c r="A11" s="8" t="s">
        <v>121</v>
      </c>
      <c r="B11" s="27" t="n">
        <f aca="false">'Two Adjustments'!B10/'The Three Returns'!B30</f>
        <v>2.82568417004752</v>
      </c>
      <c r="C11" s="2" t="s">
        <v>122</v>
      </c>
    </row>
    <row r="12" customFormat="false" ht="15" hidden="false" customHeight="false" outlineLevel="0" collapsed="false">
      <c r="A12" s="2" t="s">
        <v>123</v>
      </c>
    </row>
    <row r="13" customFormat="false" ht="15" hidden="false" customHeight="false" outlineLevel="0" collapsed="false">
      <c r="A13" s="2" t="s">
        <v>124</v>
      </c>
    </row>
    <row r="15" customFormat="false" ht="15" hidden="false" customHeight="false" outlineLevel="0" collapsed="false">
      <c r="A15" s="4" t="s">
        <v>125</v>
      </c>
    </row>
    <row r="17" customFormat="false" ht="15" hidden="false" customHeight="false" outlineLevel="0" collapsed="false">
      <c r="A17" s="16"/>
      <c r="B17" s="16" t="s">
        <v>29</v>
      </c>
      <c r="C17" s="16" t="s">
        <v>30</v>
      </c>
      <c r="D17" s="16" t="s">
        <v>31</v>
      </c>
      <c r="E17" s="16" t="s">
        <v>32</v>
      </c>
      <c r="F17" s="16" t="s">
        <v>33</v>
      </c>
      <c r="G17" s="16" t="s">
        <v>34</v>
      </c>
      <c r="H17" s="16" t="s">
        <v>35</v>
      </c>
      <c r="I17" s="16" t="s">
        <v>36</v>
      </c>
      <c r="J17" s="16" t="s">
        <v>37</v>
      </c>
      <c r="K17" s="16" t="s">
        <v>38</v>
      </c>
    </row>
    <row r="18" customFormat="false" ht="15" hidden="false" customHeight="false" outlineLevel="0" collapsed="false">
      <c r="A18" s="8" t="s">
        <v>126</v>
      </c>
      <c r="B18" s="26" t="n">
        <f aca="false">Inputs!$B$9-Inputs!B27+Inputs!B28</f>
        <v>510</v>
      </c>
      <c r="C18" s="26" t="n">
        <f aca="false">B21-Inputs!C27+Inputs!C28</f>
        <v>361.98</v>
      </c>
      <c r="D18" s="26" t="n">
        <f aca="false">C21-Inputs!D27+Inputs!D28</f>
        <v>252.6899</v>
      </c>
      <c r="E18" s="26" t="n">
        <f aca="false">D21-Inputs!E27+Inputs!E28</f>
        <v>217.6006596</v>
      </c>
      <c r="F18" s="26" t="n">
        <f aca="false">E21-Inputs!F27+Inputs!F28</f>
        <v>295.1118675152</v>
      </c>
      <c r="G18" s="26" t="n">
        <f aca="false">F21-Inputs!G27+Inputs!G28</f>
        <v>451.209216733019</v>
      </c>
      <c r="H18" s="26" t="n">
        <f aca="false">G21-Inputs!H27+Inputs!H28</f>
        <v>597.450330101942</v>
      </c>
      <c r="I18" s="26" t="n">
        <f aca="false">H21-Inputs!I27+Inputs!I28</f>
        <v>714.845793636122</v>
      </c>
      <c r="J18" s="26" t="n">
        <f aca="false">I21-Inputs!J27+Inputs!J28</f>
        <v>824.480242207022</v>
      </c>
      <c r="K18" s="26" t="n">
        <f aca="false">J21-Inputs!K27+Inputs!K28</f>
        <v>913.290169231025</v>
      </c>
    </row>
    <row r="19" customFormat="false" ht="15" hidden="false" customHeight="false" outlineLevel="0" collapsed="false">
      <c r="A19" s="8" t="s">
        <v>127</v>
      </c>
      <c r="B19" s="26" t="n">
        <f aca="false">B18*Inputs!B26/100</f>
        <v>4.08</v>
      </c>
      <c r="C19" s="26" t="n">
        <f aca="false">C18*Inputs!C26/100</f>
        <v>1.8099</v>
      </c>
      <c r="D19" s="26" t="n">
        <f aca="false">D18*Inputs!D26/100</f>
        <v>1.0107596</v>
      </c>
      <c r="E19" s="26" t="n">
        <f aca="false">E18*Inputs!E26/100</f>
        <v>2.6112079152</v>
      </c>
      <c r="F19" s="26" t="n">
        <f aca="false">F18*Inputs!F26/100</f>
        <v>6.1973492178192</v>
      </c>
      <c r="G19" s="26" t="n">
        <f aca="false">G18*Inputs!G26/100</f>
        <v>15.3411133689227</v>
      </c>
      <c r="H19" s="26" t="n">
        <f aca="false">H18*Inputs!H26/100</f>
        <v>24.4954635341796</v>
      </c>
      <c r="I19" s="26" t="n">
        <f aca="false">I18*Inputs!I26/100</f>
        <v>25.7344485709004</v>
      </c>
      <c r="J19" s="26" t="n">
        <f aca="false">J18*Inputs!J26/100</f>
        <v>23.9099270240036</v>
      </c>
      <c r="K19" s="26" t="n">
        <f aca="false">K18*Inputs!K26/100</f>
        <v>22.8322542307756</v>
      </c>
    </row>
    <row r="20" customFormat="false" ht="15" hidden="false" customHeight="false" outlineLevel="0" collapsed="false">
      <c r="A20" s="8" t="s">
        <v>24</v>
      </c>
      <c r="B20" s="26" t="n">
        <f aca="false">Inputs!$B$9*Inputs!$B$17</f>
        <v>2.1</v>
      </c>
      <c r="C20" s="26" t="n">
        <f aca="false">Inputs!$B$9*Inputs!$B$17</f>
        <v>2.1</v>
      </c>
      <c r="D20" s="26" t="n">
        <f aca="false">Inputs!$B$9*Inputs!$B$17</f>
        <v>2.1</v>
      </c>
      <c r="E20" s="26" t="n">
        <f aca="false">Inputs!$B$9*Inputs!$B$17</f>
        <v>2.1</v>
      </c>
      <c r="F20" s="26" t="n">
        <f aca="false">Inputs!$B$9*Inputs!$B$17</f>
        <v>2.1</v>
      </c>
      <c r="G20" s="26" t="n">
        <f aca="false">Inputs!$B$9*Inputs!$B$17</f>
        <v>2.1</v>
      </c>
      <c r="H20" s="26" t="n">
        <f aca="false">Inputs!$B$9*Inputs!$B$17</f>
        <v>2.1</v>
      </c>
      <c r="I20" s="26" t="n">
        <f aca="false">Inputs!$B$9*Inputs!$B$17</f>
        <v>2.1</v>
      </c>
      <c r="J20" s="26" t="n">
        <f aca="false">Inputs!$B$9*Inputs!$B$17</f>
        <v>2.1</v>
      </c>
      <c r="K20" s="26" t="n">
        <f aca="false">Inputs!$B$9*Inputs!$B$17</f>
        <v>2.1</v>
      </c>
    </row>
    <row r="21" customFormat="false" ht="15" hidden="false" customHeight="false" outlineLevel="0" collapsed="false">
      <c r="A21" s="8" t="s">
        <v>52</v>
      </c>
      <c r="B21" s="26" t="n">
        <f aca="false">B18+B19-B20</f>
        <v>511.98</v>
      </c>
      <c r="C21" s="26" t="n">
        <f aca="false">C18+C19-C20</f>
        <v>361.6899</v>
      </c>
      <c r="D21" s="26" t="n">
        <f aca="false">D18+D19-D20</f>
        <v>251.6006596</v>
      </c>
      <c r="E21" s="26" t="n">
        <f aca="false">E18+E19-E20</f>
        <v>218.1118675152</v>
      </c>
      <c r="F21" s="26" t="n">
        <f aca="false">F18+F19-F20</f>
        <v>299.209216733019</v>
      </c>
      <c r="G21" s="26" t="n">
        <f aca="false">G18+G19-G20</f>
        <v>464.450330101942</v>
      </c>
      <c r="H21" s="26" t="n">
        <f aca="false">H18+H19-H20</f>
        <v>619.845793636122</v>
      </c>
      <c r="I21" s="26" t="n">
        <f aca="false">I18+I19-I20</f>
        <v>738.480242207022</v>
      </c>
      <c r="J21" s="26" t="n">
        <f aca="false">J18+J19-J20</f>
        <v>846.290169231025</v>
      </c>
      <c r="K21" s="26" t="n">
        <f aca="false">K18+K19-K20</f>
        <v>934.022423461801</v>
      </c>
    </row>
    <row r="22" customFormat="false" ht="15" hidden="false" customHeight="false" outlineLevel="0" collapsed="false">
      <c r="A22" s="8" t="s">
        <v>128</v>
      </c>
      <c r="B22" s="26" t="n">
        <f aca="false">Inputs!$B$9-Inputs!B27+Inputs!B28</f>
        <v>510</v>
      </c>
      <c r="C22" s="26" t="n">
        <f aca="false">B25-Inputs!C27+Inputs!C28</f>
        <v>421.14</v>
      </c>
      <c r="D22" s="26" t="n">
        <f aca="false">C25-Inputs!D27+Inputs!D28</f>
        <v>344.15234</v>
      </c>
      <c r="E22" s="26" t="n">
        <f aca="false">D25-Inputs!E27+Inputs!E28</f>
        <v>284.99413322</v>
      </c>
      <c r="F22" s="26" t="n">
        <f aca="false">E25-Inputs!F27+Inputs!F28</f>
        <v>412.04805959926</v>
      </c>
      <c r="G22" s="26" t="n">
        <f aca="false">F25-Inputs!G27+Inputs!G28</f>
        <v>601.504673320789</v>
      </c>
      <c r="H22" s="26" t="n">
        <f aca="false">G25-Inputs!H27+Inputs!H28</f>
        <v>746.840785480488</v>
      </c>
      <c r="I22" s="26" t="n">
        <f aca="false">H25-Inputs!I27+Inputs!I28</f>
        <v>945.045336233237</v>
      </c>
      <c r="J22" s="26" t="n">
        <f aca="false">I25-Inputs!J27+Inputs!J28</f>
        <v>923.100258575114</v>
      </c>
      <c r="K22" s="26" t="n">
        <f aca="false">J25-Inputs!K27+Inputs!K28</f>
        <v>1188.31301468591</v>
      </c>
    </row>
    <row r="23" customFormat="false" ht="15" hidden="false" customHeight="false" outlineLevel="0" collapsed="false">
      <c r="A23" s="8" t="s">
        <v>127</v>
      </c>
      <c r="B23" s="26" t="n">
        <f aca="false">B22*Inputs!B25/100</f>
        <v>63.24</v>
      </c>
      <c r="C23" s="26" t="n">
        <f aca="false">C22*Inputs!C25/100</f>
        <v>34.11234</v>
      </c>
      <c r="D23" s="26" t="n">
        <f aca="false">D22*Inputs!D25/100</f>
        <v>-23.05820678</v>
      </c>
      <c r="E23" s="26" t="n">
        <f aca="false">E22*Inputs!E25/100</f>
        <v>52.15392637926</v>
      </c>
      <c r="F23" s="26" t="n">
        <f aca="false">F22*Inputs!F25/100</f>
        <v>39.556613721529</v>
      </c>
      <c r="G23" s="26" t="n">
        <f aca="false">G22*Inputs!G25/100</f>
        <v>14.4361121596989</v>
      </c>
      <c r="H23" s="26" t="n">
        <f aca="false">H22*Inputs!H25/100</f>
        <v>105.304550752749</v>
      </c>
      <c r="I23" s="26" t="n">
        <f aca="false">I22*Inputs!I25/100</f>
        <v>-105.845077658123</v>
      </c>
      <c r="J23" s="26" t="n">
        <f aca="false">J22*Inputs!J25/100</f>
        <v>200.3127561108</v>
      </c>
      <c r="K23" s="26" t="n">
        <f aca="false">K22*Inputs!K25/100</f>
        <v>86.7468500720717</v>
      </c>
    </row>
    <row r="24" customFormat="false" ht="15" hidden="false" customHeight="false" outlineLevel="0" collapsed="false">
      <c r="A24" s="8" t="s">
        <v>24</v>
      </c>
      <c r="B24" s="26" t="n">
        <f aca="false">Inputs!$B$9*Inputs!$B$17</f>
        <v>2.1</v>
      </c>
      <c r="C24" s="26" t="n">
        <f aca="false">Inputs!$B$9*Inputs!$B$17</f>
        <v>2.1</v>
      </c>
      <c r="D24" s="26" t="n">
        <f aca="false">Inputs!$B$9*Inputs!$B$17</f>
        <v>2.1</v>
      </c>
      <c r="E24" s="26" t="n">
        <f aca="false">Inputs!$B$9*Inputs!$B$17</f>
        <v>2.1</v>
      </c>
      <c r="F24" s="26" t="n">
        <f aca="false">Inputs!$B$9*Inputs!$B$17</f>
        <v>2.1</v>
      </c>
      <c r="G24" s="26" t="n">
        <f aca="false">Inputs!$B$9*Inputs!$B$17</f>
        <v>2.1</v>
      </c>
      <c r="H24" s="26" t="n">
        <f aca="false">Inputs!$B$9*Inputs!$B$17</f>
        <v>2.1</v>
      </c>
      <c r="I24" s="26" t="n">
        <f aca="false">Inputs!$B$9*Inputs!$B$17</f>
        <v>2.1</v>
      </c>
      <c r="J24" s="26" t="n">
        <f aca="false">Inputs!$B$9*Inputs!$B$17</f>
        <v>2.1</v>
      </c>
      <c r="K24" s="26" t="n">
        <f aca="false">Inputs!$B$9*Inputs!$B$17</f>
        <v>2.1</v>
      </c>
    </row>
    <row r="25" customFormat="false" ht="15" hidden="false" customHeight="false" outlineLevel="0" collapsed="false">
      <c r="A25" s="8" t="s">
        <v>52</v>
      </c>
      <c r="B25" s="26" t="n">
        <f aca="false">B22+B23-B24</f>
        <v>571.14</v>
      </c>
      <c r="C25" s="26" t="n">
        <f aca="false">C22+C23-C24</f>
        <v>453.15234</v>
      </c>
      <c r="D25" s="26" t="n">
        <f aca="false">D22+D23-D24</f>
        <v>318.99413322</v>
      </c>
      <c r="E25" s="26" t="n">
        <f aca="false">E22+E23-E24</f>
        <v>335.04805959926</v>
      </c>
      <c r="F25" s="26" t="n">
        <f aca="false">F22+F23-F24</f>
        <v>449.504673320789</v>
      </c>
      <c r="G25" s="26" t="n">
        <f aca="false">G22+G23-G24</f>
        <v>613.840785480488</v>
      </c>
      <c r="H25" s="26" t="n">
        <f aca="false">H22+H23-H24</f>
        <v>850.045336233237</v>
      </c>
      <c r="I25" s="26" t="n">
        <f aca="false">I22+I23-I24</f>
        <v>837.100258575114</v>
      </c>
      <c r="J25" s="26" t="n">
        <f aca="false">J22+J23-J24</f>
        <v>1121.31301468591</v>
      </c>
      <c r="K25" s="26" t="n">
        <f aca="false">K22+K23-K24</f>
        <v>1272.95986475799</v>
      </c>
    </row>
    <row r="26" customFormat="false" ht="15" hidden="false" customHeight="false" outlineLevel="0" collapsed="false">
      <c r="A26" s="8" t="s">
        <v>129</v>
      </c>
      <c r="B26" s="25" t="n">
        <f aca="false">((K25+Inputs!B11)/Inputs!B9)^(1/10)-1</f>
        <v>0.0896573918774046</v>
      </c>
    </row>
    <row r="27" customFormat="false" ht="15" hidden="false" customHeight="false" outlineLevel="0" collapsed="false">
      <c r="A27" s="8" t="s">
        <v>130</v>
      </c>
      <c r="B27" s="25" t="n">
        <f aca="false">((K21+Inputs!B11)/Inputs!B9)^(1/10)-1</f>
        <v>0.0602477255855936</v>
      </c>
    </row>
    <row r="28" customFormat="false" ht="15" hidden="false" customHeight="false" outlineLevel="0" collapsed="false">
      <c r="A28" s="8" t="s">
        <v>131</v>
      </c>
      <c r="B28" s="25" t="n">
        <f aca="false">'Two Adjustments'!B26-'The Three Returns'!B25</f>
        <v>0.018345855862631</v>
      </c>
    </row>
    <row r="29" customFormat="false" ht="15" hidden="false" customHeight="false" outlineLevel="0" collapsed="false">
      <c r="A29" s="8" t="s">
        <v>132</v>
      </c>
      <c r="B29" s="27" t="n">
        <f aca="false">'The Three Returns'!B29/'Two Adjustments'!B28</f>
        <v>3.35901010196411</v>
      </c>
    </row>
    <row r="30" customFormat="false" ht="15" hidden="false" customHeight="false" outlineLevel="0" collapsed="false">
      <c r="A30" s="2" t="s">
        <v>133</v>
      </c>
    </row>
    <row r="31" customFormat="false" ht="15" hidden="false" customHeight="false" outlineLevel="0" collapsed="false">
      <c r="A31" s="2" t="s">
        <v>134</v>
      </c>
    </row>
    <row r="33" customFormat="false" ht="15" hidden="false" customHeight="false" outlineLevel="0" collapsed="false">
      <c r="A33" s="4" t="s">
        <v>135</v>
      </c>
    </row>
    <row r="35" customFormat="false" ht="15" hidden="false" customHeight="false" outlineLevel="0" collapsed="false">
      <c r="A35" s="8" t="s">
        <v>136</v>
      </c>
      <c r="B35" s="26" t="n">
        <f aca="false">SUM(Engine!B13:K13)</f>
        <v>130.854526589402</v>
      </c>
    </row>
    <row r="36" customFormat="false" ht="15" hidden="false" customHeight="false" outlineLevel="0" collapsed="false">
      <c r="A36" s="8" t="s">
        <v>137</v>
      </c>
      <c r="B36" s="26" t="n">
        <f aca="false">SUMPRODUCT(ROUND(Engine!B13:K13,2))</f>
        <v>130.87</v>
      </c>
      <c r="C36" s="2" t="s">
        <v>138</v>
      </c>
    </row>
    <row r="37" customFormat="false" ht="15" hidden="false" customHeight="false" outlineLevel="0" collapsed="false">
      <c r="A37" s="8" t="s">
        <v>139</v>
      </c>
      <c r="B37" s="26" t="n">
        <f aca="false">Inputs!B9-Engine!B31+Engine!B32+'Two Adjustments'!B35</f>
        <v>957.854526589402</v>
      </c>
      <c r="C37" s="2" t="s">
        <v>140</v>
      </c>
    </row>
    <row r="38" customFormat="false" ht="15" hidden="false" customHeight="false" outlineLevel="0" collapsed="false">
      <c r="A38" s="8" t="s">
        <v>141</v>
      </c>
      <c r="B38" s="26" t="n">
        <f aca="false">Engine!B35-Engine!B34</f>
        <v>344.229331027093</v>
      </c>
    </row>
    <row r="39" customFormat="false" ht="15" hidden="false" customHeight="false" outlineLevel="0" collapsed="false">
      <c r="A39" s="8" t="s">
        <v>142</v>
      </c>
      <c r="B39" s="26" t="n">
        <f aca="false">'The Three Returns'!B44-Engine!B34</f>
        <v>93.9835804333504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58"/>
    <col collapsed="false" customWidth="true" hidden="false" outlineLevel="0" max="4" min="3" style="0" width="13"/>
    <col collapsed="false" customWidth="true" hidden="false" outlineLevel="0" max="5" min="5" style="0" width="12"/>
    <col collapsed="false" customWidth="true" hidden="false" outlineLevel="0" max="6" min="6" style="0" width="10"/>
    <col collapsed="false" customWidth="true" hidden="false" outlineLevel="0" max="7" min="7" style="0" width="9"/>
    <col collapsed="false" customWidth="true" hidden="false" outlineLevel="0" max="8" min="8" style="0" width="60"/>
  </cols>
  <sheetData>
    <row r="1" customFormat="false" ht="19.7" hidden="false" customHeight="false" outlineLevel="0" collapsed="false">
      <c r="A1" s="28" t="s">
        <v>143</v>
      </c>
    </row>
    <row r="2" customFormat="false" ht="15" hidden="false" customHeight="false" outlineLevel="0" collapsed="false">
      <c r="A2" s="2" t="s">
        <v>144</v>
      </c>
    </row>
    <row r="5" customFormat="false" ht="15" hidden="false" customHeight="false" outlineLevel="0" collapsed="false">
      <c r="A5" s="29" t="s">
        <v>145</v>
      </c>
      <c r="B5" s="29" t="s">
        <v>146</v>
      </c>
      <c r="C5" s="29" t="s">
        <v>147</v>
      </c>
      <c r="D5" s="29" t="s">
        <v>148</v>
      </c>
      <c r="E5" s="29" t="s">
        <v>149</v>
      </c>
      <c r="F5" s="29" t="s">
        <v>150</v>
      </c>
      <c r="G5" s="29" t="s">
        <v>151</v>
      </c>
      <c r="H5" s="29" t="s">
        <v>69</v>
      </c>
    </row>
    <row r="6" customFormat="false" ht="15" hidden="false" customHeight="false" outlineLevel="0" collapsed="false">
      <c r="A6" s="8" t="s">
        <v>152</v>
      </c>
      <c r="B6" s="8" t="s">
        <v>94</v>
      </c>
      <c r="C6" s="25" t="n">
        <v>0.132935</v>
      </c>
      <c r="D6" s="25" t="n">
        <f aca="false">'The Three Returns'!B22</f>
        <v>0.132935451186529</v>
      </c>
      <c r="E6" s="25" t="n">
        <f aca="false">D6-C6</f>
        <v>4.51186528749314E-007</v>
      </c>
      <c r="F6" s="8" t="n">
        <v>5E-007</v>
      </c>
      <c r="G6" s="8" t="str">
        <f aca="false">IF(ISNUMBER(D6),IF(ABS(E6)&lt;=F6,"PASS","FAIL"),"FAIL")</f>
        <v>PASS</v>
      </c>
      <c r="H6" s="8"/>
    </row>
    <row r="7" customFormat="false" ht="15" hidden="false" customHeight="false" outlineLevel="0" collapsed="false">
      <c r="A7" s="30" t="s">
        <v>153</v>
      </c>
      <c r="B7" s="30" t="s">
        <v>154</v>
      </c>
      <c r="C7" s="31" t="n">
        <v>0.091878</v>
      </c>
      <c r="D7" s="31" t="n">
        <f aca="false">'The Three Returns'!B23</f>
        <v>0.091878161805681</v>
      </c>
      <c r="E7" s="31" t="n">
        <f aca="false">D7-C7</f>
        <v>1.61805680978788E-007</v>
      </c>
      <c r="F7" s="30" t="n">
        <v>5E-007</v>
      </c>
      <c r="G7" s="30" t="str">
        <f aca="false">IF(ISNUMBER(D7),IF(ABS(E7)&lt;=F7,"PASS","FAIL"),"FAIL")</f>
        <v>PASS</v>
      </c>
      <c r="H7" s="30"/>
    </row>
    <row r="8" customFormat="false" ht="15" hidden="false" customHeight="false" outlineLevel="0" collapsed="false">
      <c r="A8" s="8" t="s">
        <v>153</v>
      </c>
      <c r="B8" s="8" t="s">
        <v>155</v>
      </c>
      <c r="C8" s="32" t="n">
        <v>0.062571</v>
      </c>
      <c r="D8" s="32" t="n">
        <f aca="false">'The Three Returns'!B24</f>
        <v>0.0625707782633376</v>
      </c>
      <c r="E8" s="32" t="n">
        <f aca="false">D8-C8</f>
        <v>-2.2173666243408E-007</v>
      </c>
      <c r="F8" s="8" t="n">
        <v>5E-007</v>
      </c>
      <c r="G8" s="8" t="str">
        <f aca="false">IF(ISNUMBER(D8),IF(ABS(E8)&lt;=F8,"PASS","FAIL"),"FAIL")</f>
        <v>PASS</v>
      </c>
      <c r="H8" s="8"/>
    </row>
    <row r="9" customFormat="false" ht="15" hidden="false" customHeight="false" outlineLevel="0" collapsed="false">
      <c r="A9" s="30" t="s">
        <v>156</v>
      </c>
      <c r="B9" s="30" t="s">
        <v>157</v>
      </c>
      <c r="C9" s="33" t="n">
        <v>0.071312</v>
      </c>
      <c r="D9" s="33" t="n">
        <f aca="false">'The Three Returns'!B25</f>
        <v>0.0713115360147736</v>
      </c>
      <c r="E9" s="33" t="n">
        <f aca="false">D9-C9</f>
        <v>-4.63985226420438E-007</v>
      </c>
      <c r="F9" s="30" t="n">
        <v>5E-007</v>
      </c>
      <c r="G9" s="30" t="str">
        <f aca="false">IF(ISNUMBER(D9),IF(ABS(E9)&lt;=F9,"PASS","FAIL"),"FAIL")</f>
        <v>PASS</v>
      </c>
      <c r="H9" s="30"/>
    </row>
    <row r="10" customFormat="false" ht="15" hidden="false" customHeight="false" outlineLevel="0" collapsed="false">
      <c r="A10" s="8" t="s">
        <v>158</v>
      </c>
      <c r="B10" s="8" t="s">
        <v>159</v>
      </c>
      <c r="C10" s="25" t="n">
        <v>0.061624</v>
      </c>
      <c r="D10" s="25" t="n">
        <f aca="false">'The Three Returns'!B29</f>
        <v>0.0616239151717552</v>
      </c>
      <c r="E10" s="25" t="n">
        <f aca="false">D10-C10</f>
        <v>-8.48282448312476E-008</v>
      </c>
      <c r="F10" s="8" t="n">
        <v>5E-007</v>
      </c>
      <c r="G10" s="8" t="str">
        <f aca="false">IF(ISNUMBER(D10),IF(ABS(E10)&lt;=F10,"PASS","FAIL"),"FAIL")</f>
        <v>PASS</v>
      </c>
      <c r="H10" s="8"/>
    </row>
    <row r="11" customFormat="false" ht="15" hidden="false" customHeight="false" outlineLevel="0" collapsed="false">
      <c r="A11" s="30" t="s">
        <v>158</v>
      </c>
      <c r="B11" s="30" t="s">
        <v>160</v>
      </c>
      <c r="C11" s="33" t="n">
        <v>0.020567</v>
      </c>
      <c r="D11" s="33" t="n">
        <f aca="false">'The Three Returns'!B30</f>
        <v>0.0205666257909074</v>
      </c>
      <c r="E11" s="33" t="n">
        <f aca="false">D11-C11</f>
        <v>-3.74209092598304E-007</v>
      </c>
      <c r="F11" s="30" t="n">
        <v>5E-007</v>
      </c>
      <c r="G11" s="30" t="str">
        <f aca="false">IF(ISNUMBER(D11),IF(ABS(E11)&lt;=F11,"PASS","FAIL"),"FAIL")</f>
        <v>PASS</v>
      </c>
      <c r="H11" s="30"/>
    </row>
    <row r="12" customFormat="false" ht="15" hidden="false" customHeight="false" outlineLevel="0" collapsed="false">
      <c r="A12" s="8" t="s">
        <v>158</v>
      </c>
      <c r="B12" s="8" t="s">
        <v>161</v>
      </c>
      <c r="C12" s="25" t="n">
        <v>-0.008741</v>
      </c>
      <c r="D12" s="25" t="n">
        <f aca="false">'The Three Returns'!B31</f>
        <v>-0.00874075775143601</v>
      </c>
      <c r="E12" s="25" t="n">
        <f aca="false">D12-C12</f>
        <v>2.42248563988093E-007</v>
      </c>
      <c r="F12" s="8" t="n">
        <v>5E-007</v>
      </c>
      <c r="G12" s="8" t="str">
        <f aca="false">IF(ISNUMBER(D12),IF(ABS(E12)&lt;=F12,"PASS","FAIL"),"FAIL")</f>
        <v>PASS</v>
      </c>
      <c r="H12" s="8"/>
    </row>
    <row r="13" customFormat="false" ht="15" hidden="false" customHeight="false" outlineLevel="0" collapsed="false">
      <c r="A13" s="30" t="s">
        <v>158</v>
      </c>
      <c r="B13" s="30" t="s">
        <v>162</v>
      </c>
      <c r="C13" s="33" t="n">
        <v>0.333744</v>
      </c>
      <c r="D13" s="33" t="n">
        <f aca="false">'The Three Returns'!B32</f>
        <v>0.333744224682659</v>
      </c>
      <c r="E13" s="33" t="n">
        <f aca="false">D13-C13</f>
        <v>2.24682659422104E-007</v>
      </c>
      <c r="F13" s="30" t="n">
        <v>5E-007</v>
      </c>
      <c r="G13" s="30" t="str">
        <f aca="false">IF(ISNUMBER(D13),IF(ABS(E13)&lt;=F13,"PASS","FAIL"),"FAIL")</f>
        <v>PASS</v>
      </c>
      <c r="H13" s="30"/>
    </row>
    <row r="14" customFormat="false" ht="15" hidden="false" customHeight="false" outlineLevel="0" collapsed="false">
      <c r="A14" s="8" t="s">
        <v>158</v>
      </c>
      <c r="B14" s="8" t="s">
        <v>107</v>
      </c>
      <c r="C14" s="32" t="n">
        <v>3</v>
      </c>
      <c r="D14" s="32" t="n">
        <f aca="false">'The Three Returns'!B33</f>
        <v>2.99630653069982</v>
      </c>
      <c r="E14" s="32" t="n">
        <f aca="false">D14-C14</f>
        <v>-0.00369346930018111</v>
      </c>
      <c r="F14" s="8" t="n">
        <v>0.005</v>
      </c>
      <c r="G14" s="8" t="str">
        <f aca="false">IF(ISNUMBER(D14),IF(ABS(E14)&lt;=F14,"PASS","FAIL"),"FAIL")</f>
        <v>PASS</v>
      </c>
      <c r="H14" s="8" t="s">
        <v>163</v>
      </c>
    </row>
    <row r="15" customFormat="false" ht="15" hidden="false" customHeight="false" outlineLevel="0" collapsed="false">
      <c r="A15" s="30" t="s">
        <v>158</v>
      </c>
      <c r="B15" s="30" t="s">
        <v>164</v>
      </c>
      <c r="C15" s="33" t="n">
        <v>0.041057</v>
      </c>
      <c r="D15" s="33" t="n">
        <f aca="false">'The Three Returns'!B34</f>
        <v>0.0410572893808478</v>
      </c>
      <c r="E15" s="33" t="n">
        <f aca="false">D15-C15</f>
        <v>2.89380847763587E-007</v>
      </c>
      <c r="F15" s="30" t="n">
        <v>5E-007</v>
      </c>
      <c r="G15" s="30" t="str">
        <f aca="false">IF(ISNUMBER(D15),IF(ABS(E15)&lt;=F15,"PASS","FAIL"),"FAIL")</f>
        <v>PASS</v>
      </c>
      <c r="H15" s="30"/>
    </row>
    <row r="16" customFormat="false" ht="15" hidden="false" customHeight="false" outlineLevel="0" collapsed="false">
      <c r="A16" s="8" t="s">
        <v>165</v>
      </c>
      <c r="B16" s="8" t="s">
        <v>166</v>
      </c>
      <c r="C16" s="25" t="n">
        <v>0.029307</v>
      </c>
      <c r="D16" s="25" t="n">
        <f aca="false">'The Three Returns'!B35</f>
        <v>0.0293073835423434</v>
      </c>
      <c r="E16" s="25" t="n">
        <f aca="false">D16-C16</f>
        <v>3.83542343412868E-007</v>
      </c>
      <c r="F16" s="8" t="n">
        <v>5E-007</v>
      </c>
      <c r="G16" s="8" t="str">
        <f aca="false">IF(ISNUMBER(D16),IF(ABS(E16)&lt;=F16,"PASS","FAIL"),"FAIL")</f>
        <v>PASS</v>
      </c>
      <c r="H16" s="8"/>
    </row>
    <row r="17" customFormat="false" ht="15" hidden="false" customHeight="false" outlineLevel="0" collapsed="false">
      <c r="A17" s="30" t="s">
        <v>153</v>
      </c>
      <c r="B17" s="30" t="s">
        <v>62</v>
      </c>
      <c r="C17" s="34" t="n">
        <v>1445.08</v>
      </c>
      <c r="D17" s="34" t="n">
        <f aca="false">Engine!B35</f>
        <v>1445.0838576165</v>
      </c>
      <c r="E17" s="34" t="n">
        <f aca="false">D17-C17</f>
        <v>0.00385761649545202</v>
      </c>
      <c r="F17" s="30" t="n">
        <v>0.005</v>
      </c>
      <c r="G17" s="30" t="str">
        <f aca="false">IF(ISNUMBER(D17),IF(ABS(E17)&lt;=F17,"PASS","FAIL"),"FAIL")</f>
        <v>PASS</v>
      </c>
      <c r="H17" s="30"/>
    </row>
    <row r="18" customFormat="false" ht="15" hidden="false" customHeight="false" outlineLevel="0" collapsed="false">
      <c r="A18" s="8" t="s">
        <v>153</v>
      </c>
      <c r="B18" s="8" t="s">
        <v>61</v>
      </c>
      <c r="C18" s="26" t="n">
        <v>1100.85</v>
      </c>
      <c r="D18" s="26" t="n">
        <f aca="false">Engine!B34</f>
        <v>1100.8545265894</v>
      </c>
      <c r="E18" s="26" t="n">
        <f aca="false">D18-C18</f>
        <v>0.00452658940230322</v>
      </c>
      <c r="F18" s="8" t="n">
        <v>0.005</v>
      </c>
      <c r="G18" s="8" t="str">
        <f aca="false">IF(ISNUMBER(D18),IF(ABS(E18)&lt;=F18,"PASS","FAIL"),"FAIL")</f>
        <v>PASS</v>
      </c>
      <c r="H18" s="8"/>
    </row>
    <row r="19" customFormat="false" ht="15" hidden="false" customHeight="false" outlineLevel="0" collapsed="false">
      <c r="A19" s="30" t="s">
        <v>156</v>
      </c>
      <c r="B19" s="30" t="s">
        <v>167</v>
      </c>
      <c r="C19" s="34" t="n">
        <v>1194.84</v>
      </c>
      <c r="D19" s="34" t="n">
        <f aca="false">'The Three Returns'!B44</f>
        <v>1194.83810702275</v>
      </c>
      <c r="E19" s="34" t="n">
        <f aca="false">D19-C19</f>
        <v>-0.00189297724728021</v>
      </c>
      <c r="F19" s="30" t="n">
        <v>0.005</v>
      </c>
      <c r="G19" s="30" t="str">
        <f aca="false">IF(ISNUMBER(D19),IF(ABS(E19)&lt;=F19,"PASS","FAIL"),"FAIL")</f>
        <v>PASS</v>
      </c>
      <c r="H19" s="30"/>
    </row>
    <row r="20" customFormat="false" ht="15" hidden="false" customHeight="false" outlineLevel="0" collapsed="false">
      <c r="A20" s="8" t="s">
        <v>168</v>
      </c>
      <c r="B20" s="8" t="s">
        <v>58</v>
      </c>
      <c r="C20" s="26" t="n">
        <v>564</v>
      </c>
      <c r="D20" s="26" t="n">
        <f aca="false">Engine!B31</f>
        <v>564</v>
      </c>
      <c r="E20" s="26" t="n">
        <f aca="false">D20-C20</f>
        <v>0</v>
      </c>
      <c r="F20" s="8" t="n">
        <v>0.005</v>
      </c>
      <c r="G20" s="8" t="str">
        <f aca="false">IF(ISNUMBER(D20),IF(ABS(E20)&lt;=F20,"PASS","FAIL"),"FAIL")</f>
        <v>PASS</v>
      </c>
      <c r="H20" s="8"/>
    </row>
    <row r="21" customFormat="false" ht="15" hidden="false" customHeight="false" outlineLevel="0" collapsed="false">
      <c r="A21" s="30" t="s">
        <v>168</v>
      </c>
      <c r="B21" s="30" t="s">
        <v>59</v>
      </c>
      <c r="C21" s="34" t="n">
        <v>791</v>
      </c>
      <c r="D21" s="34" t="n">
        <f aca="false">Engine!B32</f>
        <v>791</v>
      </c>
      <c r="E21" s="34" t="n">
        <f aca="false">D21-C21</f>
        <v>0</v>
      </c>
      <c r="F21" s="30" t="n">
        <v>0.005</v>
      </c>
      <c r="G21" s="30" t="str">
        <f aca="false">IF(ISNUMBER(D21),IF(ABS(E21)&lt;=F21,"PASS","FAIL"),"FAIL")</f>
        <v>PASS</v>
      </c>
      <c r="H21" s="30"/>
    </row>
    <row r="22" customFormat="false" ht="15" hidden="false" customHeight="false" outlineLevel="0" collapsed="false">
      <c r="A22" s="8" t="s">
        <v>168</v>
      </c>
      <c r="B22" s="8" t="s">
        <v>60</v>
      </c>
      <c r="C22" s="26" t="n">
        <v>36</v>
      </c>
      <c r="D22" s="26" t="n">
        <f aca="false">Engine!B33</f>
        <v>36</v>
      </c>
      <c r="E22" s="26" t="n">
        <f aca="false">D22-C22</f>
        <v>0</v>
      </c>
      <c r="F22" s="8" t="n">
        <v>0.005</v>
      </c>
      <c r="G22" s="8" t="str">
        <f aca="false">IF(ISNUMBER(D22),IF(ABS(E22)&lt;=F22,"PASS","FAIL"),"FAIL")</f>
        <v>PASS</v>
      </c>
      <c r="H22" s="8"/>
    </row>
    <row r="23" customFormat="false" ht="15" hidden="false" customHeight="false" outlineLevel="0" collapsed="false">
      <c r="A23" s="30" t="s">
        <v>169</v>
      </c>
      <c r="B23" s="30" t="s">
        <v>63</v>
      </c>
      <c r="C23" s="34" t="n">
        <v>383</v>
      </c>
      <c r="D23" s="34" t="n">
        <f aca="false">Engine!B36</f>
        <v>383</v>
      </c>
      <c r="E23" s="34" t="n">
        <f aca="false">D23-C23</f>
        <v>0</v>
      </c>
      <c r="F23" s="30" t="n">
        <v>0.005</v>
      </c>
      <c r="G23" s="30" t="str">
        <f aca="false">IF(ISNUMBER(D23),IF(ABS(E23)&lt;=F23,"PASS","FAIL"),"FAIL")</f>
        <v>PASS</v>
      </c>
      <c r="H23" s="30"/>
    </row>
    <row r="24" customFormat="false" ht="15" hidden="false" customHeight="false" outlineLevel="0" collapsed="false">
      <c r="A24" s="8" t="s">
        <v>170</v>
      </c>
      <c r="B24" s="8" t="s">
        <v>171</v>
      </c>
      <c r="C24" s="25" t="n">
        <v>0.129426</v>
      </c>
      <c r="D24" s="25" t="n">
        <f aca="false">'Two Adjustments'!B9</f>
        <v>0.129426324943432</v>
      </c>
      <c r="E24" s="25" t="n">
        <f aca="false">D24-C24</f>
        <v>3.24943431745384E-007</v>
      </c>
      <c r="F24" s="8" t="n">
        <v>5E-007</v>
      </c>
      <c r="G24" s="8" t="str">
        <f aca="false">IF(ISNUMBER(D24),IF(ABS(E24)&lt;=F24,"PASS","FAIL"),"FAIL")</f>
        <v>PASS</v>
      </c>
      <c r="H24" s="8" t="s">
        <v>172</v>
      </c>
    </row>
    <row r="25" customFormat="false" ht="15" hidden="false" customHeight="false" outlineLevel="0" collapsed="false">
      <c r="A25" s="30" t="s">
        <v>158</v>
      </c>
      <c r="B25" s="30" t="s">
        <v>173</v>
      </c>
      <c r="C25" s="35" t="n">
        <v>2.83</v>
      </c>
      <c r="D25" s="35" t="n">
        <f aca="false">'Two Adjustments'!B11</f>
        <v>2.82568417004752</v>
      </c>
      <c r="E25" s="35" t="n">
        <f aca="false">D25-C25</f>
        <v>-0.00431582995247615</v>
      </c>
      <c r="F25" s="30" t="n">
        <v>0.005</v>
      </c>
      <c r="G25" s="30" t="str">
        <f aca="false">IF(ISNUMBER(D25),IF(ABS(E25)&lt;=F25,"PASS","FAIL"),"FAIL")</f>
        <v>PASS</v>
      </c>
      <c r="H25" s="30" t="s">
        <v>174</v>
      </c>
    </row>
    <row r="26" customFormat="false" ht="15" hidden="false" customHeight="false" outlineLevel="0" collapsed="false">
      <c r="A26" s="8" t="s">
        <v>175</v>
      </c>
      <c r="B26" s="8" t="s">
        <v>176</v>
      </c>
      <c r="C26" s="25" t="n">
        <v>0.089657</v>
      </c>
      <c r="D26" s="25" t="n">
        <f aca="false">'Two Adjustments'!B26</f>
        <v>0.0896573918774046</v>
      </c>
      <c r="E26" s="25" t="n">
        <f aca="false">D26-C26</f>
        <v>3.91877404623542E-007</v>
      </c>
      <c r="F26" s="8" t="n">
        <v>5E-007</v>
      </c>
      <c r="G26" s="8" t="str">
        <f aca="false">IF(ISNUMBER(D26),IF(ABS(E26)&lt;=F26,"PASS","FAIL"),"FAIL")</f>
        <v>PASS</v>
      </c>
      <c r="H26" s="8" t="s">
        <v>177</v>
      </c>
    </row>
    <row r="27" customFormat="false" ht="15" hidden="false" customHeight="false" outlineLevel="0" collapsed="false">
      <c r="A27" s="30" t="s">
        <v>175</v>
      </c>
      <c r="B27" s="30" t="s">
        <v>178</v>
      </c>
      <c r="C27" s="33" t="n">
        <v>0.060248</v>
      </c>
      <c r="D27" s="33" t="n">
        <f aca="false">'Two Adjustments'!B27</f>
        <v>0.0602477255855936</v>
      </c>
      <c r="E27" s="33" t="n">
        <f aca="false">D27-C27</f>
        <v>-2.74414406455092E-007</v>
      </c>
      <c r="F27" s="30" t="n">
        <v>5E-007</v>
      </c>
      <c r="G27" s="30" t="str">
        <f aca="false">IF(ISNUMBER(D27),IF(ABS(E27)&lt;=F27,"PASS","FAIL"),"FAIL")</f>
        <v>PASS</v>
      </c>
      <c r="H27" s="30" t="s">
        <v>179</v>
      </c>
    </row>
    <row r="28" customFormat="false" ht="15" hidden="false" customHeight="false" outlineLevel="0" collapsed="false">
      <c r="A28" s="8" t="s">
        <v>165</v>
      </c>
      <c r="B28" s="8" t="s">
        <v>180</v>
      </c>
      <c r="C28" s="26" t="n">
        <v>130.87</v>
      </c>
      <c r="D28" s="26" t="n">
        <f aca="false">'Two Adjustments'!B36</f>
        <v>130.87</v>
      </c>
      <c r="E28" s="26" t="n">
        <f aca="false">D28-C28</f>
        <v>0</v>
      </c>
      <c r="F28" s="8" t="n">
        <v>0.005</v>
      </c>
      <c r="G28" s="8" t="str">
        <f aca="false">IF(ISNUMBER(D28),IF(ABS(E28)&lt;=F28,"PASS","FAIL"),"FAIL")</f>
        <v>PASS</v>
      </c>
      <c r="H28" s="8"/>
    </row>
    <row r="29" customFormat="false" ht="15" hidden="false" customHeight="false" outlineLevel="0" collapsed="false">
      <c r="A29" s="30" t="s">
        <v>165</v>
      </c>
      <c r="B29" s="30" t="s">
        <v>181</v>
      </c>
      <c r="C29" s="34" t="n">
        <v>0</v>
      </c>
      <c r="D29" s="34" t="n">
        <f aca="false">'Two Adjustments'!B37-Engine!K14</f>
        <v>0</v>
      </c>
      <c r="E29" s="34" t="n">
        <f aca="false">D29-C29</f>
        <v>0</v>
      </c>
      <c r="F29" s="30" t="n">
        <v>1E-009</v>
      </c>
      <c r="G29" s="30" t="str">
        <f aca="false">IF(ISNUMBER(D29),IF(ABS(E29)&lt;=F29,"PASS","FAIL"),"FAIL")</f>
        <v>PASS</v>
      </c>
      <c r="H29" s="30" t="s">
        <v>182</v>
      </c>
    </row>
    <row r="30" customFormat="false" ht="15" hidden="false" customHeight="false" outlineLevel="0" collapsed="false">
      <c r="A30" s="8" t="s">
        <v>153</v>
      </c>
      <c r="B30" s="8" t="s">
        <v>141</v>
      </c>
      <c r="C30" s="26" t="n">
        <v>344.23</v>
      </c>
      <c r="D30" s="26" t="n">
        <f aca="false">'Two Adjustments'!B38</f>
        <v>344.229331027093</v>
      </c>
      <c r="E30" s="26" t="n">
        <f aca="false">D30-C30</f>
        <v>-0.000668972906851195</v>
      </c>
      <c r="F30" s="8" t="n">
        <v>0.005</v>
      </c>
      <c r="G30" s="8" t="str">
        <f aca="false">IF(ISNUMBER(D30),IF(ABS(E30)&lt;=F30,"PASS","FAIL"),"FAIL")</f>
        <v>PASS</v>
      </c>
      <c r="H30" s="8"/>
    </row>
    <row r="31" customFormat="false" ht="15" hidden="false" customHeight="false" outlineLevel="0" collapsed="false">
      <c r="A31" s="30" t="s">
        <v>153</v>
      </c>
      <c r="B31" s="30" t="s">
        <v>183</v>
      </c>
      <c r="C31" s="34" t="n">
        <v>93.98</v>
      </c>
      <c r="D31" s="34" t="n">
        <f aca="false">'Two Adjustments'!B39</f>
        <v>93.9835804333504</v>
      </c>
      <c r="E31" s="34" t="n">
        <f aca="false">D31-C31</f>
        <v>0.00358043335042169</v>
      </c>
      <c r="F31" s="30" t="n">
        <v>0.005</v>
      </c>
      <c r="G31" s="30" t="str">
        <f aca="false">IF(ISNUMBER(D31),IF(ABS(E31)&lt;=F31,"PASS","FAIL"),"FAIL")</f>
        <v>PASS</v>
      </c>
      <c r="H31" s="30" t="s">
        <v>184</v>
      </c>
    </row>
    <row r="32" customFormat="false" ht="15" hidden="false" customHeight="false" outlineLevel="0" collapsed="false">
      <c r="A32" s="8" t="s">
        <v>153</v>
      </c>
      <c r="B32" s="8" t="s">
        <v>185</v>
      </c>
      <c r="C32" s="26" t="n">
        <v>226.62</v>
      </c>
      <c r="D32" s="26" t="n">
        <f aca="false">Engine!E14</f>
        <v>226.6151376192</v>
      </c>
      <c r="E32" s="26" t="n">
        <f aca="false">D32-C32</f>
        <v>-0.00486238079992063</v>
      </c>
      <c r="F32" s="8" t="n">
        <v>0.005</v>
      </c>
      <c r="G32" s="8" t="str">
        <f aca="false">IF(ISNUMBER(D32),IF(ABS(E32)&lt;=F32,"PASS","FAIL"),"FAIL")</f>
        <v>PASS</v>
      </c>
      <c r="H32" s="8"/>
    </row>
    <row r="33" customFormat="false" ht="15" hidden="false" customHeight="false" outlineLevel="0" collapsed="false">
      <c r="A33" s="30" t="s">
        <v>153</v>
      </c>
      <c r="B33" s="30" t="s">
        <v>186</v>
      </c>
      <c r="C33" s="34" t="n">
        <v>25.04</v>
      </c>
      <c r="D33" s="34" t="n">
        <f aca="false">Engine!H13</f>
        <v>25.0386488072572</v>
      </c>
      <c r="E33" s="34" t="n">
        <f aca="false">D33-C33</f>
        <v>-0.00135119274283824</v>
      </c>
      <c r="F33" s="30" t="n">
        <v>0.005</v>
      </c>
      <c r="G33" s="30" t="str">
        <f aca="false">IF(ISNUMBER(D33),IF(ABS(E33)&lt;=F33,"PASS","FAIL"),"FAIL")</f>
        <v>PASS</v>
      </c>
      <c r="H33" s="30"/>
    </row>
    <row r="34" customFormat="false" ht="15" hidden="false" customHeight="false" outlineLevel="0" collapsed="false">
      <c r="A34" s="8" t="s">
        <v>158</v>
      </c>
      <c r="B34" s="8" t="s">
        <v>187</v>
      </c>
      <c r="C34" s="25" t="n">
        <v>0</v>
      </c>
      <c r="D34" s="25" t="n">
        <f aca="false">'The Three Returns'!B34+'The Three Returns'!B30-'The Three Returns'!B29</f>
        <v>0</v>
      </c>
      <c r="E34" s="25" t="n">
        <f aca="false">D34-C34</f>
        <v>0</v>
      </c>
      <c r="F34" s="8" t="n">
        <v>1E-012</v>
      </c>
      <c r="G34" s="8" t="str">
        <f aca="false">IF(ISNUMBER(D34),IF(ABS(E34)&lt;=F34,"PASS","FAIL"),"FAIL")</f>
        <v>PASS</v>
      </c>
      <c r="H34" s="8" t="s">
        <v>182</v>
      </c>
    </row>
    <row r="35" customFormat="false" ht="15" hidden="false" customHeight="false" outlineLevel="0" collapsed="false">
      <c r="A35" s="30" t="s">
        <v>158</v>
      </c>
      <c r="B35" s="30" t="s">
        <v>188</v>
      </c>
      <c r="C35" s="33" t="n">
        <v>0.070365</v>
      </c>
      <c r="D35" s="33" t="n">
        <f aca="false">'The Three Returns'!B34+'The Three Returns'!B35</f>
        <v>0.0703646729231912</v>
      </c>
      <c r="E35" s="33" t="n">
        <f aca="false">D35-C35</f>
        <v>-3.27076808817606E-007</v>
      </c>
      <c r="F35" s="30" t="n">
        <v>5E-007</v>
      </c>
      <c r="G35" s="30" t="str">
        <f aca="false">IF(ISNUMBER(D35),IF(ABS(E35)&lt;=F35,"PASS","FAIL"),"FAIL")</f>
        <v>PASS</v>
      </c>
      <c r="H35" s="30" t="s">
        <v>189</v>
      </c>
    </row>
    <row r="37" customFormat="false" ht="15" hidden="false" customHeight="false" outlineLevel="0" collapsed="false">
      <c r="B37" s="8" t="s">
        <v>190</v>
      </c>
      <c r="C37" s="36" t="n">
        <f aca="false">COUNTIF(G6:G35,"PASS")</f>
        <v>30</v>
      </c>
    </row>
    <row r="38" customFormat="false" ht="15" hidden="false" customHeight="false" outlineLevel="0" collapsed="false">
      <c r="B38" s="8" t="s">
        <v>191</v>
      </c>
      <c r="C38" s="36" t="n">
        <f aca="false">COUNTIF(G6:G35,"FAIL")</f>
        <v>0</v>
      </c>
    </row>
    <row r="39" customFormat="false" ht="15" hidden="false" customHeight="false" outlineLevel="0" collapsed="false">
      <c r="B39" s="37" t="s">
        <v>192</v>
      </c>
      <c r="C39" s="37" t="str">
        <f aca="false">IF(C38=0,"ALL OK",C38&amp;"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2026-08-29T05:09:17Z</dcterms:created>
  <dc:creator>openpyxl</dc:creator>
  <dc:description/>
  <dc:language>en-US</dc:language>
  <cp:lastModifiedBy/>
  <dcterms:modified xsi:type="dcterms:W3CDTF">2026-09-24T01:15:26Z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