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Market_Analysis" sheetId="3" state="visible" r:id="rId5"/>
    <sheet name="Operating_Statements" sheetId="4" state="visible" r:id="rId6"/>
    <sheet name="Cap_Rate" sheetId="5" state="visible" r:id="rId7"/>
    <sheet name="Direct_Cap" sheetId="6" state="visible" r:id="rId8"/>
    <sheet name="DCF" sheetId="7" state="visible" r:id="rId9"/>
    <sheet name="Lending" sheetId="8" state="visible" r:id="rId10"/>
    <sheet name="Review" sheetId="9" state="visible" r:id="rId11"/>
    <sheet name="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<sst xmlns="http://schemas.openxmlformats.org/spreadsheetml/2006/main" count="1537" uniqueCount="905">
  <si>
    <t xml:space="preserve">Appraisal_Income_Approach.xlsx: the income approach to Kestrel Park Apartments</t>
  </si>
  <si>
    <t xml:space="preserve">Companion workbook to Real Estate Appraisal: Appraisal by the Numbers: The Three Approaches, Reconciliation, and Why the Appraised Value Differs from the Price, With the Models Supplied. By Julian R. Sterling. julianrsterling.com/appraisal</t>
  </si>
  <si>
    <t xml:space="preserve">What it is</t>
  </si>
  <si>
    <t xml:space="preserve">The subject and its rent roll, the Westlake market analysis, the three operating statements, the cap rate three ways, direct capitalization with its sensitivities, the appraiser's ten-year DCF, the lender's loan sizing and the construction case, and the five review errors quantified.</t>
  </si>
  <si>
    <t xml:space="preserve">Where it is in the book</t>
  </si>
  <si>
    <t xml:space="preserve">Chapters 4 to 8 (the market, the statements, the cap rate, direct capitalization, the DCF), Chapter 18 (lending) and Chapter 19 (review).</t>
  </si>
  <si>
    <t xml:space="preserve">Sheets</t>
  </si>
  <si>
    <t xml:space="preserve">Assumptions; Market_Analysis; Operating_Statements; Cap_Rate; Direct_Cap; DCF; Lending; Review; Checks.</t>
  </si>
  <si>
    <t xml:space="preserve">Conventions</t>
  </si>
  <si>
    <t xml:space="preserve">Yellow cells with blue type are inputs; grey cells are formulas. Change an input and every sheet follows. Money in US dollars, annual figures unless a label says a month. Rents are monthly per unit. A cap rate is NOI divided by price, with NOI on the appraiser's basis (market management fee and reserves). Commercial values are rounded to 50,000 and residential values to 1,000 only where the book rounds. No macros, no circular references, no external links, nothing locked, protected or hidden.</t>
  </si>
  <si>
    <t xml:space="preserve">Kestrel Park Apartments, Auberon, the Westlake submarket, every comparable, party and person are fictional. Every rent, expense, cap rate and cost figure is the book's assumption, not market data.</t>
  </si>
  <si>
    <t xml:space="preserve">Checks</t>
  </si>
  <si>
    <t xml:space="preserve">The last sheet, Checks, sets every figure the book prints from this workbook beside the live cell that computes it, with a tolerance of half a unit of the last printed digit, plus logic checks. Its global status reads PASS only if every check passes.</t>
  </si>
  <si>
    <t xml:space="preserve">The file is provided without warranty of any kind. It is a teaching model, not an appraisal, and not investment, legal or tax advice.</t>
  </si>
  <si>
    <t xml:space="preserve">Assumptions: the subject, the rent roll, the rent comparables and the operating inputs</t>
  </si>
  <si>
    <t xml:space="preserve">Yellow cells with blue type are inputs; change one and every sheet follows. Kestrel Park Apartments is fictional; every figure is the book's assumption.</t>
  </si>
  <si>
    <t xml:space="preserve">The subject: Kestrel Park Apartments, Westlake submarket, Auberon</t>
  </si>
  <si>
    <t xml:space="preserve">Units</t>
  </si>
  <si>
    <t xml:space="preserve">Year built</t>
  </si>
  <si>
    <t xml:space="preserve">Year of the effective date</t>
  </si>
  <si>
    <t xml:space="preserve">effective date January 12, 2026</t>
  </si>
  <si>
    <t xml:space="preserve">Actual age at the effective date, years</t>
  </si>
  <si>
    <t xml:space="preserve">Site, acres</t>
  </si>
  <si>
    <t xml:space="preserve">Site, square feet</t>
  </si>
  <si>
    <t xml:space="preserve">Zoning: maximum units per acre</t>
  </si>
  <si>
    <t xml:space="preserve">RM-2 district, invented</t>
  </si>
  <si>
    <t xml:space="preserve">Units allowed on the site as vacant (whole units)</t>
  </si>
  <si>
    <t xml:space="preserve">Gross building area, square feet</t>
  </si>
  <si>
    <t xml:space="preserve">Units occupied at inspection</t>
  </si>
  <si>
    <t xml:space="preserve">Physical occupancy at inspection</t>
  </si>
  <si>
    <t xml:space="preserve">Vacant units at inspection</t>
  </si>
  <si>
    <t xml:space="preserve">Unit mix and rents (rents a month per unit)</t>
  </si>
  <si>
    <t xml:space="preserve">Unit type</t>
  </si>
  <si>
    <t xml:space="preserve">Square feet</t>
  </si>
  <si>
    <t xml:space="preserve">Market rent</t>
  </si>
  <si>
    <t xml:space="preserve">Contract rent</t>
  </si>
  <si>
    <t xml:space="preserve">Loss to lease</t>
  </si>
  <si>
    <t xml:space="preserve">Market rent a year</t>
  </si>
  <si>
    <t xml:space="preserve">Contract rent a year</t>
  </si>
  <si>
    <t xml:space="preserve">Market rent per sf</t>
  </si>
  <si>
    <t xml:space="preserve">One bedroom, one bath</t>
  </si>
  <si>
    <t xml:space="preserve">Two bedroom, two bath</t>
  </si>
  <si>
    <t xml:space="preserve">Three bedroom, two bath</t>
  </si>
  <si>
    <t xml:space="preserve">Total</t>
  </si>
  <si>
    <t xml:space="preserve">Net rentable area, square feet</t>
  </si>
  <si>
    <t xml:space="preserve">Average unit size, square feet</t>
  </si>
  <si>
    <t xml:space="preserve">Loss to lease: market less contract rent, a year</t>
  </si>
  <si>
    <t xml:space="preserve">Loss to lease as a share of market rent</t>
  </si>
  <si>
    <t xml:space="preserve">Average market rent per unit a month</t>
  </si>
  <si>
    <t xml:space="preserve">Average contract rent per unit a month</t>
  </si>
  <si>
    <t xml:space="preserve">Average market rent per square foot a month</t>
  </si>
  <si>
    <t xml:space="preserve">Other income per unit a month (fees, parking, laundry, pet rent)</t>
  </si>
  <si>
    <t xml:space="preserve">Other income a year</t>
  </si>
  <si>
    <t xml:space="preserve">Deferred maintenance: roofs (property condition assessment)</t>
  </si>
  <si>
    <t xml:space="preserve">Deferred maintenance per unit</t>
  </si>
  <si>
    <t xml:space="preserve">Share of one year's loss to lease lost while leases roll (as-is deduction)</t>
  </si>
  <si>
    <t xml:space="preserve">Rent comparables (asking rents at the effective date)</t>
  </si>
  <si>
    <t xml:space="preserve">#</t>
  </si>
  <si>
    <t xml:space="preserve">Property</t>
  </si>
  <si>
    <t xml:space="preserve">Asking rent a month</t>
  </si>
  <si>
    <t xml:space="preserve">Rent per sf a month</t>
  </si>
  <si>
    <t xml:space="preserve">Note</t>
  </si>
  <si>
    <t xml:space="preserve">Larkin Ridge</t>
  </si>
  <si>
    <t xml:space="preserve">One bedroom</t>
  </si>
  <si>
    <t xml:space="preserve">similar interiors, superior location</t>
  </si>
  <si>
    <t xml:space="preserve">Alder Bend</t>
  </si>
  <si>
    <t xml:space="preserve">similar interiors, inferior location</t>
  </si>
  <si>
    <t xml:space="preserve">Fenwick Lofts</t>
  </si>
  <si>
    <t xml:space="preserve">similar interiors, same corridor</t>
  </si>
  <si>
    <t xml:space="preserve">Two bedroom</t>
  </si>
  <si>
    <t xml:space="preserve">Windrow Flats</t>
  </si>
  <si>
    <t xml:space="preserve">renovated interiors</t>
  </si>
  <si>
    <t xml:space="preserve">Three bedroom</t>
  </si>
  <si>
    <t xml:space="preserve">One bedroom comparables: lowest asking rent</t>
  </si>
  <si>
    <t xml:space="preserve">One bedroom comparables: highest asking rent</t>
  </si>
  <si>
    <t xml:space="preserve">Two bedroom comparables: lowest asking rent</t>
  </si>
  <si>
    <t xml:space="preserve">Two bedroom comparables: highest asking rent</t>
  </si>
  <si>
    <t xml:space="preserve">Three bedroom comparables: lowest asking rent</t>
  </si>
  <si>
    <t xml:space="preserve">Three bedroom comparables: highest asking rent</t>
  </si>
  <si>
    <t xml:space="preserve">Vacancy, management, taxes and reserves</t>
  </si>
  <si>
    <t xml:space="preserve">Market vacancy allowance (the appraiser's)</t>
  </si>
  <si>
    <t xml:space="preserve">Collection loss allowance</t>
  </si>
  <si>
    <t xml:space="preserve">Vacancy and collection loss, total</t>
  </si>
  <si>
    <t xml:space="preserve">Owner's vacancy and collection loss, trailing twelve months (actual)</t>
  </si>
  <si>
    <t xml:space="preserve">Owner's management fee, share of EGI (an affiliate's fee)</t>
  </si>
  <si>
    <t xml:space="preserve">Appraiser's management fee, share of EGI (market fee)</t>
  </si>
  <si>
    <t xml:space="preserve">Buyer's management fee, share of EGI (affiliated manager)</t>
  </si>
  <si>
    <t xml:space="preserve">Assessment ratio of the county (assessed value / market value)</t>
  </si>
  <si>
    <t xml:space="preserve">Effective tax rate on assessed value</t>
  </si>
  <si>
    <t xml:space="preserve">Operating expense lines: the owner's trailing twelve months, the appraiser's and the buyer's per unit</t>
  </si>
  <si>
    <t xml:space="preserve">Expense line</t>
  </si>
  <si>
    <t xml:space="preserve">Owner, a year (actual)</t>
  </si>
  <si>
    <t xml:space="preserve">Appraiser, per unit</t>
  </si>
  <si>
    <t xml:space="preserve">Buyer, per unit</t>
  </si>
  <si>
    <t xml:space="preserve">Real estate taxes</t>
  </si>
  <si>
    <t xml:space="preserve">Insurance</t>
  </si>
  <si>
    <t xml:space="preserve">Utilities</t>
  </si>
  <si>
    <t xml:space="preserve">Repairs and maintenance</t>
  </si>
  <si>
    <t xml:space="preserve">Payroll</t>
  </si>
  <si>
    <t xml:space="preserve">Administrative and marketing</t>
  </si>
  <si>
    <t xml:space="preserve">Turnover</t>
  </si>
  <si>
    <t xml:space="preserve">Replacement reserves</t>
  </si>
  <si>
    <t xml:space="preserve">DCF parameters</t>
  </si>
  <si>
    <t xml:space="preserve">Discount rate (investor interviews; the yield built from the cap rate and growth)</t>
  </si>
  <si>
    <t xml:space="preserve">Terminal cap rate</t>
  </si>
  <si>
    <t xml:space="preserve">Selling costs at reversion</t>
  </si>
  <si>
    <t xml:space="preserve">Expense growth a year</t>
  </si>
  <si>
    <t xml:space="preserve">Other income growth a year</t>
  </si>
  <si>
    <t xml:space="preserve">Holding period, years (the layout holds ten years and a reversion year)</t>
  </si>
  <si>
    <t xml:space="preserve">Reference values (from the reconciliation workbook and the contract)</t>
  </si>
  <si>
    <t xml:space="preserve">Market value as is, the appraiser's opinion (reconciliation workbook)</t>
  </si>
  <si>
    <t xml:space="preserve">Contract price</t>
  </si>
  <si>
    <t xml:space="preserve">Market analysis: the Westlake submarket, supply, demand, the vacancy path and the rent growth rule</t>
  </si>
  <si>
    <t xml:space="preserve">Vacancy = 1 - occupied / inventory; each year adds the deliveries to inventory and the new renter households to occupied units. Rent growth = trend growth less the slope times the vacancy above the stabilized rate.</t>
  </si>
  <si>
    <t xml:space="preserve">Supply and demand at the effective date</t>
  </si>
  <si>
    <t xml:space="preserve">Submarket inventory, units (properties of 50 units and more)</t>
  </si>
  <si>
    <t xml:space="preserve">Submarket occupancy at the effective date</t>
  </si>
  <si>
    <t xml:space="preserve">Occupied units in the submarket</t>
  </si>
  <si>
    <t xml:space="preserve">Net absorption 2023, units</t>
  </si>
  <si>
    <t xml:space="preserve">Net absorption 2024, units</t>
  </si>
  <si>
    <t xml:space="preserve">Net absorption 2025, units</t>
  </si>
  <si>
    <t xml:space="preserve">Average net absorption of the last three years, units a year</t>
  </si>
  <si>
    <t xml:space="preserve">Projected demand: new renter households a year</t>
  </si>
  <si>
    <t xml:space="preserve">the appraiser's estimate from household growth and the renter share</t>
  </si>
  <si>
    <t xml:space="preserve">Stabilized vacancy: the rate at which rents grow at trend</t>
  </si>
  <si>
    <t xml:space="preserve">Trend rent growth at the stabilized vacancy</t>
  </si>
  <si>
    <t xml:space="preserve">Points of rent growth lost per point of vacancy above the stabilized rate</t>
  </si>
  <si>
    <t xml:space="preserve">Long-run rent growth, DCF years 7 to 11</t>
  </si>
  <si>
    <t xml:space="preserve">The vacancy path, years 0 to 5 (year 0 = the effective date, year 1 = 2026)</t>
  </si>
  <si>
    <t xml:space="preserve">Year</t>
  </si>
  <si>
    <t xml:space="preserve">Year 0</t>
  </si>
  <si>
    <t xml:space="preserve">Year 1</t>
  </si>
  <si>
    <t xml:space="preserve">Year 2</t>
  </si>
  <si>
    <t xml:space="preserve">Year 3</t>
  </si>
  <si>
    <t xml:space="preserve">Year 4</t>
  </si>
  <si>
    <t xml:space="preserve">Year 5</t>
  </si>
  <si>
    <t xml:space="preserve">Units delivered in the year</t>
  </si>
  <si>
    <t xml:space="preserve">New renter households in the year (demand)</t>
  </si>
  <si>
    <t xml:space="preserve">Inventory at the end of the year, units</t>
  </si>
  <si>
    <t xml:space="preserve">Occupied units at the end of the year</t>
  </si>
  <si>
    <t xml:space="preserve">Vacancy at the end of the year</t>
  </si>
  <si>
    <t xml:space="preserve">Market rent growth applied in the following DCF year</t>
  </si>
  <si>
    <t xml:space="preserve">Units under construction, delivering over the next two years</t>
  </si>
  <si>
    <t xml:space="preserve">Projected deliveries over five years, units</t>
  </si>
  <si>
    <t xml:space="preserve">Projected demand over five years, units</t>
  </si>
  <si>
    <t xml:space="preserve">Peak projected submarket vacancy</t>
  </si>
  <si>
    <t xml:space="preserve">Average rent growth of DCF years 2 to 6</t>
  </si>
  <si>
    <t xml:space="preserve">Operating statements: the owner's trailing twelve months, the appraiser's reconstruction, the buyer's</t>
  </si>
  <si>
    <t xml:space="preserve">Per unit and total, side by side. The owner shows contract rents and actual vacancy; the appraiser and the buyer show market rents and a 5.0 percent allowance. Only the appraiser's NOI goes with the cap rate.</t>
  </si>
  <si>
    <t xml:space="preserve">Line</t>
  </si>
  <si>
    <t xml:space="preserve">Owner per unit</t>
  </si>
  <si>
    <t xml:space="preserve">Owner total</t>
  </si>
  <si>
    <t xml:space="preserve">Appraiser per unit</t>
  </si>
  <si>
    <t xml:space="preserve">Appraiser total</t>
  </si>
  <si>
    <t xml:space="preserve">Buyer per unit</t>
  </si>
  <si>
    <t xml:space="preserve">Buyer total</t>
  </si>
  <si>
    <t xml:space="preserve">Gross potential rent (owner: contract rents; appraiser and buyer: market rents)</t>
  </si>
  <si>
    <t xml:space="preserve">Other income</t>
  </si>
  <si>
    <t xml:space="preserve">Less vacancy and collection loss</t>
  </si>
  <si>
    <t xml:space="preserve">Effective gross income</t>
  </si>
  <si>
    <t xml:space="preserve">Operating expenses</t>
  </si>
  <si>
    <t xml:space="preserve">Management fee (share of EGI)</t>
  </si>
  <si>
    <t xml:space="preserve">Total operating expenses</t>
  </si>
  <si>
    <t xml:space="preserve">Net operating income</t>
  </si>
  <si>
    <t xml:space="preserve">Ratios</t>
  </si>
  <si>
    <t xml:space="preserve">Vacancy and collection loss, share of gross income</t>
  </si>
  <si>
    <t xml:space="preserve">Management fee, share of EGI</t>
  </si>
  <si>
    <t xml:space="preserve">Operating expense ratio (expenses / EGI)</t>
  </si>
  <si>
    <t xml:space="preserve">Differences between the statements</t>
  </si>
  <si>
    <t xml:space="preserve">Owner's NOI less appraiser's NOI</t>
  </si>
  <si>
    <t xml:space="preserve">Owner's NOI above the appraiser's, percent</t>
  </si>
  <si>
    <t xml:space="preserve">Appraiser's expenses less owner's expenses</t>
  </si>
  <si>
    <t xml:space="preserve">Appraiser's EGI less owner's EGI</t>
  </si>
  <si>
    <t xml:space="preserve">Buyer's NOI less appraiser's NOI</t>
  </si>
  <si>
    <t xml:space="preserve">Appraiser's taxes less owner's taxes</t>
  </si>
  <si>
    <t xml:space="preserve">Taxes after reassessment (assessment ratio x effective rate)</t>
  </si>
  <si>
    <t xml:space="preserve">Taxes implied by reassessment at the appraised value</t>
  </si>
  <si>
    <t xml:space="preserve">Taxes implied by reassessment at the contract price</t>
  </si>
  <si>
    <t xml:space="preserve">Reassessment at the price: taxes above the appraiser's estimate</t>
  </si>
  <si>
    <t xml:space="preserve">The cap rate, three ways: extraction from five sales, band of investment, debt coverage method</t>
  </si>
  <si>
    <t xml:space="preserve">Brokers report NOI without reserves and with a 3.0 percent fee. Each reported NOI is restated to the appraiser's basis before its cap rate is read: reserves off, management raised by half a point of EGI.</t>
  </si>
  <si>
    <t xml:space="preserve">Restatement parameters</t>
  </si>
  <si>
    <t xml:space="preserve">Expense ratio assumed in the brokers' NOIs (EGI = NOI / (1 - ratio))</t>
  </si>
  <si>
    <t xml:space="preserve">Management fee in the brokers' NOIs</t>
  </si>
  <si>
    <t xml:space="preserve">Appraiser's management fee (Assumptions)</t>
  </si>
  <si>
    <t xml:space="preserve">Replacement reserves per unit a year (the appraiser's basis)</t>
  </si>
  <si>
    <t xml:space="preserve">Replacement reserves a year on the subject</t>
  </si>
  <si>
    <t xml:space="preserve">The five improved sales</t>
  </si>
  <si>
    <t xml:space="preserve">Sale</t>
  </si>
  <si>
    <t xml:space="preserve">Built</t>
  </si>
  <si>
    <t xml:space="preserve">Months</t>
  </si>
  <si>
    <t xml:space="preserve">Price</t>
  </si>
  <si>
    <t xml:space="preserve">Price per unit</t>
  </si>
  <si>
    <t xml:space="preserve">Avg unit sf</t>
  </si>
  <si>
    <t xml:space="preserve">Price per sf</t>
  </si>
  <si>
    <t xml:space="preserve">NOI reported</t>
  </si>
  <si>
    <t xml:space="preserve">EGI reported</t>
  </si>
  <si>
    <t xml:space="preserve">Reserves</t>
  </si>
  <si>
    <t xml:space="preserve">Management adj.</t>
  </si>
  <si>
    <t xml:space="preserve">NOI restated</t>
  </si>
  <si>
    <t xml:space="preserve">Cap reported</t>
  </si>
  <si>
    <t xml:space="preserve">Cap restated</t>
  </si>
  <si>
    <t xml:space="preserve">EGIM</t>
  </si>
  <si>
    <t xml:space="preserve">Sable Creek</t>
  </si>
  <si>
    <t xml:space="preserve">Merriwether Place</t>
  </si>
  <si>
    <t xml:space="preserve">Lowest</t>
  </si>
  <si>
    <t xml:space="preserve">Highest</t>
  </si>
  <si>
    <t xml:space="preserve">Mean</t>
  </si>
  <si>
    <t xml:space="preserve">Mean reported less mean restated, points</t>
  </si>
  <si>
    <t xml:space="preserve">Average age of the five sales at the effective date, months</t>
  </si>
  <si>
    <t xml:space="preserve">Method 1: extraction, the concluded rate</t>
  </si>
  <si>
    <t xml:space="preserve">Cap rate concluded from the restated range (the appraiser's judgment)</t>
  </si>
  <si>
    <t xml:space="preserve">Method 2: band of investment</t>
  </si>
  <si>
    <t xml:space="preserve">Loan to value of typical financing</t>
  </si>
  <si>
    <t xml:space="preserve">Mortgage interest rate</t>
  </si>
  <si>
    <t xml:space="preserve">Amortization, years</t>
  </si>
  <si>
    <t xml:space="preserve">Equity dividend rate (first-year cash on cash, investor interviews)</t>
  </si>
  <si>
    <t xml:space="preserve">Annual mortgage constant: 12 x PMT on one dollar</t>
  </si>
  <si>
    <t xml:space="preserve">Monthly payment per $1,000 of loan</t>
  </si>
  <si>
    <t xml:space="preserve">Debt component: LTV x constant</t>
  </si>
  <si>
    <t xml:space="preserve">Equity component: (1 - LTV) x equity dividend rate</t>
  </si>
  <si>
    <t xml:space="preserve">Cap rate by band of investment</t>
  </si>
  <si>
    <t xml:space="preserve">Method 3: debt coverage ratio</t>
  </si>
  <si>
    <t xml:space="preserve">Debt coverage ratio required by lenders</t>
  </si>
  <si>
    <t xml:space="preserve">Cap rate by the debt coverage method: DCR x constant x LTV</t>
  </si>
  <si>
    <t xml:space="preserve">Why the three do not agree, and the rates the subject implies</t>
  </si>
  <si>
    <t xml:space="preserve">Band of investment less extraction, points</t>
  </si>
  <si>
    <t xml:space="preserve">Extraction less debt coverage method, points</t>
  </si>
  <si>
    <t xml:space="preserve">Cap rate less mortgage rate (negative leverage), points</t>
  </si>
  <si>
    <t xml:space="preserve">Discount rate less long-run growth (the yield less growth reading)</t>
  </si>
  <si>
    <t xml:space="preserve">Appraiser's NOI / final value: the rate the appraised value implies</t>
  </si>
  <si>
    <t xml:space="preserve">Appraiser's NOI / contract price: the rate the buyer paid on that NOI</t>
  </si>
  <si>
    <t xml:space="preserve">Owner's NOI / contract price: the rate quoted in the marketing</t>
  </si>
  <si>
    <t xml:space="preserve">Buyer's NOI / contract price: the buyer's going-in rate</t>
  </si>
  <si>
    <t xml:space="preserve">Direct capitalization: as stabilized, the as-is deductions, as is, and the sensitivities</t>
  </si>
  <si>
    <t xml:space="preserve">Value as stabilized = appraiser's NOI / cap rate. As is = as stabilized less the roofs and half a year of loss to lease. Rounded to the nearest 50,000, as the appraiser rounds.</t>
  </si>
  <si>
    <t xml:space="preserve">Appraiser's NOI (Operating_Statements)</t>
  </si>
  <si>
    <t xml:space="preserve">Cap rate by extraction (Cap_Rate)</t>
  </si>
  <si>
    <t xml:space="preserve">Value as stabilized: NOI / cap rate</t>
  </si>
  <si>
    <t xml:space="preserve">Per unit, as stabilized</t>
  </si>
  <si>
    <t xml:space="preserve">Less deferred maintenance (the roofs)</t>
  </si>
  <si>
    <t xml:space="preserve">Less loss to lease while leases roll (share of one year)</t>
  </si>
  <si>
    <t xml:space="preserve">As-is deductions, total</t>
  </si>
  <si>
    <t xml:space="preserve">Value as is, before rounding</t>
  </si>
  <si>
    <t xml:space="preserve">Value as is, rounded to 50,000 (the indication)</t>
  </si>
  <si>
    <t xml:space="preserve">Sensitivity 1: the cap rate (value as is)</t>
  </si>
  <si>
    <t xml:space="preserve">Cap rate</t>
  </si>
  <si>
    <t xml:space="preserve">Value as is</t>
  </si>
  <si>
    <t xml:space="preserve">Change from the base</t>
  </si>
  <si>
    <t xml:space="preserve">Value gained by 25 basis points (5.75 to 5.50)</t>
  </si>
  <si>
    <t xml:space="preserve">Value lost by 25 basis points (5.75 to 6.00)</t>
  </si>
  <si>
    <t xml:space="preserve">25 basis points down, in percent of value</t>
  </si>
  <si>
    <t xml:space="preserve">Sensitivity 2: vacancy and collection loss (value as is; fixed expenses held, management follows EGI)</t>
  </si>
  <si>
    <t xml:space="preserve">Vacancy and collection loss</t>
  </si>
  <si>
    <t xml:space="preserve">Value per point of vacancy</t>
  </si>
  <si>
    <t xml:space="preserve">Sensitivity 3: the expense ratio (value as is; NOI = EGI x (1 - ratio))</t>
  </si>
  <si>
    <t xml:space="preserve">Expense ratio</t>
  </si>
  <si>
    <t xml:space="preserve">Value per two points of expense ratio</t>
  </si>
  <si>
    <t xml:space="preserve">Two rules of thumb</t>
  </si>
  <si>
    <t xml:space="preserve">Value per $10,000 of NOI at the cap rate</t>
  </si>
  <si>
    <t xml:space="preserve">Value of $10 a month of rent on every unit, after vacancy and management</t>
  </si>
  <si>
    <t xml:space="preserve">The appraiser's DCF: ten years of cash flow and the reversion, years in columns</t>
  </si>
  <si>
    <t xml:space="preserve">Year 1 rent = market rent less half the loss to lease; from year 2 the market rent grows at the rate the market analysis produces. Roofs in year 1. Reversion = year 11 NOI / terminal rate, less selling costs, discounted from the end of year 10.</t>
  </si>
  <si>
    <t xml:space="preserve">Parameters (Assumptions and Market_Analysis)</t>
  </si>
  <si>
    <t xml:space="preserve">Discount rate</t>
  </si>
  <si>
    <t xml:space="preserve">Terminal less going-in cap rate, points</t>
  </si>
  <si>
    <t xml:space="preserve">Fixed operating expenses of year 1 (appraiser's expenses before management)</t>
  </si>
  <si>
    <t xml:space="preserve">Cash flows, years 1 to 11</t>
  </si>
  <si>
    <t xml:space="preserve">Market rent growth applied in the year</t>
  </si>
  <si>
    <t xml:space="preserve">Market rent, all units (potential)</t>
  </si>
  <si>
    <t xml:space="preserve">Rental income (contract rents rolling to market in year 1)</t>
  </si>
  <si>
    <t xml:space="preserve">Fixed operating expenses (before management)</t>
  </si>
  <si>
    <t xml:space="preserve">Management fee</t>
  </si>
  <si>
    <t xml:space="preserve">Capital items</t>
  </si>
  <si>
    <t xml:space="preserve">Cash flow (NOI less capital items)</t>
  </si>
  <si>
    <t xml:space="preserve">Discount factor, end of year</t>
  </si>
  <si>
    <t xml:space="preserve">Present value of the cash flow</t>
  </si>
  <si>
    <t xml:space="preserve">Reversion and value</t>
  </si>
  <si>
    <t xml:space="preserve">Reversion: year 11 NOI capitalized at the terminal rate</t>
  </si>
  <si>
    <t xml:space="preserve">Less selling costs</t>
  </si>
  <si>
    <t xml:space="preserve">Net reversion</t>
  </si>
  <si>
    <t xml:space="preserve">Present value of the net reversion (discounted from the end of year 10)</t>
  </si>
  <si>
    <t xml:space="preserve">Present value of the ten cash flows</t>
  </si>
  <si>
    <t xml:space="preserve">Value by the DCF, as is, before rounding</t>
  </si>
  <si>
    <t xml:space="preserve">Share of the value that is the reversion</t>
  </si>
  <si>
    <t xml:space="preserve">Cap rate the DCF implies: year 1 NOI / value</t>
  </si>
  <si>
    <t xml:space="preserve">The indication</t>
  </si>
  <si>
    <t xml:space="preserve">DCF value, rounded to 50,000 (the indication)</t>
  </si>
  <si>
    <t xml:space="preserve">DCF indication per unit</t>
  </si>
  <si>
    <t xml:space="preserve">Direct capitalization less DCF (rounded indications)</t>
  </si>
  <si>
    <t xml:space="preserve">Income approach: the reconciled indication (midpoint of the two, rounded)</t>
  </si>
  <si>
    <t xml:space="preserve">NOI growth, year 1 to year 2 (leases roll to market)</t>
  </si>
  <si>
    <t xml:space="preserve">NOI growth a year, year 1 to year 10</t>
  </si>
  <si>
    <t xml:space="preserve">The lender's appraisal: loan sizing on the lesser of value and price, and the construction case</t>
  </si>
  <si>
    <t xml:space="preserve">Two tests: 65 percent of the lesser of value and price, and the loan whose debt service is NOI / 1.25 at the mortgage constant. The lesser loan wins.</t>
  </si>
  <si>
    <t xml:space="preserve">Bank policy</t>
  </si>
  <si>
    <t xml:space="preserve">Maximum loan to value</t>
  </si>
  <si>
    <t xml:space="preserve">Minimum debt coverage ratio</t>
  </si>
  <si>
    <t xml:space="preserve">Mortgage constant (Cap_Rate)</t>
  </si>
  <si>
    <t xml:space="preserve">Loan sizing on Kestrel Park</t>
  </si>
  <si>
    <t xml:space="preserve">Appraised value as is</t>
  </si>
  <si>
    <t xml:space="preserve">Appraiser's NOI</t>
  </si>
  <si>
    <t xml:space="preserve">Loan basis: the lesser of value and price</t>
  </si>
  <si>
    <t xml:space="preserve">Loan at the maximum loan to value on the basis</t>
  </si>
  <si>
    <t xml:space="preserve">Loan at which debt service is NOI / minimum coverage</t>
  </si>
  <si>
    <t xml:space="preserve">Loan approved: the lesser of the two</t>
  </si>
  <si>
    <t xml:space="preserve">Which test binds</t>
  </si>
  <si>
    <t xml:space="preserve">LTV loan less DSCR loan</t>
  </si>
  <si>
    <t xml:space="preserve">Loan the buyer expected: maximum loan to value on the price</t>
  </si>
  <si>
    <t xml:space="preserve">65 percent of price (the same figure, as the book quotes it)</t>
  </si>
  <si>
    <t xml:space="preserve">Extra equity the buyer must bring</t>
  </si>
  <si>
    <t xml:space="preserve">Annual debt service on the approved loan</t>
  </si>
  <si>
    <t xml:space="preserve">Debt coverage on the approved loan</t>
  </si>
  <si>
    <t xml:space="preserve">Approved loan as a share of price</t>
  </si>
  <si>
    <t xml:space="preserve">Approved loan as a share of value</t>
  </si>
  <si>
    <t xml:space="preserve">Buyer's equity with the approved loan (price less loan)</t>
  </si>
  <si>
    <t xml:space="preserve">Buyer's equity as planned (price less expected loan)</t>
  </si>
  <si>
    <t xml:space="preserve">The construction case: the 84-unit project on the site as vacant (Chapter 3)</t>
  </si>
  <si>
    <t xml:space="preserve">Units of the new project (allowable units)</t>
  </si>
  <si>
    <t xml:space="preserve">Land value per allowable unit (land sales)</t>
  </si>
  <si>
    <t xml:space="preserve">Value as is: the land</t>
  </si>
  <si>
    <t xml:space="preserve">Hard and soft costs per unit, excluding land</t>
  </si>
  <si>
    <t xml:space="preserve">Total cost including land</t>
  </si>
  <si>
    <t xml:space="preserve">Stabilized NOI per unit of the new building</t>
  </si>
  <si>
    <t xml:space="preserve">Stabilized NOI</t>
  </si>
  <si>
    <t xml:space="preserve">Cap rate for new construction</t>
  </si>
  <si>
    <t xml:space="preserve">Prospective value as stabilized: NOI / cap rate</t>
  </si>
  <si>
    <t xml:space="preserve">Lease-up deduction (rent lost, concessions, marketing over 12 months)</t>
  </si>
  <si>
    <t xml:space="preserve">Prospective value as complete: as stabilized less lease-up</t>
  </si>
  <si>
    <t xml:space="preserve">Maximum loan to cost</t>
  </si>
  <si>
    <t xml:space="preserve">Maximum loan to stabilized value</t>
  </si>
  <si>
    <t xml:space="preserve">Loan at the maximum loan to cost</t>
  </si>
  <si>
    <t xml:space="preserve">Loan at the maximum loan to stabilized value</t>
  </si>
  <si>
    <t xml:space="preserve">Construction loan: the lesser</t>
  </si>
  <si>
    <t xml:space="preserve">Coverage at stabilization on the permanent constant</t>
  </si>
  <si>
    <t xml:space="preserve">Developer's equity: total cost less the loan</t>
  </si>
  <si>
    <t xml:space="preserve">Appraisal review: five common errors, each quantified on the case</t>
  </si>
  <si>
    <t xml:space="preserve">Each error is rebuilt with the appraiser's own inputs changed in one place. The two DCF errors are full DCF tables below, with the same layout as the DCF sheet.</t>
  </si>
  <si>
    <t xml:space="preserve">Error 1: a cap rate from the wrong segment (a 2019 Class A sale)</t>
  </si>
  <si>
    <t xml:space="preserve">Cap rate taken from the wrong segment</t>
  </si>
  <si>
    <t xml:space="preserve">Value as is at that rate</t>
  </si>
  <si>
    <t xml:space="preserve">Overstatement against the as-is direct capitalization value</t>
  </si>
  <si>
    <t xml:space="preserve">Overstatement in percent</t>
  </si>
  <si>
    <t xml:space="preserve">Error 2: the owner's NOI accepted as is</t>
  </si>
  <si>
    <t xml:space="preserve">Value as is on the owner's NOI at the extracted rate</t>
  </si>
  <si>
    <t xml:space="preserve">Overstatement</t>
  </si>
  <si>
    <t xml:space="preserve">Error 3: reserves dropped from the NOI while the cap rate came from sales that included them</t>
  </si>
  <si>
    <t xml:space="preserve">NOI without reserves</t>
  </si>
  <si>
    <t xml:space="preserve">Value as is at the reserve-inclusive cap rate</t>
  </si>
  <si>
    <t xml:space="preserve">Error 4: a rent growth rate the absorption does not support (every year of the DCF)</t>
  </si>
  <si>
    <t xml:space="preserve">Rent growth applied in every year</t>
  </si>
  <si>
    <t xml:space="preserve">DCF value at that growth rate</t>
  </si>
  <si>
    <t xml:space="preserve">Overstatement against the appraiser's DCF</t>
  </si>
  <si>
    <t xml:space="preserve">Error 5: a terminal cap rate equal to the going-in rate</t>
  </si>
  <si>
    <t xml:space="preserve">Terminal cap rate used: the going-in rate</t>
  </si>
  <si>
    <t xml:space="preserve">DCF value with the flat terminal rate</t>
  </si>
  <si>
    <t xml:space="preserve">The five errors in one table</t>
  </si>
  <si>
    <t xml:space="preserve">Error</t>
  </si>
  <si>
    <t xml:space="preserve">Value it produces</t>
  </si>
  <si>
    <t xml:space="preserve">Percent</t>
  </si>
  <si>
    <t xml:space="preserve">Cap rate from the wrong segment</t>
  </si>
  <si>
    <t xml:space="preserve">Owner's NOI accepted</t>
  </si>
  <si>
    <t xml:space="preserve">Reserves dropped, cap rate kept</t>
  </si>
  <si>
    <t xml:space="preserve">Rent growth the absorption does not support</t>
  </si>
  <si>
    <t xml:space="preserve">Terminal rate equal to the going-in rate</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</si>
  <si>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</si>
  <si>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</si>
  <si>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</si>
  <si>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</si>
  <si>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</si>
  <si>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</si>
  <si>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</si>
  <si>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</si>
  <si>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</si>
  <si>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</si>
  <si>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</si>
  <si>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</si>
  <si>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</si>
  <si>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</si>
  <si>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INS_BUYER_PU: buyer: insurance per unit</t>
  </si>
  <si>
    <t xml:space="preserve">The unit mix adds up to the number of units</t>
  </si>
  <si>
    <t xml:space="preserve">holds</t>
  </si>
  <si>
    <t xml:space="preserve">Market rent is at or above contract rent for every unit type</t>
  </si>
  <si>
    <t xml:space="preserve">Market_Analysis</t>
  </si>
  <si>
    <t xml:space="preserve">Five-year demand equals five-year deliveries in the appraiser's projection</t>
  </si>
  <si>
    <t xml:space="preserve">Vacancy at the end of year 5 sits below the stabilized rate</t>
  </si>
  <si>
    <t xml:space="preserve">Operating_Statements</t>
  </si>
  <si>
    <t xml:space="preserve">APP_VC: app: vacancy and collection loss</t>
  </si>
  <si>
    <t xml:space="preserve">BUY_VC: buy: vacancy and collection loss</t>
  </si>
  <si>
    <t xml:space="preserve">The appraiser's NOI sits below the owner's and below the buyer's</t>
  </si>
  <si>
    <t xml:space="preserve">Each statement's EGI less expenses equals its NOI</t>
  </si>
  <si>
    <t xml:space="preserve">Cap_Rate</t>
  </si>
  <si>
    <t xml:space="preserve">The concluded cap rate sits inside the restated range</t>
  </si>
  <si>
    <t xml:space="preserve">Every restated cap rate sits below its reported cap rate</t>
  </si>
  <si>
    <t xml:space="preserve">Direct_Cap</t>
  </si>
  <si>
    <t xml:space="preserve">The rounded indication sits within 25,000 of the unrounded value</t>
  </si>
  <si>
    <t xml:space="preserve">The value at 5.75 percent in the cap rate grid equals the as-is value</t>
  </si>
  <si>
    <t xml:space="preserve">DCF</t>
  </si>
  <si>
    <t xml:space="preserve">V_DCF: Value by the DCF, as is, before rounding</t>
  </si>
  <si>
    <t xml:space="preserve">Year 1 NOI sits below the direct capitalization NOI (leases still rolling)</t>
  </si>
  <si>
    <t xml:space="preserve">Present values of the cash flows and the reversion add up to the value</t>
  </si>
  <si>
    <t xml:space="preserve">The income indication sits between the two rounded values</t>
  </si>
  <si>
    <t xml:space="preserve">Lending</t>
  </si>
  <si>
    <t xml:space="preserve">The approved loan is the lesser of the two tests and covers at the minimum ratio</t>
  </si>
  <si>
    <t xml:space="preserve">Value as is, as complete and as stabilized rise in that order in the construction case</t>
  </si>
  <si>
    <t xml:space="preserve">Review</t>
  </si>
  <si>
    <t xml:space="preserve">Every one of the five errors overstates the value</t>
  </si>
  <si>
    <t xml:space="preserve">The flat-terminal DCF shares the appraiser's year 1 to 11 NOI</t>
  </si>
  <si>
    <t xml:space="preserve">UNITS: Units</t>
  </si>
  <si>
    <t xml:space="preserve">YEAR_BUILT: Year built</t>
  </si>
  <si>
    <t xml:space="preserve">ACTUAL_AGE: Actual age at the effective date, years</t>
  </si>
  <si>
    <t xml:space="preserve">SITE_ACRES: Site, acres</t>
  </si>
  <si>
    <t xml:space="preserve">SITE_SF: Site, square feet</t>
  </si>
  <si>
    <t xml:space="preserve">ZONING_DENSITY: Zoning: maximum units per acre</t>
  </si>
  <si>
    <t xml:space="preserve">ALLOWABLE_UNITS: Units allowed on the site as vacant (whole units)</t>
  </si>
  <si>
    <t xml:space="preserve">GBA_SF: Gross building area, square feet</t>
  </si>
  <si>
    <t xml:space="preserve">OCCUPIED: Units occupied at inspection</t>
  </si>
  <si>
    <t xml:space="preserve">OCC_PHYSICAL: Physical occupancy at inspection</t>
  </si>
  <si>
    <t xml:space="preserve">VACANT_UNITS: Vacant units at inspection</t>
  </si>
  <si>
    <t xml:space="preserve">MIX_ONE_N: One bedroom, one bath: units</t>
  </si>
  <si>
    <t xml:space="preserve">MIX_ONE_SF: One bedroom, one bath: square feet</t>
  </si>
  <si>
    <t xml:space="preserve">MIX_ONE_MKT: One bedroom, one bath: market rent a month</t>
  </si>
  <si>
    <t xml:space="preserve">MIX_ONE_CONTRACT: One bedroom, one bath: contract rent a month</t>
  </si>
  <si>
    <t xml:space="preserve">MIX_ONE_LTL: One bedroom, one bath: loss to lease a month</t>
  </si>
  <si>
    <t xml:space="preserve">MIX_ONE_MKT_ANNUAL: One bedroom, one bath: market rent a year</t>
  </si>
  <si>
    <t xml:space="preserve">MIX_ONE_CONTRACT_ANNUAL: One bedroom, one bath: contract rent a year</t>
  </si>
  <si>
    <t xml:space="preserve">MIX_ONE_MKT_PSF: One bedroom, one bath: market rent per sf a month</t>
  </si>
  <si>
    <t xml:space="preserve">MIX_TWO_N: Two bedroom, two bath: units</t>
  </si>
  <si>
    <t xml:space="preserve">MIX_TWO_SF: Two bedroom, two bath: square feet</t>
  </si>
  <si>
    <t xml:space="preserve">MIX_TWO_MKT: Two bedroom, two bath: market rent a month</t>
  </si>
  <si>
    <t xml:space="preserve">MIX_TWO_CONTRACT: Two bedroom, two bath: contract rent a month</t>
  </si>
  <si>
    <t xml:space="preserve">MIX_TWO_LTL: Two bedroom, two bath: loss to lease a month</t>
  </si>
  <si>
    <t xml:space="preserve">MIX_TWO_MKT_ANNUAL: Two bedroom, two bath: market rent a year</t>
  </si>
  <si>
    <t xml:space="preserve">MIX_TWO_CONTRACT_ANNUAL: Two bedroom, two bath: contract rent a year</t>
  </si>
  <si>
    <t xml:space="preserve">MIX_TWO_MKT_PSF: Two bedroom, two bath: market rent per sf a month</t>
  </si>
  <si>
    <t xml:space="preserve">MIX_THREE_N: Three bedroom, two bath: units</t>
  </si>
  <si>
    <t xml:space="preserve">MIX_THREE_SF: Three bedroom, two bath: square feet</t>
  </si>
  <si>
    <t xml:space="preserve">MIX_THREE_MKT: Three bedroom, two bath: market rent a month</t>
  </si>
  <si>
    <t xml:space="preserve">MIX_THREE_CONTRACT: Three bedroom, two bath: contract rent a month</t>
  </si>
  <si>
    <t xml:space="preserve">MIX_THREE_LTL: Three bedroom, two bath: loss to lease a month</t>
  </si>
  <si>
    <t xml:space="preserve">MIX_THREE_MKT_ANNUAL: Three bedroom, two bath: market rent a year</t>
  </si>
  <si>
    <t xml:space="preserve">MIX_THREE_CONTRACT_ANNUAL: Three bedroom, two bath: contract rent a year</t>
  </si>
  <si>
    <t xml:space="preserve">MIX_THREE_MKT_PSF: Three bedroom, two bath: market rent per sf a month</t>
  </si>
  <si>
    <t xml:space="preserve">PGI_MARKET: potential gross rent at market rents, a year</t>
  </si>
  <si>
    <t xml:space="preserve">PGI_CONTRACT: gross rent at contract rents, a year</t>
  </si>
  <si>
    <t xml:space="preserve">NRA_SF: Net rentable area, square feet</t>
  </si>
  <si>
    <t xml:space="preserve">AVG_UNIT_SF: Average unit size, square feet</t>
  </si>
  <si>
    <t xml:space="preserve">LOSS_TO_LEASE: Loss to lease: market less contract rent, a year</t>
  </si>
  <si>
    <t xml:space="preserve">LOSS_TO_LEASE_PCT: Loss to lease as a share of market rent</t>
  </si>
  <si>
    <t xml:space="preserve">AVG_MKT_RENT: Average market rent per unit a month</t>
  </si>
  <si>
    <t xml:space="preserve">AVG_CONTRACT_RENT: Average contract rent per unit a month</t>
  </si>
  <si>
    <t xml:space="preserve">AVG_MKT_RENT_PSF: Average market rent per square foot a month</t>
  </si>
  <si>
    <t xml:space="preserve">OTHER_INC_PU_MONTH: Other income per unit a month (fees, parking, laundry, pet rent)</t>
  </si>
  <si>
    <t xml:space="preserve">OTHER_INCOME: Other income a year</t>
  </si>
  <si>
    <t xml:space="preserve">DEFERRED_MAINTENANCE: Deferred maintenance: roofs (property condition assessment)</t>
  </si>
  <si>
    <t xml:space="preserve">DEFERRED_MAINTENANCE_PU: Deferred maintenance per unit</t>
  </si>
  <si>
    <t xml:space="preserve">RC1_SF: rent comparable 1: square feet</t>
  </si>
  <si>
    <t xml:space="preserve">RC1_RENT: rent comparable 1, Larkin Ridge: asking rent a month</t>
  </si>
  <si>
    <t xml:space="preserve">RC1_PSF: rent comparable 1: rent per square foot a month</t>
  </si>
  <si>
    <t xml:space="preserve">RC2_SF: rent comparable 2: square feet</t>
  </si>
  <si>
    <t xml:space="preserve">RC2_RENT: rent comparable 2, Alder Bend: asking rent a month</t>
  </si>
  <si>
    <t xml:space="preserve">RC2_PSF: rent comparable 2: rent per square foot a month</t>
  </si>
  <si>
    <t xml:space="preserve">RC3_SF: rent comparable 3: square feet</t>
  </si>
  <si>
    <t xml:space="preserve">RC3_RENT: rent comparable 3, Fenwick Lofts: asking rent a month</t>
  </si>
  <si>
    <t xml:space="preserve">RC3_PSF: rent comparable 3: rent per square foot a month</t>
  </si>
  <si>
    <t xml:space="preserve">RC4_SF: rent comparable 4: square feet</t>
  </si>
  <si>
    <t xml:space="preserve">RC4_RENT: rent comparable 4, Larkin Ridge: asking rent a month</t>
  </si>
  <si>
    <t xml:space="preserve">RC4_PSF: rent comparable 4: rent per square foot a month</t>
  </si>
  <si>
    <t xml:space="preserve">RC5_SF: rent comparable 5: square feet</t>
  </si>
  <si>
    <t xml:space="preserve">RC5_RENT: rent comparable 5, Alder Bend: asking rent a month</t>
  </si>
  <si>
    <t xml:space="preserve">RC5_PSF: rent comparable 5: rent per square foot a month</t>
  </si>
  <si>
    <t xml:space="preserve">RC6_SF: rent comparable 6: square feet</t>
  </si>
  <si>
    <t xml:space="preserve">RC6_RENT: rent comparable 6, Fenwick Lofts: asking rent a month</t>
  </si>
  <si>
    <t xml:space="preserve">RC6_PSF: rent comparable 6: rent per square foot a month</t>
  </si>
  <si>
    <t xml:space="preserve">RC7_SF: rent comparable 7: square feet</t>
  </si>
  <si>
    <t xml:space="preserve">RC7_RENT: rent comparable 7, Windrow Flats: asking rent a month</t>
  </si>
  <si>
    <t xml:space="preserve">RC7_PSF: rent comparable 7: rent per square foot a month</t>
  </si>
  <si>
    <t xml:space="preserve">RC8_SF: rent comparable 8: square feet</t>
  </si>
  <si>
    <t xml:space="preserve">RC8_RENT: rent comparable 8, Larkin Ridge: asking rent a month</t>
  </si>
  <si>
    <t xml:space="preserve">RC8_PSF: rent comparable 8: rent per square foot a month</t>
  </si>
  <si>
    <t xml:space="preserve">RC9_SF: rent comparable 9: square feet</t>
  </si>
  <si>
    <t xml:space="preserve">RC9_RENT: rent comparable 9, Alder Bend: asking rent a month</t>
  </si>
  <si>
    <t xml:space="preserve">RC9_PSF: rent comparable 9: rent per square foot a month</t>
  </si>
  <si>
    <t xml:space="preserve">RC10_SF: rent comparable 10: square feet</t>
  </si>
  <si>
    <t xml:space="preserve">RC10_RENT: rent comparable 10, Fenwick Lofts: asking rent a month</t>
  </si>
  <si>
    <t xml:space="preserve">RC10_PSF: rent comparable 10: rent per square foot a month</t>
  </si>
  <si>
    <t xml:space="preserve">RC_ONE_MIN: One bedroom comparables: lowest asking rent</t>
  </si>
  <si>
    <t xml:space="preserve">RC_ONE_MAX: One bedroom comparables: highest asking rent</t>
  </si>
  <si>
    <t xml:space="preserve">RC_TWO_MIN: Two bedroom comparables: lowest asking rent</t>
  </si>
  <si>
    <t xml:space="preserve">RC_TWO_MAX: Two bedroom comparables: highest asking rent</t>
  </si>
  <si>
    <t xml:space="preserve">RC_THREE_MIN: Three bedroom comparables: lowest asking rent</t>
  </si>
  <si>
    <t xml:space="preserve">RC_THREE_MAX: Three bedroom comparables: highest asking rent</t>
  </si>
  <si>
    <t xml:space="preserve">VAC_MARKET: Market vacancy allowance (the appraiser's)</t>
  </si>
  <si>
    <t xml:space="preserve">COLL_LOSS: Collection loss allowance</t>
  </si>
  <si>
    <t xml:space="preserve">VC_TOTAL: Vacancy and collection loss, total</t>
  </si>
  <si>
    <t xml:space="preserve">OWN_VC: Owner's vacancy and collection loss, trailing twelve months (actual)</t>
  </si>
  <si>
    <t xml:space="preserve">MGMT_BUYER: Buyer's management fee, share of EGI (affiliated manager)</t>
  </si>
  <si>
    <t xml:space="preserve">ASSESSMENT_RATIO: Assessment ratio of the county (assessed value / market value)</t>
  </si>
  <si>
    <t xml:space="preserve">MILLAGE: Effective tax rate on assessed value</t>
  </si>
  <si>
    <t xml:space="preserve">OWN_TAXES: owner: real estate taxes, a year</t>
  </si>
  <si>
    <t xml:space="preserve">APP_TAXES_PU: appraiser: real estate taxes per unit</t>
  </si>
  <si>
    <t xml:space="preserve">BUY_TAXES_PU: buyer: real estate taxes per unit</t>
  </si>
  <si>
    <t xml:space="preserve">OWN_INSURANCE: owner: insurance, a year</t>
  </si>
  <si>
    <t xml:space="preserve">APP_INSURANCE_PU: appraiser: insurance per unit</t>
  </si>
  <si>
    <t xml:space="preserve">BUY_INSURANCE_PU: buyer: insurance per unit</t>
  </si>
  <si>
    <t xml:space="preserve">OWN_UTILITIES: owner: utilities, a year</t>
  </si>
  <si>
    <t xml:space="preserve">APP_UTILITIES_PU: appraiser: utilities per unit</t>
  </si>
  <si>
    <t xml:space="preserve">BUY_UTILITIES_PU: buyer: utilities per unit</t>
  </si>
  <si>
    <t xml:space="preserve">OWN_RM: owner: repairs and maintenance, a year</t>
  </si>
  <si>
    <t xml:space="preserve">APP_RM_PU: appraiser: repairs and maintenance per unit</t>
  </si>
  <si>
    <t xml:space="preserve">BUY_RM_PU: buyer: repairs and maintenance per unit</t>
  </si>
  <si>
    <t xml:space="preserve">OWN_PAYROLL: owner: payroll, a year</t>
  </si>
  <si>
    <t xml:space="preserve">APP_PAYROLL_PU: appraiser: payroll per unit</t>
  </si>
  <si>
    <t xml:space="preserve">BUY_PAYROLL_PU: buyer: payroll per unit</t>
  </si>
  <si>
    <t xml:space="preserve">OWN_ADMIN: owner: administrative and marketing, a year</t>
  </si>
  <si>
    <t xml:space="preserve">APP_ADMIN_PU: appraiser: administrative and marketing per unit</t>
  </si>
  <si>
    <t xml:space="preserve">BUY_ADMIN_PU: buyer: administrative and marketing per unit</t>
  </si>
  <si>
    <t xml:space="preserve">OWN_TURNOVER: owner: turnover, a year</t>
  </si>
  <si>
    <t xml:space="preserve">APP_TURNOVER_PU: appraiser: turnover per unit</t>
  </si>
  <si>
    <t xml:space="preserve">BUY_TURNOVER_PU: buyer: turnover per unit</t>
  </si>
  <si>
    <t xml:space="preserve">OWN_RESERVES: owner: replacement reserves, a year</t>
  </si>
  <si>
    <t xml:space="preserve">APP_RESERVES_PU: appraiser: replacement reserves per unit</t>
  </si>
  <si>
    <t xml:space="preserve">BUY_RESERVES_PU: buyer: replacement reserves per unit</t>
  </si>
  <si>
    <t xml:space="preserve">DISCOUNT: Discount rate (investor interviews; the yield built from the cap rate and growth)</t>
  </si>
  <si>
    <t xml:space="preserve">TERMINAL_CAP: Terminal cap rate</t>
  </si>
  <si>
    <t xml:space="preserve">SELLING_COSTS: Selling costs at reversion</t>
  </si>
  <si>
    <t xml:space="preserve">EXPENSE_GROWTH: Expense growth a year</t>
  </si>
  <si>
    <t xml:space="preserve">HOLD: Holding period, years (the layout holds ten years and a reversion year)</t>
  </si>
  <si>
    <t xml:space="preserve">V_FINAL: Market value as is, the appraiser's opinion (reconciliation workbook)</t>
  </si>
  <si>
    <t xml:space="preserve">PRICE: Contract price</t>
  </si>
  <si>
    <t xml:space="preserve">MKT_INVENTORY: Submarket inventory, units (properties of 50 units and more)</t>
  </si>
  <si>
    <t xml:space="preserve">MKT_OCC: Submarket occupancy at the effective date</t>
  </si>
  <si>
    <t xml:space="preserve">MKT_OCC_UNITS: Occupied units in the submarket</t>
  </si>
  <si>
    <t xml:space="preserve">MKT_ABS_Y1: Net absorption 2023, units</t>
  </si>
  <si>
    <t xml:space="preserve">MKT_ABS_Y2: Net absorption 2024, units</t>
  </si>
  <si>
    <t xml:space="preserve">MKT_ABS_Y3: Net absorption 2025, units</t>
  </si>
  <si>
    <t xml:space="preserve">MKT_ABS_AVG: Average net absorption of the last three years, units a year</t>
  </si>
  <si>
    <t xml:space="preserve">MKT_DEMAND: Projected demand: new renter households a year</t>
  </si>
  <si>
    <t xml:space="preserve">MKT_VAC_STAB: Stabilized vacancy: the rate at which rents grow at trend</t>
  </si>
  <si>
    <t xml:space="preserve">MKT_TREND_GROWTH: Trend rent growth at the stabilized vacancy</t>
  </si>
  <si>
    <t xml:space="preserve">MKT_SLOPE: Points of rent growth lost per point of vacancy above the stabilized rate</t>
  </si>
  <si>
    <t xml:space="preserve">MKT_GROWTH_LR: Long-run rent growth, DCF years 7 to 11</t>
  </si>
  <si>
    <t xml:space="preserve">MKT_VAC_Y0: submarket vacancy at the end of year 0</t>
  </si>
  <si>
    <t xml:space="preserve">MKT_DELIV_Y1: projected deliveries in year 1, units</t>
  </si>
  <si>
    <t xml:space="preserve">MKT_GROWTH_Y2: market rent growth applied in DCF year 2</t>
  </si>
  <si>
    <t xml:space="preserve">MKT_VAC_Y1: submarket vacancy at the end of year 1</t>
  </si>
  <si>
    <t xml:space="preserve">MKT_DELIV_Y2: projected deliveries in year 2, units</t>
  </si>
  <si>
    <t xml:space="preserve">MKT_GROWTH_Y3: market rent growth applied in DCF year 3</t>
  </si>
  <si>
    <t xml:space="preserve">MKT_VAC_Y2: submarket vacancy at the end of year 2</t>
  </si>
  <si>
    <t xml:space="preserve">MKT_DELIV_Y3: projected deliveries in year 3, units</t>
  </si>
  <si>
    <t xml:space="preserve">MKT_GROWTH_Y4: market rent growth applied in DCF year 4</t>
  </si>
  <si>
    <t xml:space="preserve">MKT_VAC_Y3: submarket vacancy at the end of year 3</t>
  </si>
  <si>
    <t xml:space="preserve">MKT_DELIV_Y4: projected deliveries in year 4, units</t>
  </si>
  <si>
    <t xml:space="preserve">MKT_GROWTH_Y5: market rent growth applied in DCF year 5</t>
  </si>
  <si>
    <t xml:space="preserve">MKT_VAC_Y4: submarket vacancy at the end of year 4</t>
  </si>
  <si>
    <t xml:space="preserve">MKT_DELIV_Y5: projected deliveries in year 5, units</t>
  </si>
  <si>
    <t xml:space="preserve">MKT_GROWTH_Y6: market rent growth applied in DCF year 6</t>
  </si>
  <si>
    <t xml:space="preserve">MKT_VAC_Y5: submarket vacancy at the end of year 5</t>
  </si>
  <si>
    <t xml:space="preserve">MKT_DELIV_2Y: Units under construction, delivering over the next two years</t>
  </si>
  <si>
    <t xml:space="preserve">MKT_DELIV_5Y: Projected deliveries over five years, units</t>
  </si>
  <si>
    <t xml:space="preserve">MKT_DEMAND_5Y: Projected demand over five years, units</t>
  </si>
  <si>
    <t xml:space="preserve">MKT_VAC_PEAK: Peak projected submarket vacancy</t>
  </si>
  <si>
    <t xml:space="preserve">MKT_GROWTH_AVG5: Average rent growth of DCF years 2 to 6</t>
  </si>
  <si>
    <t xml:space="preserve">OWN_GPR: own: gross potential rent</t>
  </si>
  <si>
    <t xml:space="preserve">APP_GPR: app: gross potential rent</t>
  </si>
  <si>
    <t xml:space="preserve">BUY_GPR: buy: gross potential rent</t>
  </si>
  <si>
    <t xml:space="preserve">OWN_OTHER: own: other income</t>
  </si>
  <si>
    <t xml:space="preserve">APP_OTHER: app: other income</t>
  </si>
  <si>
    <t xml:space="preserve">BUY_OTHER: buy: other income</t>
  </si>
  <si>
    <t xml:space="preserve">OWN_EGI: own: effective gross income</t>
  </si>
  <si>
    <t xml:space="preserve">APP_EGI: app: effective gross income</t>
  </si>
  <si>
    <t xml:space="preserve">BUY_EGI: buy: effective gross income</t>
  </si>
  <si>
    <t xml:space="preserve">OWN_TAXES_PU: owner: real estate taxes per unit</t>
  </si>
  <si>
    <t xml:space="preserve">APP_TAXES: app: real estate taxes, a year</t>
  </si>
  <si>
    <t xml:space="preserve">BUY_TAXES: buy: real estate taxes, a year</t>
  </si>
  <si>
    <t xml:space="preserve">OWN_INSURANCE_PU: owner: insurance per unit</t>
  </si>
  <si>
    <t xml:space="preserve">APP_INSURANCE: app: insurance, a year</t>
  </si>
  <si>
    <t xml:space="preserve">BUY_INSURANCE: buy: insurance, a year</t>
  </si>
  <si>
    <t xml:space="preserve">OWN_UTILITIES_PU: owner: utilities per unit</t>
  </si>
  <si>
    <t xml:space="preserve">APP_UTILITIES: app: utilities, a year</t>
  </si>
  <si>
    <t xml:space="preserve">BUY_UTILITIES: buy: utilities, a year</t>
  </si>
  <si>
    <t xml:space="preserve">OWN_RM_PU: owner: repairs and maintenance per unit</t>
  </si>
  <si>
    <t xml:space="preserve">APP_RM: app: repairs and maintenance, a year</t>
  </si>
  <si>
    <t xml:space="preserve">BUY_RM: buy: repairs and maintenance, a year</t>
  </si>
  <si>
    <t xml:space="preserve">OWN_PAYROLL_PU: owner: payroll per unit</t>
  </si>
  <si>
    <t xml:space="preserve">APP_PAYROLL: app: payroll, a year</t>
  </si>
  <si>
    <t xml:space="preserve">BUY_PAYROLL: buy: payroll, a year</t>
  </si>
  <si>
    <t xml:space="preserve">OWN_MGMT: own: management fee, a year</t>
  </si>
  <si>
    <t xml:space="preserve">OWN_MGMT_PU: own: management fee per unit</t>
  </si>
  <si>
    <t xml:space="preserve">APP_MGMT: app: management fee, a year</t>
  </si>
  <si>
    <t xml:space="preserve">APP_MGMT_PU: app: management fee per unit</t>
  </si>
  <si>
    <t xml:space="preserve">BUY_MGMT: buy: management fee, a year</t>
  </si>
  <si>
    <t xml:space="preserve">BUY_MGMT_PU: buy: management fee per unit</t>
  </si>
  <si>
    <t xml:space="preserve">OWN_ADMIN_PU: owner: administrative and marketing per unit</t>
  </si>
  <si>
    <t xml:space="preserve">APP_ADMIN: app: administrative and marketing, a year</t>
  </si>
  <si>
    <t xml:space="preserve">BUY_ADMIN: buy: administrative and marketing, a year</t>
  </si>
  <si>
    <t xml:space="preserve">OWN_TURNOVER_PU: owner: turnover per unit</t>
  </si>
  <si>
    <t xml:space="preserve">APP_TURNOVER: app: turnover, a year</t>
  </si>
  <si>
    <t xml:space="preserve">BUY_TURNOVER: buy: turnover, a year</t>
  </si>
  <si>
    <t xml:space="preserve">OWN_RESERVES_PU: owner: replacement reserves per unit</t>
  </si>
  <si>
    <t xml:space="preserve">APP_RESERVES: app: replacement reserves, a year</t>
  </si>
  <si>
    <t xml:space="preserve">BUY_RESERVES: buy: replacement reserves, a year</t>
  </si>
  <si>
    <t xml:space="preserve">OWN_EXP: own: total operating expenses</t>
  </si>
  <si>
    <t xml:space="preserve">OWN_EXP_PU: own: operating expenses per unit</t>
  </si>
  <si>
    <t xml:space="preserve">APP_EXP: app: total operating expenses</t>
  </si>
  <si>
    <t xml:space="preserve">APP_EXP_PU: app: operating expenses per unit</t>
  </si>
  <si>
    <t xml:space="preserve">BUY_EXP: buy: total operating expenses</t>
  </si>
  <si>
    <t xml:space="preserve">BUY_EXP_PU: buy: operating expenses per unit</t>
  </si>
  <si>
    <t xml:space="preserve">OWN_NOI: own: net operating income</t>
  </si>
  <si>
    <t xml:space="preserve">OWN_NOI_PU: own: NOI per unit</t>
  </si>
  <si>
    <t xml:space="preserve">APP_NOI: app: net operating income</t>
  </si>
  <si>
    <t xml:space="preserve">APP_NOI_PU: app: NOI per unit</t>
  </si>
  <si>
    <t xml:space="preserve">BUY_NOI: buy: net operating income</t>
  </si>
  <si>
    <t xml:space="preserve">BUY_NOI_PU: buy: NOI per unit</t>
  </si>
  <si>
    <t xml:space="preserve">OWN_VC_PCT: own: vacancy and collection loss as a share of gross income</t>
  </si>
  <si>
    <t xml:space="preserve">APP_VC_PCT: app: vacancy and collection loss as a share of gross income</t>
  </si>
  <si>
    <t xml:space="preserve">BUY_VC_PCT: buy: vacancy and collection loss as a share of gross income</t>
  </si>
  <si>
    <t xml:space="preserve">OWN_MGMT_RATE: own: management fee as a share of EGI</t>
  </si>
  <si>
    <t xml:space="preserve">APP_MGMT_RATE: app: management fee as a share of EGI</t>
  </si>
  <si>
    <t xml:space="preserve">BUY_MGMT_RATE: buy: management fee as a share of EGI</t>
  </si>
  <si>
    <t xml:space="preserve">OWN_RATIO: own: operating expense ratio</t>
  </si>
  <si>
    <t xml:space="preserve">APP_RATIO: app: operating expense ratio</t>
  </si>
  <si>
    <t xml:space="preserve">BUY_RATIO: buy: operating expense ratio</t>
  </si>
  <si>
    <t xml:space="preserve">NOI_OWN_MINUS_APP: Owner's NOI less appraiser's NOI</t>
  </si>
  <si>
    <t xml:space="preserve">NOI_OWN_OVER_APP_PCT: Owner's NOI above the appraiser's, percent</t>
  </si>
  <si>
    <t xml:space="preserve">EXP_APP_MINUS_OWN: Appraiser's expenses less owner's expenses</t>
  </si>
  <si>
    <t xml:space="preserve">EGI_APP_MINUS_OWN: Appraiser's EGI less owner's EGI</t>
  </si>
  <si>
    <t xml:space="preserve">NOI_BUY_MINUS_APP: Buyer's NOI less appraiser's NOI</t>
  </si>
  <si>
    <t xml:space="preserve">TAX_APP_MINUS_OWN: Appraiser's taxes less owner's taxes</t>
  </si>
  <si>
    <t xml:space="preserve">TAX_AT_VALUE: Taxes implied by reassessment at the appraised value</t>
  </si>
  <si>
    <t xml:space="preserve">TAX_AT_PRICE: Taxes implied by reassessment at the contract price</t>
  </si>
  <si>
    <t xml:space="preserve">TAX_AT_PRICE_MINUS_APP: Reassessment at the price: taxes above the appraiser's estimate</t>
  </si>
  <si>
    <t xml:space="preserve">BROKER_RATIO: Expense ratio assumed in the brokers' NOIs (EGI = NOI / (1 - ratio))</t>
  </si>
  <si>
    <t xml:space="preserve">BROKER_MGMT: Management fee in the brokers' NOIs</t>
  </si>
  <si>
    <t xml:space="preserve">RESERVE_PU: Replacement reserves per unit a year (the appraiser's basis)</t>
  </si>
  <si>
    <t xml:space="preserve">RESERVES_TOTAL: Replacement reserves a year on the subject</t>
  </si>
  <si>
    <t xml:space="preserve">S1_UNITS: sale 1 Larkin Ridge: units</t>
  </si>
  <si>
    <t xml:space="preserve">S1_BUILT: sale 1 Larkin Ridge: built</t>
  </si>
  <si>
    <t xml:space="preserve">S1_MONTHS: sale 1 Larkin Ridge: months</t>
  </si>
  <si>
    <t xml:space="preserve">S1_PRICE: sale 1 Larkin Ridge: price</t>
  </si>
  <si>
    <t xml:space="preserve">S1_PPU: sale 1 Larkin Ridge: ppu</t>
  </si>
  <si>
    <t xml:space="preserve">S1_AVG_SF: sale 1 Larkin Ridge: avg sf</t>
  </si>
  <si>
    <t xml:space="preserve">S1_PSF: sale 1 Larkin Ridge: psf</t>
  </si>
  <si>
    <t xml:space="preserve">S1_NOI_REP: sale 1 Larkin Ridge: noi rep</t>
  </si>
  <si>
    <t xml:space="preserve">S1_EGI_REP: sale 1 Larkin Ridge: egi rep</t>
  </si>
  <si>
    <t xml:space="preserve">S1_RESERVES: sale 1 Larkin Ridge: reserves</t>
  </si>
  <si>
    <t xml:space="preserve">S1_MGMT_ADJ: sale 1 Larkin Ridge: mgmt adj</t>
  </si>
  <si>
    <t xml:space="preserve">S1_NOI_RES: sale 1 Larkin Ridge: noi res</t>
  </si>
  <si>
    <t xml:space="preserve">S1_CAP_REP: sale 1 Larkin Ridge: cap rep</t>
  </si>
  <si>
    <t xml:space="preserve">S1_CAP_RES: sale 1 Larkin Ridge: cap res</t>
  </si>
  <si>
    <t xml:space="preserve">S1_EGIM: sale 1 Larkin Ridge: egim</t>
  </si>
  <si>
    <t xml:space="preserve">S2_UNITS: sale 2 Sable Creek: units</t>
  </si>
  <si>
    <t xml:space="preserve">S2_BUILT: sale 2 Sable Creek: built</t>
  </si>
  <si>
    <t xml:space="preserve">S2_MONTHS: sale 2 Sable Creek: months</t>
  </si>
  <si>
    <t xml:space="preserve">S2_PRICE: sale 2 Sable Creek: price</t>
  </si>
  <si>
    <t xml:space="preserve">S2_PPU: sale 2 Sable Creek: ppu</t>
  </si>
  <si>
    <t xml:space="preserve">S2_AVG_SF: sale 2 Sable Creek: avg sf</t>
  </si>
  <si>
    <t xml:space="preserve">S2_PSF: sale 2 Sable Creek: psf</t>
  </si>
  <si>
    <t xml:space="preserve">S2_NOI_REP: sale 2 Sable Creek: noi rep</t>
  </si>
  <si>
    <t xml:space="preserve">S2_EGI_REP: sale 2 Sable Creek: egi rep</t>
  </si>
  <si>
    <t xml:space="preserve">S2_RESERVES: sale 2 Sable Creek: reserves</t>
  </si>
  <si>
    <t xml:space="preserve">S2_MGMT_ADJ: sale 2 Sable Creek: mgmt adj</t>
  </si>
  <si>
    <t xml:space="preserve">S2_NOI_RES: sale 2 Sable Creek: noi res</t>
  </si>
  <si>
    <t xml:space="preserve">S2_CAP_REP: sale 2 Sable Creek: cap rep</t>
  </si>
  <si>
    <t xml:space="preserve">S2_CAP_RES: sale 2 Sable Creek: cap res</t>
  </si>
  <si>
    <t xml:space="preserve">S2_EGIM: sale 2 Sable Creek: egim</t>
  </si>
  <si>
    <t xml:space="preserve">S3_UNITS: sale 3 Windrow Flats: units</t>
  </si>
  <si>
    <t xml:space="preserve">S3_BUILT: sale 3 Windrow Flats: built</t>
  </si>
  <si>
    <t xml:space="preserve">S3_MONTHS: sale 3 Windrow Flats: months</t>
  </si>
  <si>
    <t xml:space="preserve">S3_PRICE: sale 3 Windrow Flats: price</t>
  </si>
  <si>
    <t xml:space="preserve">S3_PPU: sale 3 Windrow Flats: ppu</t>
  </si>
  <si>
    <t xml:space="preserve">S3_AVG_SF: sale 3 Windrow Flats: avg sf</t>
  </si>
  <si>
    <t xml:space="preserve">S3_PSF: sale 3 Windrow Flats: psf</t>
  </si>
  <si>
    <t xml:space="preserve">S3_NOI_REP: sale 3 Windrow Flats: noi rep</t>
  </si>
  <si>
    <t xml:space="preserve">S3_EGI_REP: sale 3 Windrow Flats: egi rep</t>
  </si>
  <si>
    <t xml:space="preserve">S3_RESERVES: sale 3 Windrow Flats: reserves</t>
  </si>
  <si>
    <t xml:space="preserve">S3_MGMT_ADJ: sale 3 Windrow Flats: mgmt adj</t>
  </si>
  <si>
    <t xml:space="preserve">S3_NOI_RES: sale 3 Windrow Flats: noi res</t>
  </si>
  <si>
    <t xml:space="preserve">S3_CAP_REP: sale 3 Windrow Flats: cap rep</t>
  </si>
  <si>
    <t xml:space="preserve">S3_CAP_RES: sale 3 Windrow Flats: cap res</t>
  </si>
  <si>
    <t xml:space="preserve">S3_EGIM: sale 3 Windrow Flats: egim</t>
  </si>
  <si>
    <t xml:space="preserve">S4_UNITS: sale 4 Alder Bend: units</t>
  </si>
  <si>
    <t xml:space="preserve">S4_BUILT: sale 4 Alder Bend: built</t>
  </si>
  <si>
    <t xml:space="preserve">S4_MONTHS: sale 4 Alder Bend: months</t>
  </si>
  <si>
    <t xml:space="preserve">S4_PRICE: sale 4 Alder Bend: price</t>
  </si>
  <si>
    <t xml:space="preserve">S4_PPU: sale 4 Alder Bend: ppu</t>
  </si>
  <si>
    <t xml:space="preserve">S4_AVG_SF: sale 4 Alder Bend: avg sf</t>
  </si>
  <si>
    <t xml:space="preserve">S4_PSF: sale 4 Alder Bend: psf</t>
  </si>
  <si>
    <t xml:space="preserve">S4_NOI_REP: sale 4 Alder Bend: noi rep</t>
  </si>
  <si>
    <t xml:space="preserve">S4_EGI_REP: sale 4 Alder Bend: egi rep</t>
  </si>
  <si>
    <t xml:space="preserve">S4_RESERVES: sale 4 Alder Bend: reserves</t>
  </si>
  <si>
    <t xml:space="preserve">S4_MGMT_ADJ: sale 4 Alder Bend: mgmt adj</t>
  </si>
  <si>
    <t xml:space="preserve">S4_NOI_RES: sale 4 Alder Bend: noi res</t>
  </si>
  <si>
    <t xml:space="preserve">S4_CAP_REP: sale 4 Alder Bend: cap rep</t>
  </si>
  <si>
    <t xml:space="preserve">S4_CAP_RES: sale 4 Alder Bend: cap res</t>
  </si>
  <si>
    <t xml:space="preserve">S4_EGIM: sale 4 Alder Bend: egim</t>
  </si>
  <si>
    <t xml:space="preserve">S5_UNITS: sale 5 Merriwether Place: units</t>
  </si>
  <si>
    <t xml:space="preserve">S5_BUILT: sale 5 Merriwether Place: built</t>
  </si>
  <si>
    <t xml:space="preserve">S5_MONTHS: sale 5 Merriwether Place: months</t>
  </si>
  <si>
    <t xml:space="preserve">S5_PRICE: sale 5 Merriwether Place: price</t>
  </si>
  <si>
    <t xml:space="preserve">S5_PPU: sale 5 Merriwether Place: ppu</t>
  </si>
  <si>
    <t xml:space="preserve">S5_AVG_SF: sale 5 Merriwether Place: avg sf</t>
  </si>
  <si>
    <t xml:space="preserve">S5_PSF: sale 5 Merriwether Place: psf</t>
  </si>
  <si>
    <t xml:space="preserve">S5_NOI_REP: sale 5 Merriwether Place: noi rep</t>
  </si>
  <si>
    <t xml:space="preserve">S5_EGI_REP: sale 5 Merriwether Place: egi rep</t>
  </si>
  <si>
    <t xml:space="preserve">S5_RESERVES: sale 5 Merriwether Place: reserves</t>
  </si>
  <si>
    <t xml:space="preserve">S5_MGMT_ADJ: sale 5 Merriwether Place: mgmt adj</t>
  </si>
  <si>
    <t xml:space="preserve">S5_NOI_RES: sale 5 Merriwether Place: noi res</t>
  </si>
  <si>
    <t xml:space="preserve">S5_CAP_REP: sale 5 Merriwether Place: cap rep</t>
  </si>
  <si>
    <t xml:space="preserve">S5_CAP_RES: sale 5 Merriwether Place: cap res</t>
  </si>
  <si>
    <t xml:space="preserve">S5_EGIM: sale 5 Merriwether Place: egim</t>
  </si>
  <si>
    <t xml:space="preserve">CAP_REP_MIN: reported cap rates: lowest</t>
  </si>
  <si>
    <t xml:space="preserve">CAP_RES_MIN: restated cap rates: lowest</t>
  </si>
  <si>
    <t xml:space="preserve">CAP_REP_MAX: reported cap rates: highest</t>
  </si>
  <si>
    <t xml:space="preserve">CAP_RES_MAX: restated cap rates: highest</t>
  </si>
  <si>
    <t xml:space="preserve">CAP_REP_MEAN: reported cap rates: mean</t>
  </si>
  <si>
    <t xml:space="preserve">CAP_RES_MEAN: restated cap rates: mean</t>
  </si>
  <si>
    <t xml:space="preserve">CAP_REP_RES_DIFF: mean reported less mean restated, points</t>
  </si>
  <si>
    <t xml:space="preserve">COMP_AVG_MONTHS: average age of the five sales, months</t>
  </si>
  <si>
    <t xml:space="preserve">CAP_EXTRACTED: cap rate concluded from the sales (extraction)</t>
  </si>
  <si>
    <t xml:space="preserve">LTV: Loan to value of typical financing</t>
  </si>
  <si>
    <t xml:space="preserve">RATE: Mortgage interest rate</t>
  </si>
  <si>
    <t xml:space="preserve">AMORT_YEARS: Amortization, years</t>
  </si>
  <si>
    <t xml:space="preserve">EQUITY_DIVIDEND: Equity dividend rate (first-year cash on cash, investor interviews)</t>
  </si>
  <si>
    <t xml:space="preserve">RM: annual mortgage constant</t>
  </si>
  <si>
    <t xml:space="preserve">RM_MONTHLY_PAYMENT: monthly payment per $1,000 of loan</t>
  </si>
  <si>
    <t xml:space="preserve">BAND_DEBT_PART: band of investment: debt component</t>
  </si>
  <si>
    <t xml:space="preserve">BAND_EQUITY_PART: band of investment: equity component</t>
  </si>
  <si>
    <t xml:space="preserve">CAP_BAND: cap rate by band of investment</t>
  </si>
  <si>
    <t xml:space="preserve">DCR: debt coverage ratio required by lenders</t>
  </si>
  <si>
    <t xml:space="preserve">CAP_DCR: cap rate by the debt coverage ratio method</t>
  </si>
  <si>
    <t xml:space="preserve">CAP_BAND_MINUS_EXTRACTED: Band of investment less extraction, points</t>
  </si>
  <si>
    <t xml:space="preserve">CAP_EXTRACTED_MINUS_DCR: Extraction less debt coverage method, points</t>
  </si>
  <si>
    <t xml:space="preserve">CAP_EXTRACTED_MINUS_RATE: Cap rate less mortgage rate (negative leverage), points</t>
  </si>
  <si>
    <t xml:space="preserve">DISCOUNT_MINUS_GROWTH: Discount rate less long-run growth (the yield less growth reading)</t>
  </si>
  <si>
    <t xml:space="preserve">CAP_AT_ROOF_LEVEL: Appraiser's NOI / final value: the rate the appraised value implies</t>
  </si>
  <si>
    <t xml:space="preserve">CAP_AT_PRICE: Appraiser's NOI / contract price: the rate the buyer paid on that NOI</t>
  </si>
  <si>
    <t xml:space="preserve">CAP_AT_PRICE_OWNER_NOI: Owner's NOI / contract price: the rate quoted in the marketing</t>
  </si>
  <si>
    <t xml:space="preserve">CAP_AT_PRICE_BUYER_NOI: Buyer's NOI / contract price: the buyer's going-in rate</t>
  </si>
  <si>
    <t xml:space="preserve">V_DIRECT_STAB: Value as stabilized: NOI / cap rate</t>
  </si>
  <si>
    <t xml:space="preserve">V_DIRECT_STAB_PU: Per unit, as stabilized</t>
  </si>
  <si>
    <t xml:space="preserve">LTL_DEDUCTION: Less loss to lease while leases roll (share of one year)</t>
  </si>
  <si>
    <t xml:space="preserve">ASIS_DEDUCTIONS: As-is deductions, total</t>
  </si>
  <si>
    <t xml:space="preserve">V_DIRECT_ASIS: Value as is, before rounding</t>
  </si>
  <si>
    <t xml:space="preserve">V_DIRECT_ASIS_R: Value as is, rounded to 50,000 (the indication)</t>
  </si>
  <si>
    <t xml:space="preserve">SENS_CAP_0525: value as is at a cap rate of 5.25%</t>
  </si>
  <si>
    <t xml:space="preserve">CAPG_0525: sensitivity grid label: cap rate 5.25%</t>
  </si>
  <si>
    <t xml:space="preserve">SENS_CAP_0550: value as is at a cap rate of 5.50%</t>
  </si>
  <si>
    <t xml:space="preserve">CAPG_0550: sensitivity grid label: cap rate 5.50%</t>
  </si>
  <si>
    <t xml:space="preserve">SENS_CAP_0575: value as is at a cap rate of 5.75%</t>
  </si>
  <si>
    <t xml:space="preserve">CAPG_0575: sensitivity grid label: cap rate 5.75%</t>
  </si>
  <si>
    <t xml:space="preserve">SENS_CAP_0600: value as is at a cap rate of 6.00%</t>
  </si>
  <si>
    <t xml:space="preserve">CAPG_0600: sensitivity grid label: cap rate 6.00%</t>
  </si>
  <si>
    <t xml:space="preserve">SENS_CAP_0625: value as is at a cap rate of 6.25%</t>
  </si>
  <si>
    <t xml:space="preserve">CAPG_0625: sensitivity grid label: cap rate 6.25%</t>
  </si>
  <si>
    <t xml:space="preserve">SENS_CAP_25BP: Value gained by 25 basis points (5.75 to 5.50)</t>
  </si>
  <si>
    <t xml:space="preserve">SENS_CAP_25BP_DOWN: Value lost by 25 basis points (5.75 to 6.00)</t>
  </si>
  <si>
    <t xml:space="preserve">SENS_CAP_25BP_PCT: 25 basis points down, in percent of value</t>
  </si>
  <si>
    <t xml:space="preserve">SENS_VAC_3: value as is at vacancy and collection loss of 3%</t>
  </si>
  <si>
    <t xml:space="preserve">VACG_3: sensitivity grid label: vacancy 3%</t>
  </si>
  <si>
    <t xml:space="preserve">SENS_VAC_4: value as is at vacancy and collection loss of 4%</t>
  </si>
  <si>
    <t xml:space="preserve">VACG_4: sensitivity grid label: vacancy 4%</t>
  </si>
  <si>
    <t xml:space="preserve">SENS_VAC_5: value as is at vacancy and collection loss of 5%</t>
  </si>
  <si>
    <t xml:space="preserve">VACG_5: sensitivity grid label: vacancy 5%</t>
  </si>
  <si>
    <t xml:space="preserve">SENS_VAC_6: value as is at vacancy and collection loss of 6%</t>
  </si>
  <si>
    <t xml:space="preserve">VACG_6: sensitivity grid label: vacancy 6%</t>
  </si>
  <si>
    <t xml:space="preserve">SENS_VAC_7: value as is at vacancy and collection loss of 7%</t>
  </si>
  <si>
    <t xml:space="preserve">VACG_7: sensitivity grid label: vacancy 7%</t>
  </si>
  <si>
    <t xml:space="preserve">SENS_VAC_1PT: Value per point of vacancy</t>
  </si>
  <si>
    <t xml:space="preserve">SENS_RATIO_35: value as is at an expense ratio of 35%</t>
  </si>
  <si>
    <t xml:space="preserve">RATIOG_35: sensitivity grid label: expense ratio 35%</t>
  </si>
  <si>
    <t xml:space="preserve">SENS_RATIO_37: value as is at an expense ratio of 37%</t>
  </si>
  <si>
    <t xml:space="preserve">RATIOG_37: sensitivity grid label: expense ratio 37%</t>
  </si>
  <si>
    <t xml:space="preserve">SENS_RATIO_39: value as is at an expense ratio of 39%</t>
  </si>
  <si>
    <t xml:space="preserve">RATIOG_39: sensitivity grid label: expense ratio 39%</t>
  </si>
  <si>
    <t xml:space="preserve">SENS_RATIO_41: value as is at an expense ratio of 41%</t>
  </si>
  <si>
    <t xml:space="preserve">RATIOG_41: sensitivity grid label: expense ratio 41%</t>
  </si>
  <si>
    <t xml:space="preserve">SENS_RATIO_43: value as is at an expense ratio of 43%</t>
  </si>
  <si>
    <t xml:space="preserve">RATIOG_43: sensitivity grid label: expense ratio 43%</t>
  </si>
  <si>
    <t xml:space="preserve">SENS_RATIO_2PT: Value per two points of expense ratio</t>
  </si>
  <si>
    <t xml:space="preserve">SENS_NOI_10K: Value per $10,000 of NOI at the cap rate</t>
  </si>
  <si>
    <t xml:space="preserve">SENS_RENT_10: Value of $10 a month of rent on every unit, after vacancy and management</t>
  </si>
  <si>
    <t xml:space="preserve">TERMINAL_MINUS_GOING: Terminal less going-in cap rate, points</t>
  </si>
  <si>
    <t xml:space="preserve">DCF_RENT_Y1: DCF year 1: rental income</t>
  </si>
  <si>
    <t xml:space="preserve">DCF_EGI_Y1: DCF year 1: effective gross income</t>
  </si>
  <si>
    <t xml:space="preserve">DCF_EXP_Y1: DCF year 1: operating expenses</t>
  </si>
  <si>
    <t xml:space="preserve">DCF_NOI_Y1: DCF year 1: NOI</t>
  </si>
  <si>
    <t xml:space="preserve">DCF_CAPEX_Y1: DCF year 1: capital items (roofs in year 1)</t>
  </si>
  <si>
    <t xml:space="preserve">DCF_CF_Y1: DCF year 1: cash flow (NOI less capital items)</t>
  </si>
  <si>
    <t xml:space="preserve">DCF_RENT_Y2: DCF year 2: rental income</t>
  </si>
  <si>
    <t xml:space="preserve">DCF_EGI_Y2: DCF year 2: effective gross income</t>
  </si>
  <si>
    <t xml:space="preserve">DCF_EXP_Y2: DCF year 2: operating expenses</t>
  </si>
  <si>
    <t xml:space="preserve">DCF_NOI_Y2: DCF year 2: NOI</t>
  </si>
  <si>
    <t xml:space="preserve">DCF_CAPEX_Y2: DCF year 2: capital items (roofs in year 1)</t>
  </si>
  <si>
    <t xml:space="preserve">DCF_CF_Y2: DCF year 2: cash flow (NOI less capital items)</t>
  </si>
  <si>
    <t xml:space="preserve">DCF_RENT_Y3: DCF year 3: rental income</t>
  </si>
  <si>
    <t xml:space="preserve">DCF_EGI_Y3: DCF year 3: effective gross income</t>
  </si>
  <si>
    <t xml:space="preserve">DCF_EXP_Y3: DCF year 3: operating expenses</t>
  </si>
  <si>
    <t xml:space="preserve">DCF_NOI_Y3: DCF year 3: NOI</t>
  </si>
  <si>
    <t xml:space="preserve">DCF_CAPEX_Y3: DCF year 3: capital items (roofs in year 1)</t>
  </si>
  <si>
    <t xml:space="preserve">DCF_CF_Y3: DCF year 3: cash flow (NOI less capital items)</t>
  </si>
  <si>
    <t xml:space="preserve">DCF_RENT_Y4: DCF year 4: rental income</t>
  </si>
  <si>
    <t xml:space="preserve">DCF_EGI_Y4: DCF year 4: effective gross income</t>
  </si>
  <si>
    <t xml:space="preserve">DCF_EXP_Y4: DCF year 4: operating expenses</t>
  </si>
  <si>
    <t xml:space="preserve">DCF_NOI_Y4: DCF year 4: NOI</t>
  </si>
  <si>
    <t xml:space="preserve">DCF_CAPEX_Y4: DCF year 4: capital items (roofs in year 1)</t>
  </si>
  <si>
    <t xml:space="preserve">DCF_CF_Y4: DCF year 4: cash flow (NOI less capital items)</t>
  </si>
  <si>
    <t xml:space="preserve">DCF_RENT_Y5: DCF year 5: rental income</t>
  </si>
  <si>
    <t xml:space="preserve">DCF_EGI_Y5: DCF year 5: effective gross income</t>
  </si>
  <si>
    <t xml:space="preserve">DCF_EXP_Y5: DCF year 5: operating expenses</t>
  </si>
  <si>
    <t xml:space="preserve">DCF_NOI_Y5: DCF year 5: NOI</t>
  </si>
  <si>
    <t xml:space="preserve">DCF_CAPEX_Y5: DCF year 5: capital items (roofs in year 1)</t>
  </si>
  <si>
    <t xml:space="preserve">DCF_CF_Y5: DCF year 5: cash flow (NOI less capital items)</t>
  </si>
  <si>
    <t xml:space="preserve">DCF_RENT_Y6: DCF year 6: rental income</t>
  </si>
  <si>
    <t xml:space="preserve">DCF_EGI_Y6: DCF year 6: effective gross income</t>
  </si>
  <si>
    <t xml:space="preserve">DCF_EXP_Y6: DCF year 6: operating expenses</t>
  </si>
  <si>
    <t xml:space="preserve">DCF_NOI_Y6: DCF year 6: NOI</t>
  </si>
  <si>
    <t xml:space="preserve">DCF_CAPEX_Y6: DCF year 6: capital items (roofs in year 1)</t>
  </si>
  <si>
    <t xml:space="preserve">DCF_CF_Y6: DCF year 6: cash flow (NOI less capital items)</t>
  </si>
  <si>
    <t xml:space="preserve">DCF_RENT_Y7: DCF year 7: rental income</t>
  </si>
  <si>
    <t xml:space="preserve">DCF_EGI_Y7: DCF year 7: effective gross income</t>
  </si>
  <si>
    <t xml:space="preserve">DCF_EXP_Y7: DCF year 7: operating expenses</t>
  </si>
  <si>
    <t xml:space="preserve">DCF_NOI_Y7: DCF year 7: NOI</t>
  </si>
  <si>
    <t xml:space="preserve">DCF_CAPEX_Y7: DCF year 7: capital items (roofs in year 1)</t>
  </si>
  <si>
    <t xml:space="preserve">DCF_CF_Y7: DCF year 7: cash flow (NOI less capital items)</t>
  </si>
  <si>
    <t xml:space="preserve">DCF_RENT_Y8: DCF year 8: rental income</t>
  </si>
  <si>
    <t xml:space="preserve">DCF_EGI_Y8: DCF year 8: effective gross income</t>
  </si>
  <si>
    <t xml:space="preserve">DCF_EXP_Y8: DCF year 8: operating expenses</t>
  </si>
  <si>
    <t xml:space="preserve">DCF_NOI_Y8: DCF year 8: NOI</t>
  </si>
  <si>
    <t xml:space="preserve">DCF_CAPEX_Y8: DCF year 8: capital items (roofs in year 1)</t>
  </si>
  <si>
    <t xml:space="preserve">DCF_CF_Y8: DCF year 8: cash flow (NOI less capital items)</t>
  </si>
  <si>
    <t xml:space="preserve">DCF_RENT_Y9: DCF year 9: rental income</t>
  </si>
  <si>
    <t xml:space="preserve">DCF_EGI_Y9: DCF year 9: effective gross income</t>
  </si>
  <si>
    <t xml:space="preserve">DCF_EXP_Y9: DCF year 9: operating expenses</t>
  </si>
  <si>
    <t xml:space="preserve">DCF_NOI_Y9: DCF year 9: NOI</t>
  </si>
  <si>
    <t xml:space="preserve">DCF_CAPEX_Y9: DCF year 9: capital items (roofs in year 1)</t>
  </si>
  <si>
    <t xml:space="preserve">DCF_CF_Y9: DCF year 9: cash flow (NOI less capital items)</t>
  </si>
  <si>
    <t xml:space="preserve">DCF_RENT_Y10: DCF year 10: rental income</t>
  </si>
  <si>
    <t xml:space="preserve">DCF_EGI_Y10: DCF year 10: effective gross income</t>
  </si>
  <si>
    <t xml:space="preserve">DCF_EXP_Y10: DCF year 10: operating expenses</t>
  </si>
  <si>
    <t xml:space="preserve">DCF_NOI_Y10: DCF year 10: NOI</t>
  </si>
  <si>
    <t xml:space="preserve">DCF_CAPEX_Y10: DCF year 10: capital items (roofs in year 1)</t>
  </si>
  <si>
    <t xml:space="preserve">DCF_CF_Y10: DCF year 10: cash flow (NOI less capital items)</t>
  </si>
  <si>
    <t xml:space="preserve">DCF_RENT_Y11: DCF year 11: rental income</t>
  </si>
  <si>
    <t xml:space="preserve">DCF_EGI_Y11: DCF year 11: effective gross income</t>
  </si>
  <si>
    <t xml:space="preserve">DCF_EXP_Y11: DCF year 11: operating expenses</t>
  </si>
  <si>
    <t xml:space="preserve">DCF_NOI_Y11: DCF year 11: NOI</t>
  </si>
  <si>
    <t xml:space="preserve">DCF_REV_GROSS: Reversion: year 11 NOI capitalized at the terminal rate</t>
  </si>
  <si>
    <t xml:space="preserve">DCF_REV_COSTS: Less selling costs</t>
  </si>
  <si>
    <t xml:space="preserve">DCF_REV_NET: Net reversion</t>
  </si>
  <si>
    <t xml:space="preserve">DCF_PV_REV: Present value of the net reversion (discounted from the end of year 10)</t>
  </si>
  <si>
    <t xml:space="preserve">DCF_PV_CF: Present value of the ten cash flows</t>
  </si>
  <si>
    <t xml:space="preserve">DCF_REV_SHARE: Share of the value that is the reversion</t>
  </si>
  <si>
    <t xml:space="preserve">DCF_IMPLIED_CAP: Cap rate the DCF implies: year 1 NOI / value</t>
  </si>
  <si>
    <t xml:space="preserve">V_DCF_R: DCF value, rounded to 50,000 (the indication)</t>
  </si>
  <si>
    <t xml:space="preserve">V_DCF_PU: DCF indication per unit</t>
  </si>
  <si>
    <t xml:space="preserve">DIRECT_MINUS_DCF: Direct capitalization less DCF (rounded indications)</t>
  </si>
  <si>
    <t xml:space="preserve">V_INCOME_R: Income approach: the reconciled indication (midpoint of the two, rounded)</t>
  </si>
  <si>
    <t xml:space="preserve">DCF_NOI_GROWTH_Y2: NOI growth, year 1 to year 2 (leases roll to market)</t>
  </si>
  <si>
    <t xml:space="preserve">DCF_NOI_CAGR: NOI growth a year, year 1 to year 10</t>
  </si>
  <si>
    <t xml:space="preserve">MAX_LTV: Maximum loan to value</t>
  </si>
  <si>
    <t xml:space="preserve">MIN_DSCR: Minimum debt coverage ratio</t>
  </si>
  <si>
    <t xml:space="preserve">LOAN_BASIS: Loan basis: the lesser of value and price</t>
  </si>
  <si>
    <t xml:space="preserve">LOAN_LTV: Loan at the maximum loan to value on the basis</t>
  </si>
  <si>
    <t xml:space="preserve">LOAN_DSCR: Loan at which debt service is NOI / minimum coverage</t>
  </si>
  <si>
    <t xml:space="preserve">LOAN: Loan approved: the lesser of the two</t>
  </si>
  <si>
    <t xml:space="preserve">LOAN_LTV_MINUS_DSCR: LTV loan less DSCR loan</t>
  </si>
  <si>
    <t xml:space="preserve">LOAN_EXPECTED: Loan the buyer expected: maximum loan to value on the price</t>
  </si>
  <si>
    <t xml:space="preserve">LOAN_ON_PRICE_65: 65 percent of price (the same figure, as the book quotes it)</t>
  </si>
  <si>
    <t xml:space="preserve">LOAN_SHORTFALL: Extra equity the buyer must bring</t>
  </si>
  <si>
    <t xml:space="preserve">LOAN_DS: Annual debt service on the approved loan</t>
  </si>
  <si>
    <t xml:space="preserve">LOAN_DSCR_ACTUAL: Debt coverage on the approved loan</t>
  </si>
  <si>
    <t xml:space="preserve">LOAN_LTV_PRICE: Approved loan as a share of price</t>
  </si>
  <si>
    <t xml:space="preserve">LOAN_LTV_VALUE: Approved loan as a share of value</t>
  </si>
  <si>
    <t xml:space="preserve">EQUITY_AT_VALUE: Buyer's equity with the approved loan (price less loan)</t>
  </si>
  <si>
    <t xml:space="preserve">EQUITY_EXPECTED: Buyer's equity as planned (price less expected loan)</t>
  </si>
  <si>
    <t xml:space="preserve">CONSTR_V_ASIS: Value as is: the land</t>
  </si>
  <si>
    <t xml:space="preserve">CONSTR_V_STABILIZED: Prospective value as stabilized: NOI / cap rate</t>
  </si>
  <si>
    <t xml:space="preserve">LEASE_UP_COST: Lease-up deduction (rent lost, concessions, marketing over 12 months)</t>
  </si>
  <si>
    <t xml:space="preserve">CONSTR_V_COMPLETED: Prospective value as complete: as stabilized less lease-up</t>
  </si>
  <si>
    <t xml:space="preserve">CONSTRUCTION_LTC: Maximum loan to cost</t>
  </si>
  <si>
    <t xml:space="preserve">CONSTRUCTION_LTV: Maximum loan to stabilized value</t>
  </si>
  <si>
    <t xml:space="preserve">CONSTR_LTC_LOAN: Loan at the maximum loan to cost</t>
  </si>
  <si>
    <t xml:space="preserve">CONSTR_LTV_LOAN: Loan at the maximum loan to stabilized value</t>
  </si>
  <si>
    <t xml:space="preserve">CONSTR_LOAN: Construction loan: the lesser</t>
  </si>
  <si>
    <t xml:space="preserve">CONSTR_DSCR: Coverage at stabilization on the permanent constant</t>
  </si>
  <si>
    <t xml:space="preserve">CONSTR_EQUITY: Developer's equity: total cost less the loan</t>
  </si>
  <si>
    <t xml:space="preserve">WRONG_SEGMENT_CAP: Cap rate taken from the wrong segment</t>
  </si>
  <si>
    <t xml:space="preserve">REV_SEGMENT_VALUE: Value as is at that rate</t>
  </si>
  <si>
    <t xml:space="preserve">REV_SEGMENT_DIFF: Overstatement against the as-is direct capitalization value</t>
  </si>
  <si>
    <t xml:space="preserve">REV_SEGMENT_PCT: Overstatement in percent</t>
  </si>
  <si>
    <t xml:space="preserve">REV_OWNER_VALUE: Value as is on the owner's NOI at the extracted rate</t>
  </si>
  <si>
    <t xml:space="preserve">REV_OWNER_DIFF: Overstatement</t>
  </si>
  <si>
    <t xml:space="preserve">REV_OWNER_PCT: Overstatement in percent</t>
  </si>
  <si>
    <t xml:space="preserve">REV_NORES_NOI: NOI without reserves</t>
  </si>
  <si>
    <t xml:space="preserve">REV_NORES_VALUE: Value as is at the reserve-inclusive cap rate</t>
  </si>
  <si>
    <t xml:space="preserve">REV_NORES_DIFF: Overstatement</t>
  </si>
  <si>
    <t xml:space="preserve">REV_NORES_PCT: Overstatement in percent</t>
  </si>
  <si>
    <t xml:space="preserve">HIGH_RENT_GROWTH: Rent growth applied in every year</t>
  </si>
  <si>
    <t xml:space="preserve">REV_GROWTH_VALUE: DCF value at that growth rate</t>
  </si>
  <si>
    <t xml:space="preserve">REV_GROWTH_DIFF: Overstatement against the appraiser's DCF</t>
  </si>
  <si>
    <t xml:space="preserve">REV_GROWTH_PCT: Overstatement in percent</t>
  </si>
  <si>
    <t xml:space="preserve">REV_TERMINAL_VALUE: DCF value with the flat terminal rate</t>
  </si>
  <si>
    <t xml:space="preserve">REV_TERMINAL_DIFF: Overstatement against the appraiser's DCF</t>
  </si>
  <si>
    <t xml:space="preserve">REV_TERMINAL_PCT: Overstatement in percent</t>
  </si>
</sst>
</file>

<file path=xl/styles.xml><?xml version="1.0" encoding="utf-8"?>
<styleSheet xmlns="http://schemas.openxmlformats.org/spreadsheetml/2006/main">
  <numFmts count="16">
    <numFmt numFmtId="164" formatCode="General"/>
    <numFmt numFmtId="165" formatCode="0"/>
    <numFmt numFmtId="166" formatCode="#,##0.00"/>
    <numFmt numFmtId="167" formatCode="#,##0"/>
    <numFmt numFmtId="168" formatCode="0.0%"/>
    <numFmt numFmtId="169" formatCode="\$#,##0;&quot;-$&quot;#,##0;\$0"/>
    <numFmt numFmtId="170" formatCode="#,##0.0"/>
    <numFmt numFmtId="171" formatCode="0%"/>
    <numFmt numFmtId="172" formatCode="0.000%"/>
    <numFmt numFmtId="173" formatCode="0.00%"/>
    <numFmt numFmtId="174" formatCode="\$#,##0.00;&quot;-$&quot;#,##0.00;\$0.00"/>
    <numFmt numFmtId="175" formatCode="0.000000"/>
    <numFmt numFmtId="176" formatCode="#,##0.0000"/>
    <numFmt numFmtId="177" formatCode="0.00000%"/>
    <numFmt numFmtId="178" formatCode="0.0000%"/>
    <numFmt numFmtId="179" formatCode="#,##0.0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3" fontId="10" fillId="3"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45" hidden="false" customHeight="true" outlineLevel="0" collapsed="false">
      <c r="B6" s="3" t="s">
        <v>3</v>
      </c>
    </row>
    <row r="7" customFormat="false" ht="15" hidden="false" customHeight="false" outlineLevel="0" collapsed="false">
      <c r="B7" s="4" t="s">
        <v>4</v>
      </c>
    </row>
    <row r="8" customFormat="false" ht="30" hidden="false" customHeight="true" outlineLevel="0" collapsed="false">
      <c r="B8" s="3" t="s">
        <v>5</v>
      </c>
    </row>
    <row r="9" customFormat="false" ht="15" hidden="false" customHeight="false" outlineLevel="0" collapsed="false">
      <c r="B9" s="4" t="s">
        <v>6</v>
      </c>
    </row>
    <row r="10" customFormat="false" ht="1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45" hidden="false" customHeight="true" outlineLevel="0" collapsed="false">
      <c r="B15" s="3" t="s">
        <v>12</v>
      </c>
    </row>
    <row r="16" customFormat="false" ht="15" hidden="false" customHeight="false" outlineLevel="0" collapsed="false">
      <c r="B16" s="3"/>
    </row>
    <row r="17" customFormat="false" ht="30"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9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8"/>
    <col collapsed="false" customWidth="true" hidden="false" outlineLevel="0" max="4" min="3" style="0" width="15"/>
    <col collapsed="false" customWidth="true" hidden="false" outlineLevel="0" max="10" min="5" style="0" width="16"/>
    <col collapsed="false" customWidth="true" hidden="false" outlineLevel="0" max="11" min="11" style="0" width="34"/>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row>
    <row r="6" customFormat="false" ht="15" hidden="false" customHeight="false" outlineLevel="0" collapsed="false">
      <c r="B6" s="9" t="s">
        <v>17</v>
      </c>
      <c r="C6" s="10" t="n">
        <v>72</v>
      </c>
    </row>
    <row r="7" customFormat="false" ht="15" hidden="false" customHeight="false" outlineLevel="0" collapsed="false">
      <c r="B7" s="9" t="s">
        <v>18</v>
      </c>
      <c r="C7" s="10" t="n">
        <v>1999</v>
      </c>
    </row>
    <row r="8" customFormat="false" ht="15" hidden="false" customHeight="false" outlineLevel="0" collapsed="false">
      <c r="B8" s="9" t="s">
        <v>19</v>
      </c>
      <c r="C8" s="10" t="n">
        <v>2026</v>
      </c>
      <c r="D8" s="6" t="s">
        <v>20</v>
      </c>
    </row>
    <row r="9" customFormat="false" ht="15" hidden="false" customHeight="false" outlineLevel="0" collapsed="false">
      <c r="B9" s="9" t="s">
        <v>21</v>
      </c>
      <c r="C9" s="11" t="n">
        <f aca="false">$C$8-$C$7</f>
        <v>27</v>
      </c>
    </row>
    <row r="10" customFormat="false" ht="15" hidden="false" customHeight="false" outlineLevel="0" collapsed="false">
      <c r="B10" s="9" t="s">
        <v>22</v>
      </c>
      <c r="C10" s="12" t="n">
        <v>4.2</v>
      </c>
    </row>
    <row r="11" customFormat="false" ht="15" hidden="false" customHeight="false" outlineLevel="0" collapsed="false">
      <c r="B11" s="9" t="s">
        <v>23</v>
      </c>
      <c r="C11" s="13" t="n">
        <v>182952</v>
      </c>
    </row>
    <row r="12" customFormat="false" ht="15" hidden="false" customHeight="false" outlineLevel="0" collapsed="false">
      <c r="B12" s="9" t="s">
        <v>24</v>
      </c>
      <c r="C12" s="10" t="n">
        <v>20</v>
      </c>
      <c r="D12" s="6" t="s">
        <v>25</v>
      </c>
    </row>
    <row r="13" customFormat="false" ht="15" hidden="false" customHeight="false" outlineLevel="0" collapsed="false">
      <c r="B13" s="9" t="s">
        <v>26</v>
      </c>
      <c r="C13" s="11" t="n">
        <f aca="false">ROUND($C$10*$C$12,0)</f>
        <v>84</v>
      </c>
    </row>
    <row r="14" customFormat="false" ht="15" hidden="false" customHeight="false" outlineLevel="0" collapsed="false">
      <c r="B14" s="9" t="s">
        <v>27</v>
      </c>
      <c r="C14" s="13" t="n">
        <v>70400</v>
      </c>
    </row>
    <row r="15" customFormat="false" ht="15" hidden="false" customHeight="false" outlineLevel="0" collapsed="false">
      <c r="B15" s="9" t="s">
        <v>28</v>
      </c>
      <c r="C15" s="10" t="n">
        <v>68</v>
      </c>
    </row>
    <row r="16" customFormat="false" ht="15" hidden="false" customHeight="false" outlineLevel="0" collapsed="false">
      <c r="B16" s="9" t="s">
        <v>29</v>
      </c>
      <c r="C16" s="14" t="n">
        <f aca="false">$C$15/$C$6</f>
        <v>0.944444444444444</v>
      </c>
    </row>
    <row r="17" customFormat="false" ht="15" hidden="false" customHeight="false" outlineLevel="0" collapsed="false">
      <c r="B17" s="9" t="s">
        <v>30</v>
      </c>
      <c r="C17" s="11" t="n">
        <f aca="false">$C$6-$C$15</f>
        <v>4</v>
      </c>
    </row>
    <row r="19" customFormat="false" ht="15" hidden="false" customHeight="false" outlineLevel="0" collapsed="false">
      <c r="B19" s="7" t="s">
        <v>31</v>
      </c>
      <c r="C19" s="8"/>
      <c r="D19" s="8"/>
      <c r="E19" s="8"/>
      <c r="F19" s="8"/>
      <c r="G19" s="8"/>
      <c r="H19" s="8"/>
      <c r="I19" s="8"/>
      <c r="J19" s="8"/>
    </row>
    <row r="20" customFormat="false" ht="30" hidden="false" customHeight="true" outlineLevel="0" collapsed="false">
      <c r="B20" s="15" t="s">
        <v>32</v>
      </c>
      <c r="C20" s="16" t="s">
        <v>17</v>
      </c>
      <c r="D20" s="16" t="s">
        <v>33</v>
      </c>
      <c r="E20" s="16" t="s">
        <v>34</v>
      </c>
      <c r="F20" s="16" t="s">
        <v>35</v>
      </c>
      <c r="G20" s="16" t="s">
        <v>36</v>
      </c>
      <c r="H20" s="16" t="s">
        <v>37</v>
      </c>
      <c r="I20" s="16" t="s">
        <v>38</v>
      </c>
      <c r="J20" s="16" t="s">
        <v>39</v>
      </c>
    </row>
    <row r="21" customFormat="false" ht="15" hidden="false" customHeight="false" outlineLevel="0" collapsed="false">
      <c r="B21" s="9" t="s">
        <v>40</v>
      </c>
      <c r="C21" s="10" t="n">
        <v>24</v>
      </c>
      <c r="D21" s="13" t="n">
        <v>700</v>
      </c>
      <c r="E21" s="17" t="n">
        <v>1180</v>
      </c>
      <c r="F21" s="17" t="n">
        <v>1135</v>
      </c>
      <c r="G21" s="18" t="n">
        <f aca="false">E21-F21</f>
        <v>45</v>
      </c>
      <c r="H21" s="18" t="n">
        <f aca="false">C21*E21*12</f>
        <v>339840</v>
      </c>
      <c r="I21" s="18" t="n">
        <f aca="false">C21*F21*12</f>
        <v>326880</v>
      </c>
      <c r="J21" s="19" t="n">
        <f aca="false">E21/D21</f>
        <v>1.68571428571429</v>
      </c>
    </row>
    <row r="22" customFormat="false" ht="15" hidden="false" customHeight="false" outlineLevel="0" collapsed="false">
      <c r="B22" s="9" t="s">
        <v>41</v>
      </c>
      <c r="C22" s="10" t="n">
        <v>40</v>
      </c>
      <c r="D22" s="13" t="n">
        <v>950</v>
      </c>
      <c r="E22" s="17" t="n">
        <v>1420</v>
      </c>
      <c r="F22" s="17" t="n">
        <v>1370</v>
      </c>
      <c r="G22" s="18" t="n">
        <f aca="false">E22-F22</f>
        <v>50</v>
      </c>
      <c r="H22" s="18" t="n">
        <f aca="false">C22*E22*12</f>
        <v>681600</v>
      </c>
      <c r="I22" s="18" t="n">
        <f aca="false">C22*F22*12</f>
        <v>657600</v>
      </c>
      <c r="J22" s="19" t="n">
        <f aca="false">E22/D22</f>
        <v>1.49473684210526</v>
      </c>
    </row>
    <row r="23" customFormat="false" ht="15" hidden="false" customHeight="false" outlineLevel="0" collapsed="false">
      <c r="B23" s="9" t="s">
        <v>42</v>
      </c>
      <c r="C23" s="10" t="n">
        <v>8</v>
      </c>
      <c r="D23" s="13" t="n">
        <v>1150</v>
      </c>
      <c r="E23" s="17" t="n">
        <v>1690</v>
      </c>
      <c r="F23" s="17" t="n">
        <v>1640</v>
      </c>
      <c r="G23" s="18" t="n">
        <f aca="false">E23-F23</f>
        <v>50</v>
      </c>
      <c r="H23" s="18" t="n">
        <f aca="false">C23*E23*12</f>
        <v>162240</v>
      </c>
      <c r="I23" s="18" t="n">
        <f aca="false">C23*F23*12</f>
        <v>157440</v>
      </c>
      <c r="J23" s="19" t="n">
        <f aca="false">E23/D23</f>
        <v>1.4695652173913</v>
      </c>
    </row>
    <row r="24" customFormat="false" ht="15" hidden="false" customHeight="false" outlineLevel="0" collapsed="false">
      <c r="B24" s="20" t="s">
        <v>43</v>
      </c>
      <c r="C24" s="21" t="n">
        <f aca="false">SUM(C21:C23)</f>
        <v>72</v>
      </c>
      <c r="H24" s="22" t="n">
        <f aca="false">SUM(H21:H23)</f>
        <v>1183680</v>
      </c>
      <c r="I24" s="22" t="n">
        <f aca="false">SUM(I21:I23)</f>
        <v>1141920</v>
      </c>
    </row>
    <row r="26" customFormat="false" ht="15" hidden="false" customHeight="false" outlineLevel="0" collapsed="false">
      <c r="B26" s="9" t="s">
        <v>44</v>
      </c>
      <c r="C26" s="23" t="n">
        <f aca="false">SUMPRODUCT(C21:C23,D21:D23)</f>
        <v>64000</v>
      </c>
    </row>
    <row r="27" customFormat="false" ht="15" hidden="false" customHeight="false" outlineLevel="0" collapsed="false">
      <c r="B27" s="9" t="s">
        <v>45</v>
      </c>
      <c r="C27" s="24" t="n">
        <f aca="false">$C$26/$C$6</f>
        <v>888.888888888889</v>
      </c>
    </row>
    <row r="28" customFormat="false" ht="15" hidden="false" customHeight="false" outlineLevel="0" collapsed="false">
      <c r="B28" s="9" t="s">
        <v>46</v>
      </c>
      <c r="C28" s="18" t="n">
        <f aca="false">$H$24-$I$24</f>
        <v>41760</v>
      </c>
    </row>
    <row r="29" customFormat="false" ht="15" hidden="false" customHeight="false" outlineLevel="0" collapsed="false">
      <c r="B29" s="9" t="s">
        <v>47</v>
      </c>
      <c r="C29" s="14" t="n">
        <f aca="false">$C$28/$H$24</f>
        <v>0.0352798053527981</v>
      </c>
    </row>
    <row r="30" customFormat="false" ht="15" hidden="false" customHeight="false" outlineLevel="0" collapsed="false">
      <c r="B30" s="9" t="s">
        <v>48</v>
      </c>
      <c r="C30" s="18" t="n">
        <f aca="false">$H$24/12/$C$6</f>
        <v>1370</v>
      </c>
    </row>
    <row r="31" customFormat="false" ht="15" hidden="false" customHeight="false" outlineLevel="0" collapsed="false">
      <c r="B31" s="9" t="s">
        <v>49</v>
      </c>
      <c r="C31" s="18" t="n">
        <f aca="false">$I$24/12/$C$6</f>
        <v>1321.66666666667</v>
      </c>
    </row>
    <row r="32" customFormat="false" ht="15" hidden="false" customHeight="false" outlineLevel="0" collapsed="false">
      <c r="B32" s="9" t="s">
        <v>50</v>
      </c>
      <c r="C32" s="19" t="n">
        <f aca="false">$H$24/12/$C$26</f>
        <v>1.54125</v>
      </c>
    </row>
    <row r="33" customFormat="false" ht="15" hidden="false" customHeight="false" outlineLevel="0" collapsed="false">
      <c r="B33" s="9" t="s">
        <v>51</v>
      </c>
      <c r="C33" s="17" t="n">
        <v>40</v>
      </c>
    </row>
    <row r="34" customFormat="false" ht="15" hidden="false" customHeight="false" outlineLevel="0" collapsed="false">
      <c r="B34" s="9" t="s">
        <v>52</v>
      </c>
      <c r="C34" s="18" t="n">
        <f aca="false">$C$6*$C$33*12</f>
        <v>34560</v>
      </c>
    </row>
    <row r="35" customFormat="false" ht="15" hidden="false" customHeight="false" outlineLevel="0" collapsed="false">
      <c r="B35" s="9" t="s">
        <v>53</v>
      </c>
      <c r="C35" s="17" t="n">
        <v>150000</v>
      </c>
    </row>
    <row r="36" customFormat="false" ht="15" hidden="false" customHeight="false" outlineLevel="0" collapsed="false">
      <c r="B36" s="9" t="s">
        <v>54</v>
      </c>
      <c r="C36" s="18" t="n">
        <f aca="false">$C$35/$C$6</f>
        <v>2083.33333333333</v>
      </c>
    </row>
    <row r="37" customFormat="false" ht="15" hidden="false" customHeight="false" outlineLevel="0" collapsed="false">
      <c r="B37" s="9" t="s">
        <v>55</v>
      </c>
      <c r="C37" s="25" t="n">
        <v>0.5</v>
      </c>
    </row>
    <row r="39" customFormat="false" ht="15" hidden="false" customHeight="false" outlineLevel="0" collapsed="false">
      <c r="B39" s="7" t="s">
        <v>56</v>
      </c>
      <c r="C39" s="8"/>
      <c r="D39" s="8"/>
      <c r="E39" s="8"/>
      <c r="F39" s="8"/>
      <c r="G39" s="8"/>
      <c r="H39" s="8"/>
    </row>
    <row r="40" customFormat="false" ht="30" hidden="false" customHeight="true" outlineLevel="0" collapsed="false">
      <c r="B40" s="15" t="s">
        <v>57</v>
      </c>
      <c r="C40" s="16" t="s">
        <v>58</v>
      </c>
      <c r="D40" s="16" t="s">
        <v>32</v>
      </c>
      <c r="E40" s="16" t="s">
        <v>33</v>
      </c>
      <c r="F40" s="16" t="s">
        <v>59</v>
      </c>
      <c r="G40" s="16" t="s">
        <v>60</v>
      </c>
      <c r="H40" s="16" t="s">
        <v>61</v>
      </c>
    </row>
    <row r="41" customFormat="false" ht="15" hidden="false" customHeight="false" outlineLevel="0" collapsed="false">
      <c r="B41" s="26" t="n">
        <v>1</v>
      </c>
      <c r="C41" s="27" t="s">
        <v>62</v>
      </c>
      <c r="D41" s="28" t="s">
        <v>63</v>
      </c>
      <c r="E41" s="13" t="n">
        <v>705</v>
      </c>
      <c r="F41" s="17" t="n">
        <v>1210</v>
      </c>
      <c r="G41" s="19" t="n">
        <f aca="false">F41/E41</f>
        <v>1.71631205673759</v>
      </c>
      <c r="H41" s="9" t="s">
        <v>64</v>
      </c>
    </row>
    <row r="42" customFormat="false" ht="15" hidden="false" customHeight="false" outlineLevel="0" collapsed="false">
      <c r="B42" s="26" t="n">
        <v>2</v>
      </c>
      <c r="C42" s="27" t="s">
        <v>65</v>
      </c>
      <c r="D42" s="28" t="s">
        <v>63</v>
      </c>
      <c r="E42" s="13" t="n">
        <v>690</v>
      </c>
      <c r="F42" s="17" t="n">
        <v>1140</v>
      </c>
      <c r="G42" s="19" t="n">
        <f aca="false">F42/E42</f>
        <v>1.65217391304348</v>
      </c>
      <c r="H42" s="9" t="s">
        <v>66</v>
      </c>
    </row>
    <row r="43" customFormat="false" ht="15" hidden="false" customHeight="false" outlineLevel="0" collapsed="false">
      <c r="B43" s="26" t="n">
        <v>3</v>
      </c>
      <c r="C43" s="27" t="s">
        <v>67</v>
      </c>
      <c r="D43" s="28" t="s">
        <v>63</v>
      </c>
      <c r="E43" s="13" t="n">
        <v>710</v>
      </c>
      <c r="F43" s="17" t="n">
        <v>1195</v>
      </c>
      <c r="G43" s="19" t="n">
        <f aca="false">F43/E43</f>
        <v>1.6830985915493</v>
      </c>
      <c r="H43" s="9" t="s">
        <v>68</v>
      </c>
    </row>
    <row r="44" customFormat="false" ht="15" hidden="false" customHeight="false" outlineLevel="0" collapsed="false">
      <c r="B44" s="26" t="n">
        <v>4</v>
      </c>
      <c r="C44" s="27" t="s">
        <v>62</v>
      </c>
      <c r="D44" s="28" t="s">
        <v>69</v>
      </c>
      <c r="E44" s="13" t="n">
        <v>960</v>
      </c>
      <c r="F44" s="17" t="n">
        <v>1460</v>
      </c>
      <c r="G44" s="19" t="n">
        <f aca="false">F44/E44</f>
        <v>1.52083333333333</v>
      </c>
      <c r="H44" s="9" t="s">
        <v>64</v>
      </c>
    </row>
    <row r="45" customFormat="false" ht="15" hidden="false" customHeight="false" outlineLevel="0" collapsed="false">
      <c r="B45" s="26" t="n">
        <v>5</v>
      </c>
      <c r="C45" s="27" t="s">
        <v>65</v>
      </c>
      <c r="D45" s="28" t="s">
        <v>69</v>
      </c>
      <c r="E45" s="13" t="n">
        <v>940</v>
      </c>
      <c r="F45" s="17" t="n">
        <v>1375</v>
      </c>
      <c r="G45" s="19" t="n">
        <f aca="false">F45/E45</f>
        <v>1.46276595744681</v>
      </c>
      <c r="H45" s="9" t="s">
        <v>66</v>
      </c>
    </row>
    <row r="46" customFormat="false" ht="15" hidden="false" customHeight="false" outlineLevel="0" collapsed="false">
      <c r="B46" s="26" t="n">
        <v>6</v>
      </c>
      <c r="C46" s="27" t="s">
        <v>67</v>
      </c>
      <c r="D46" s="28" t="s">
        <v>69</v>
      </c>
      <c r="E46" s="13" t="n">
        <v>945</v>
      </c>
      <c r="F46" s="17" t="n">
        <v>1425</v>
      </c>
      <c r="G46" s="19" t="n">
        <f aca="false">F46/E46</f>
        <v>1.50793650793651</v>
      </c>
      <c r="H46" s="9" t="s">
        <v>68</v>
      </c>
    </row>
    <row r="47" customFormat="false" ht="15" hidden="false" customHeight="false" outlineLevel="0" collapsed="false">
      <c r="B47" s="26" t="n">
        <v>7</v>
      </c>
      <c r="C47" s="27" t="s">
        <v>70</v>
      </c>
      <c r="D47" s="28" t="s">
        <v>69</v>
      </c>
      <c r="E47" s="13" t="n">
        <v>950</v>
      </c>
      <c r="F47" s="17" t="n">
        <v>1510</v>
      </c>
      <c r="G47" s="19" t="n">
        <f aca="false">F47/E47</f>
        <v>1.58947368421053</v>
      </c>
      <c r="H47" s="9" t="s">
        <v>71</v>
      </c>
    </row>
    <row r="48" customFormat="false" ht="15" hidden="false" customHeight="false" outlineLevel="0" collapsed="false">
      <c r="B48" s="26" t="n">
        <v>8</v>
      </c>
      <c r="C48" s="27" t="s">
        <v>62</v>
      </c>
      <c r="D48" s="28" t="s">
        <v>72</v>
      </c>
      <c r="E48" s="13" t="n">
        <v>1160</v>
      </c>
      <c r="F48" s="17" t="n">
        <v>1740</v>
      </c>
      <c r="G48" s="19" t="n">
        <f aca="false">F48/E48</f>
        <v>1.5</v>
      </c>
      <c r="H48" s="9" t="s">
        <v>64</v>
      </c>
    </row>
    <row r="49" customFormat="false" ht="15" hidden="false" customHeight="false" outlineLevel="0" collapsed="false">
      <c r="B49" s="26" t="n">
        <v>9</v>
      </c>
      <c r="C49" s="27" t="s">
        <v>65</v>
      </c>
      <c r="D49" s="28" t="s">
        <v>72</v>
      </c>
      <c r="E49" s="13" t="n">
        <v>1140</v>
      </c>
      <c r="F49" s="17" t="n">
        <v>1650</v>
      </c>
      <c r="G49" s="19" t="n">
        <f aca="false">F49/E49</f>
        <v>1.44736842105263</v>
      </c>
      <c r="H49" s="9" t="s">
        <v>66</v>
      </c>
    </row>
    <row r="50" customFormat="false" ht="15" hidden="false" customHeight="false" outlineLevel="0" collapsed="false">
      <c r="B50" s="26" t="n">
        <v>10</v>
      </c>
      <c r="C50" s="27" t="s">
        <v>67</v>
      </c>
      <c r="D50" s="28" t="s">
        <v>72</v>
      </c>
      <c r="E50" s="13" t="n">
        <v>1150</v>
      </c>
      <c r="F50" s="17" t="n">
        <v>1695</v>
      </c>
      <c r="G50" s="19" t="n">
        <f aca="false">F50/E50</f>
        <v>1.47391304347826</v>
      </c>
      <c r="H50" s="9" t="s">
        <v>68</v>
      </c>
    </row>
    <row r="52" customFormat="false" ht="15" hidden="false" customHeight="false" outlineLevel="0" collapsed="false">
      <c r="B52" s="9" t="s">
        <v>73</v>
      </c>
      <c r="C52" s="18" t="n">
        <f aca="false">MIN(F41:F43)</f>
        <v>1140</v>
      </c>
    </row>
    <row r="53" customFormat="false" ht="15" hidden="false" customHeight="false" outlineLevel="0" collapsed="false">
      <c r="B53" s="9" t="s">
        <v>74</v>
      </c>
      <c r="C53" s="18" t="n">
        <f aca="false">MAX(F41:F43)</f>
        <v>1210</v>
      </c>
    </row>
    <row r="54" customFormat="false" ht="15" hidden="false" customHeight="false" outlineLevel="0" collapsed="false">
      <c r="B54" s="9" t="s">
        <v>75</v>
      </c>
      <c r="C54" s="18" t="n">
        <f aca="false">MIN(F44:F47)</f>
        <v>1375</v>
      </c>
    </row>
    <row r="55" customFormat="false" ht="15" hidden="false" customHeight="false" outlineLevel="0" collapsed="false">
      <c r="B55" s="9" t="s">
        <v>76</v>
      </c>
      <c r="C55" s="18" t="n">
        <f aca="false">MAX(F44:F47)</f>
        <v>1510</v>
      </c>
    </row>
    <row r="56" customFormat="false" ht="15" hidden="false" customHeight="false" outlineLevel="0" collapsed="false">
      <c r="B56" s="9" t="s">
        <v>77</v>
      </c>
      <c r="C56" s="18" t="n">
        <f aca="false">MIN(F48:F50)</f>
        <v>1650</v>
      </c>
    </row>
    <row r="57" customFormat="false" ht="15" hidden="false" customHeight="false" outlineLevel="0" collapsed="false">
      <c r="B57" s="9" t="s">
        <v>78</v>
      </c>
      <c r="C57" s="18" t="n">
        <f aca="false">MAX(F48:F50)</f>
        <v>1740</v>
      </c>
    </row>
    <row r="59" customFormat="false" ht="15" hidden="false" customHeight="false" outlineLevel="0" collapsed="false">
      <c r="B59" s="7" t="s">
        <v>79</v>
      </c>
      <c r="C59" s="8"/>
      <c r="D59" s="8"/>
    </row>
    <row r="60" customFormat="false" ht="15" hidden="false" customHeight="false" outlineLevel="0" collapsed="false">
      <c r="B60" s="9" t="s">
        <v>80</v>
      </c>
      <c r="C60" s="29" t="n">
        <v>0.04</v>
      </c>
    </row>
    <row r="61" customFormat="false" ht="15" hidden="false" customHeight="false" outlineLevel="0" collapsed="false">
      <c r="B61" s="9" t="s">
        <v>81</v>
      </c>
      <c r="C61" s="29" t="n">
        <v>0.01</v>
      </c>
    </row>
    <row r="62" customFormat="false" ht="15" hidden="false" customHeight="false" outlineLevel="0" collapsed="false">
      <c r="B62" s="9" t="s">
        <v>82</v>
      </c>
      <c r="C62" s="14" t="n">
        <f aca="false">$C$60+$C$61</f>
        <v>0.05</v>
      </c>
    </row>
    <row r="63" customFormat="false" ht="15" hidden="false" customHeight="false" outlineLevel="0" collapsed="false">
      <c r="B63" s="9" t="s">
        <v>83</v>
      </c>
      <c r="C63" s="17" t="n">
        <v>42000</v>
      </c>
    </row>
    <row r="64" customFormat="false" ht="15" hidden="false" customHeight="false" outlineLevel="0" collapsed="false">
      <c r="B64" s="9" t="s">
        <v>84</v>
      </c>
      <c r="C64" s="29" t="n">
        <v>0.03</v>
      </c>
    </row>
    <row r="65" customFormat="false" ht="15" hidden="false" customHeight="false" outlineLevel="0" collapsed="false">
      <c r="B65" s="9" t="s">
        <v>85</v>
      </c>
      <c r="C65" s="29" t="n">
        <v>0.035</v>
      </c>
    </row>
    <row r="66" customFormat="false" ht="15" hidden="false" customHeight="false" outlineLevel="0" collapsed="false">
      <c r="B66" s="9" t="s">
        <v>86</v>
      </c>
      <c r="C66" s="29" t="n">
        <v>0.03</v>
      </c>
    </row>
    <row r="67" customFormat="false" ht="15" hidden="false" customHeight="false" outlineLevel="0" collapsed="false">
      <c r="B67" s="9" t="s">
        <v>87</v>
      </c>
      <c r="C67" s="25" t="n">
        <v>0.85</v>
      </c>
    </row>
    <row r="68" customFormat="false" ht="15" hidden="false" customHeight="false" outlineLevel="0" collapsed="false">
      <c r="B68" s="9" t="s">
        <v>88</v>
      </c>
      <c r="C68" s="30" t="n">
        <v>0.01015</v>
      </c>
    </row>
    <row r="70" customFormat="false" ht="15" hidden="false" customHeight="false" outlineLevel="0" collapsed="false">
      <c r="B70" s="7" t="s">
        <v>89</v>
      </c>
      <c r="C70" s="8"/>
      <c r="D70" s="8"/>
      <c r="E70" s="8"/>
    </row>
    <row r="71" customFormat="false" ht="30" hidden="false" customHeight="true" outlineLevel="0" collapsed="false">
      <c r="B71" s="15" t="s">
        <v>90</v>
      </c>
      <c r="C71" s="16" t="s">
        <v>91</v>
      </c>
      <c r="D71" s="16" t="s">
        <v>92</v>
      </c>
      <c r="E71" s="16" t="s">
        <v>93</v>
      </c>
    </row>
    <row r="72" customFormat="false" ht="15" hidden="false" customHeight="false" outlineLevel="0" collapsed="false">
      <c r="B72" s="9" t="s">
        <v>94</v>
      </c>
      <c r="C72" s="17" t="n">
        <v>96400</v>
      </c>
      <c r="D72" s="17" t="n">
        <v>1450</v>
      </c>
      <c r="E72" s="17" t="n">
        <v>1450</v>
      </c>
    </row>
    <row r="73" customFormat="false" ht="15" hidden="false" customHeight="false" outlineLevel="0" collapsed="false">
      <c r="B73" s="9" t="s">
        <v>95</v>
      </c>
      <c r="C73" s="17" t="n">
        <v>39600</v>
      </c>
      <c r="D73" s="17" t="n">
        <v>650</v>
      </c>
      <c r="E73" s="17" t="n">
        <v>600</v>
      </c>
    </row>
    <row r="74" customFormat="false" ht="15" hidden="false" customHeight="false" outlineLevel="0" collapsed="false">
      <c r="B74" s="9" t="s">
        <v>96</v>
      </c>
      <c r="C74" s="17" t="n">
        <v>61200</v>
      </c>
      <c r="D74" s="17" t="n">
        <v>850</v>
      </c>
      <c r="E74" s="17" t="n">
        <v>850</v>
      </c>
    </row>
    <row r="75" customFormat="false" ht="15" hidden="false" customHeight="false" outlineLevel="0" collapsed="false">
      <c r="B75" s="9" t="s">
        <v>97</v>
      </c>
      <c r="C75" s="17" t="n">
        <v>43200</v>
      </c>
      <c r="D75" s="17" t="n">
        <v>750</v>
      </c>
      <c r="E75" s="17" t="n">
        <v>750</v>
      </c>
    </row>
    <row r="76" customFormat="false" ht="15" hidden="false" customHeight="false" outlineLevel="0" collapsed="false">
      <c r="B76" s="9" t="s">
        <v>98</v>
      </c>
      <c r="C76" s="17" t="n">
        <v>82800</v>
      </c>
      <c r="D76" s="17" t="n">
        <v>1200</v>
      </c>
      <c r="E76" s="17" t="n">
        <v>1200</v>
      </c>
    </row>
    <row r="77" customFormat="false" ht="15" hidden="false" customHeight="false" outlineLevel="0" collapsed="false">
      <c r="B77" s="9" t="s">
        <v>99</v>
      </c>
      <c r="C77" s="17" t="n">
        <v>18000</v>
      </c>
      <c r="D77" s="17" t="n">
        <v>300</v>
      </c>
      <c r="E77" s="17" t="n">
        <v>300</v>
      </c>
    </row>
    <row r="78" customFormat="false" ht="15" hidden="false" customHeight="false" outlineLevel="0" collapsed="false">
      <c r="B78" s="9" t="s">
        <v>100</v>
      </c>
      <c r="C78" s="17" t="n">
        <v>14400</v>
      </c>
      <c r="D78" s="17" t="n">
        <v>250</v>
      </c>
      <c r="E78" s="17" t="n">
        <v>250</v>
      </c>
    </row>
    <row r="79" customFormat="false" ht="15" hidden="false" customHeight="false" outlineLevel="0" collapsed="false">
      <c r="B79" s="9" t="s">
        <v>101</v>
      </c>
      <c r="C79" s="17" t="n">
        <v>0</v>
      </c>
      <c r="D79" s="17" t="n">
        <v>300</v>
      </c>
      <c r="E79" s="17" t="n">
        <v>300</v>
      </c>
    </row>
    <row r="81" customFormat="false" ht="15" hidden="false" customHeight="false" outlineLevel="0" collapsed="false">
      <c r="B81" s="7" t="s">
        <v>102</v>
      </c>
      <c r="C81" s="8"/>
      <c r="D81" s="8"/>
    </row>
    <row r="82" customFormat="false" ht="15" hidden="false" customHeight="false" outlineLevel="0" collapsed="false">
      <c r="B82" s="9" t="s">
        <v>103</v>
      </c>
      <c r="C82" s="31" t="n">
        <v>0.0775</v>
      </c>
    </row>
    <row r="83" customFormat="false" ht="15" hidden="false" customHeight="false" outlineLevel="0" collapsed="false">
      <c r="B83" s="9" t="s">
        <v>104</v>
      </c>
      <c r="C83" s="31" t="n">
        <v>0.0625</v>
      </c>
    </row>
    <row r="84" customFormat="false" ht="15" hidden="false" customHeight="false" outlineLevel="0" collapsed="false">
      <c r="B84" s="9" t="s">
        <v>105</v>
      </c>
      <c r="C84" s="29" t="n">
        <v>0.02</v>
      </c>
    </row>
    <row r="85" customFormat="false" ht="15" hidden="false" customHeight="false" outlineLevel="0" collapsed="false">
      <c r="B85" s="9" t="s">
        <v>106</v>
      </c>
      <c r="C85" s="29" t="n">
        <v>0.03</v>
      </c>
    </row>
    <row r="86" customFormat="false" ht="15" hidden="false" customHeight="false" outlineLevel="0" collapsed="false">
      <c r="B86" s="9" t="s">
        <v>107</v>
      </c>
      <c r="C86" s="29" t="n">
        <v>0.03</v>
      </c>
    </row>
    <row r="87" customFormat="false" ht="15" hidden="false" customHeight="false" outlineLevel="0" collapsed="false">
      <c r="B87" s="9" t="s">
        <v>108</v>
      </c>
      <c r="C87" s="10" t="n">
        <v>10</v>
      </c>
    </row>
    <row r="89" customFormat="false" ht="15" hidden="false" customHeight="false" outlineLevel="0" collapsed="false">
      <c r="B89" s="7" t="s">
        <v>109</v>
      </c>
      <c r="C89" s="8"/>
      <c r="D89" s="8"/>
    </row>
    <row r="90" customFormat="false" ht="15" hidden="false" customHeight="false" outlineLevel="0" collapsed="false">
      <c r="B90" s="9" t="s">
        <v>110</v>
      </c>
      <c r="C90" s="17" t="n">
        <v>12100000</v>
      </c>
    </row>
    <row r="91" customFormat="false" ht="15" hidden="false" customHeight="false" outlineLevel="0" collapsed="false">
      <c r="B91" s="9" t="s">
        <v>111</v>
      </c>
      <c r="C91" s="17" t="n">
        <v>12850000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8" min="3" style="0" width="13"/>
    <col collapsed="false" customWidth="true" hidden="false" outlineLevel="0" max="9" min="9" style="0" width="30"/>
  </cols>
  <sheetData>
    <row r="1" customFormat="false" ht="6" hidden="false" customHeight="true" outlineLevel="0" collapsed="false"/>
    <row r="2" customFormat="false" ht="17.35" hidden="false" customHeight="false" outlineLevel="0" collapsed="false">
      <c r="B2" s="5" t="s">
        <v>112</v>
      </c>
    </row>
    <row r="3" customFormat="false" ht="15" hidden="false" customHeight="false" outlineLevel="0" collapsed="false">
      <c r="B3" s="6" t="s">
        <v>113</v>
      </c>
    </row>
    <row r="5" customFormat="false" ht="15" hidden="false" customHeight="false" outlineLevel="0" collapsed="false">
      <c r="B5" s="7" t="s">
        <v>114</v>
      </c>
      <c r="C5" s="8"/>
      <c r="D5" s="8"/>
    </row>
    <row r="6" customFormat="false" ht="15" hidden="false" customHeight="false" outlineLevel="0" collapsed="false">
      <c r="B6" s="9" t="s">
        <v>115</v>
      </c>
      <c r="C6" s="13" t="n">
        <v>18400</v>
      </c>
    </row>
    <row r="7" customFormat="false" ht="15" hidden="false" customHeight="false" outlineLevel="0" collapsed="false">
      <c r="B7" s="9" t="s">
        <v>116</v>
      </c>
      <c r="C7" s="29" t="n">
        <v>0.946</v>
      </c>
    </row>
    <row r="8" customFormat="false" ht="15" hidden="false" customHeight="false" outlineLevel="0" collapsed="false">
      <c r="B8" s="9" t="s">
        <v>117</v>
      </c>
      <c r="C8" s="23" t="n">
        <f aca="false">$C$6*$C$7</f>
        <v>17406.4</v>
      </c>
    </row>
    <row r="9" customFormat="false" ht="15" hidden="false" customHeight="false" outlineLevel="0" collapsed="false">
      <c r="B9" s="9" t="s">
        <v>118</v>
      </c>
      <c r="C9" s="13" t="n">
        <v>520</v>
      </c>
    </row>
    <row r="10" customFormat="false" ht="15" hidden="false" customHeight="false" outlineLevel="0" collapsed="false">
      <c r="B10" s="9" t="s">
        <v>119</v>
      </c>
      <c r="C10" s="13" t="n">
        <v>610</v>
      </c>
    </row>
    <row r="11" customFormat="false" ht="15" hidden="false" customHeight="false" outlineLevel="0" collapsed="false">
      <c r="B11" s="9" t="s">
        <v>120</v>
      </c>
      <c r="C11" s="13" t="n">
        <v>480</v>
      </c>
    </row>
    <row r="12" customFormat="false" ht="15" hidden="false" customHeight="false" outlineLevel="0" collapsed="false">
      <c r="B12" s="9" t="s">
        <v>121</v>
      </c>
      <c r="C12" s="23" t="n">
        <f aca="false">AVERAGE($C$9,$C$10,$C$11)</f>
        <v>536.666666666667</v>
      </c>
    </row>
    <row r="13" customFormat="false" ht="15" hidden="false" customHeight="false" outlineLevel="0" collapsed="false">
      <c r="B13" s="9" t="s">
        <v>122</v>
      </c>
      <c r="C13" s="13" t="n">
        <v>480</v>
      </c>
      <c r="D13" s="6" t="s">
        <v>123</v>
      </c>
    </row>
    <row r="14" customFormat="false" ht="15" hidden="false" customHeight="false" outlineLevel="0" collapsed="false">
      <c r="B14" s="9" t="s">
        <v>124</v>
      </c>
      <c r="C14" s="29" t="n">
        <v>0.05</v>
      </c>
    </row>
    <row r="15" customFormat="false" ht="15" hidden="false" customHeight="false" outlineLevel="0" collapsed="false">
      <c r="B15" s="9" t="s">
        <v>125</v>
      </c>
      <c r="C15" s="29" t="n">
        <v>0.035</v>
      </c>
    </row>
    <row r="16" customFormat="false" ht="15" hidden="false" customHeight="false" outlineLevel="0" collapsed="false">
      <c r="B16" s="9" t="s">
        <v>126</v>
      </c>
      <c r="C16" s="12" t="n">
        <v>0.5</v>
      </c>
    </row>
    <row r="17" customFormat="false" ht="15" hidden="false" customHeight="false" outlineLevel="0" collapsed="false">
      <c r="B17" s="9" t="s">
        <v>127</v>
      </c>
      <c r="C17" s="29" t="n">
        <v>0.025</v>
      </c>
    </row>
    <row r="19" customFormat="false" ht="15" hidden="false" customHeight="false" outlineLevel="0" collapsed="false">
      <c r="B19" s="7" t="s">
        <v>128</v>
      </c>
      <c r="C19" s="8"/>
      <c r="D19" s="8"/>
      <c r="E19" s="8"/>
      <c r="F19" s="8"/>
      <c r="G19" s="8"/>
      <c r="H19" s="8"/>
    </row>
    <row r="20" customFormat="false" ht="15" hidden="false" customHeight="false" outlineLevel="0" collapsed="false">
      <c r="B20" s="15" t="s">
        <v>129</v>
      </c>
      <c r="C20" s="16" t="s">
        <v>130</v>
      </c>
      <c r="D20" s="16" t="s">
        <v>131</v>
      </c>
      <c r="E20" s="16" t="s">
        <v>132</v>
      </c>
      <c r="F20" s="16" t="s">
        <v>133</v>
      </c>
      <c r="G20" s="16" t="s">
        <v>134</v>
      </c>
      <c r="H20" s="16" t="s">
        <v>135</v>
      </c>
    </row>
    <row r="21" customFormat="false" ht="15" hidden="false" customHeight="false" outlineLevel="0" collapsed="false">
      <c r="B21" s="9" t="s">
        <v>136</v>
      </c>
      <c r="C21" s="9"/>
      <c r="D21" s="13" t="n">
        <v>700</v>
      </c>
      <c r="E21" s="13" t="n">
        <v>550</v>
      </c>
      <c r="F21" s="13" t="n">
        <v>350</v>
      </c>
      <c r="G21" s="13" t="n">
        <v>400</v>
      </c>
      <c r="H21" s="13" t="n">
        <v>400</v>
      </c>
    </row>
    <row r="22" customFormat="false" ht="15" hidden="false" customHeight="false" outlineLevel="0" collapsed="false">
      <c r="B22" s="9" t="s">
        <v>137</v>
      </c>
      <c r="C22" s="9"/>
      <c r="D22" s="23" t="n">
        <f aca="false">$C$13</f>
        <v>480</v>
      </c>
      <c r="E22" s="23" t="n">
        <f aca="false">$C$13</f>
        <v>480</v>
      </c>
      <c r="F22" s="23" t="n">
        <f aca="false">$C$13</f>
        <v>480</v>
      </c>
      <c r="G22" s="23" t="n">
        <f aca="false">$C$13</f>
        <v>480</v>
      </c>
      <c r="H22" s="23" t="n">
        <f aca="false">$C$13</f>
        <v>480</v>
      </c>
    </row>
    <row r="23" customFormat="false" ht="15" hidden="false" customHeight="false" outlineLevel="0" collapsed="false">
      <c r="B23" s="9" t="s">
        <v>138</v>
      </c>
      <c r="C23" s="23" t="n">
        <f aca="false">$C$6</f>
        <v>18400</v>
      </c>
      <c r="D23" s="23" t="n">
        <f aca="false">C23+D21</f>
        <v>19100</v>
      </c>
      <c r="E23" s="23" t="n">
        <f aca="false">D23+E21</f>
        <v>19650</v>
      </c>
      <c r="F23" s="23" t="n">
        <f aca="false">E23+F21</f>
        <v>20000</v>
      </c>
      <c r="G23" s="23" t="n">
        <f aca="false">F23+G21</f>
        <v>20400</v>
      </c>
      <c r="H23" s="23" t="n">
        <f aca="false">G23+H21</f>
        <v>20800</v>
      </c>
    </row>
    <row r="24" customFormat="false" ht="15" hidden="false" customHeight="false" outlineLevel="0" collapsed="false">
      <c r="B24" s="9" t="s">
        <v>139</v>
      </c>
      <c r="C24" s="23" t="n">
        <f aca="false">$C$6*$C$7</f>
        <v>17406.4</v>
      </c>
      <c r="D24" s="23" t="n">
        <f aca="false">C24+D22</f>
        <v>17886.4</v>
      </c>
      <c r="E24" s="23" t="n">
        <f aca="false">D24+E22</f>
        <v>18366.4</v>
      </c>
      <c r="F24" s="23" t="n">
        <f aca="false">E24+F22</f>
        <v>18846.4</v>
      </c>
      <c r="G24" s="23" t="n">
        <f aca="false">F24+G22</f>
        <v>19326.4</v>
      </c>
      <c r="H24" s="23" t="n">
        <f aca="false">G24+H22</f>
        <v>19806.4</v>
      </c>
    </row>
    <row r="25" customFormat="false" ht="15" hidden="false" customHeight="false" outlineLevel="0" collapsed="false">
      <c r="B25" s="20" t="s">
        <v>140</v>
      </c>
      <c r="C25" s="32" t="n">
        <f aca="false">1-C24/C23</f>
        <v>0.0540000000000002</v>
      </c>
      <c r="D25" s="32" t="n">
        <f aca="false">1-D24/D23</f>
        <v>0.0635392670157069</v>
      </c>
      <c r="E25" s="32" t="n">
        <f aca="false">1-E24/E23</f>
        <v>0.0653231552162851</v>
      </c>
      <c r="F25" s="32" t="n">
        <f aca="false">1-F24/F23</f>
        <v>0.0576800000000001</v>
      </c>
      <c r="G25" s="32" t="n">
        <f aca="false">1-G24/G23</f>
        <v>0.0526274509803922</v>
      </c>
      <c r="H25" s="32" t="n">
        <f aca="false">1-H24/H23</f>
        <v>0.0477692307692309</v>
      </c>
    </row>
    <row r="26" customFormat="false" ht="15" hidden="false" customHeight="false" outlineLevel="0" collapsed="false">
      <c r="B26" s="20" t="s">
        <v>141</v>
      </c>
      <c r="C26" s="9"/>
      <c r="D26" s="32" t="n">
        <f aca="false">$C$15-$C$16*(D25-$C$14)</f>
        <v>0.0282303664921466</v>
      </c>
      <c r="E26" s="32" t="n">
        <f aca="false">$C$15-$C$16*(E25-$C$14)</f>
        <v>0.0273384223918575</v>
      </c>
      <c r="F26" s="32" t="n">
        <f aca="false">$C$15-$C$16*(F25-$C$14)</f>
        <v>0.03116</v>
      </c>
      <c r="G26" s="32" t="n">
        <f aca="false">$C$15-$C$16*(G25-$C$14)</f>
        <v>0.0336862745098039</v>
      </c>
      <c r="H26" s="32" t="n">
        <f aca="false">$C$15-$C$16*(H25-$C$14)</f>
        <v>0.0361153846153846</v>
      </c>
    </row>
    <row r="28" customFormat="false" ht="15" hidden="false" customHeight="false" outlineLevel="0" collapsed="false">
      <c r="B28" s="9" t="s">
        <v>142</v>
      </c>
      <c r="C28" s="23" t="n">
        <f aca="false">$D$21+$E$21</f>
        <v>1250</v>
      </c>
    </row>
    <row r="29" customFormat="false" ht="15" hidden="false" customHeight="false" outlineLevel="0" collapsed="false">
      <c r="B29" s="9" t="s">
        <v>143</v>
      </c>
      <c r="C29" s="23" t="n">
        <f aca="false">SUM(D21:H21)</f>
        <v>2400</v>
      </c>
    </row>
    <row r="30" customFormat="false" ht="15" hidden="false" customHeight="false" outlineLevel="0" collapsed="false">
      <c r="B30" s="9" t="s">
        <v>144</v>
      </c>
      <c r="C30" s="23" t="n">
        <f aca="false">SUM(D22:H22)</f>
        <v>2400</v>
      </c>
    </row>
    <row r="31" customFormat="false" ht="15" hidden="false" customHeight="false" outlineLevel="0" collapsed="false">
      <c r="B31" s="9" t="s">
        <v>145</v>
      </c>
      <c r="C31" s="14" t="n">
        <f aca="false">MAX(C25:H25)</f>
        <v>0.0653231552162851</v>
      </c>
    </row>
    <row r="32" customFormat="false" ht="15" hidden="false" customHeight="false" outlineLevel="0" collapsed="false">
      <c r="B32" s="9" t="s">
        <v>146</v>
      </c>
      <c r="C32" s="33" t="n">
        <f aca="false">AVERAGE(D26:H26)</f>
        <v>0.0313060896018385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4"/>
    <col collapsed="false" customWidth="true" hidden="false" outlineLevel="0" max="4" min="4" style="0" width="15"/>
    <col collapsed="false" customWidth="true" hidden="false" outlineLevel="0" max="5" min="5" style="0" width="14"/>
    <col collapsed="false" customWidth="true" hidden="false" outlineLevel="0" max="6" min="6" style="0" width="15"/>
    <col collapsed="false" customWidth="true" hidden="false" outlineLevel="0" max="7" min="7" style="0" width="14"/>
    <col collapsed="false" customWidth="true" hidden="false" outlineLevel="0" max="8" min="8" style="0" width="15"/>
    <col collapsed="false" customWidth="true" hidden="false" outlineLevel="0" max="9" min="9" style="0" width="30"/>
  </cols>
  <sheetData>
    <row r="1" customFormat="false" ht="6" hidden="false" customHeight="true" outlineLevel="0" collapsed="false"/>
    <row r="2" customFormat="false" ht="17.35" hidden="false" customHeight="false" outlineLevel="0" collapsed="false">
      <c r="B2" s="5" t="s">
        <v>147</v>
      </c>
    </row>
    <row r="3" customFormat="false" ht="15" hidden="false" customHeight="false" outlineLevel="0" collapsed="false">
      <c r="B3" s="6" t="s">
        <v>148</v>
      </c>
    </row>
    <row r="5" customFormat="false" ht="30" hidden="false" customHeight="true" outlineLevel="0" collapsed="false">
      <c r="B5" s="15" t="s">
        <v>149</v>
      </c>
      <c r="C5" s="16" t="s">
        <v>150</v>
      </c>
      <c r="D5" s="16" t="s">
        <v>151</v>
      </c>
      <c r="E5" s="16" t="s">
        <v>152</v>
      </c>
      <c r="F5" s="16" t="s">
        <v>153</v>
      </c>
      <c r="G5" s="16" t="s">
        <v>154</v>
      </c>
      <c r="H5" s="16" t="s">
        <v>155</v>
      </c>
    </row>
    <row r="6" customFormat="false" ht="15" hidden="false" customHeight="false" outlineLevel="0" collapsed="false">
      <c r="B6" s="9" t="s">
        <v>156</v>
      </c>
      <c r="C6" s="18" t="n">
        <f aca="false">D6/Assumptions!$C$6</f>
        <v>15860</v>
      </c>
      <c r="D6" s="18" t="n">
        <f aca="false">Assumptions!$I$24</f>
        <v>1141920</v>
      </c>
      <c r="E6" s="18" t="n">
        <f aca="false">F6/Assumptions!$C$6</f>
        <v>16440</v>
      </c>
      <c r="F6" s="18" t="n">
        <f aca="false">Assumptions!$H$24</f>
        <v>1183680</v>
      </c>
      <c r="G6" s="18" t="n">
        <f aca="false">H6/Assumptions!$C$6</f>
        <v>16440</v>
      </c>
      <c r="H6" s="18" t="n">
        <f aca="false">Assumptions!$H$24</f>
        <v>1183680</v>
      </c>
    </row>
    <row r="7" customFormat="false" ht="15" hidden="false" customHeight="false" outlineLevel="0" collapsed="false">
      <c r="B7" s="9" t="s">
        <v>157</v>
      </c>
      <c r="C7" s="18" t="n">
        <f aca="false">D7/Assumptions!$C$6</f>
        <v>480</v>
      </c>
      <c r="D7" s="18" t="n">
        <f aca="false">Assumptions!$C$34</f>
        <v>34560</v>
      </c>
      <c r="E7" s="18" t="n">
        <f aca="false">F7/Assumptions!$C$6</f>
        <v>480</v>
      </c>
      <c r="F7" s="18" t="n">
        <f aca="false">Assumptions!$C$34</f>
        <v>34560</v>
      </c>
      <c r="G7" s="18" t="n">
        <f aca="false">H7/Assumptions!$C$6</f>
        <v>480</v>
      </c>
      <c r="H7" s="18" t="n">
        <f aca="false">Assumptions!$C$34</f>
        <v>34560</v>
      </c>
    </row>
    <row r="8" customFormat="false" ht="15" hidden="false" customHeight="false" outlineLevel="0" collapsed="false">
      <c r="B8" s="9" t="s">
        <v>158</v>
      </c>
      <c r="C8" s="18" t="n">
        <f aca="false">D8/Assumptions!$C$6</f>
        <v>583.333333333333</v>
      </c>
      <c r="D8" s="18" t="n">
        <f aca="false">Assumptions!$C$63</f>
        <v>42000</v>
      </c>
      <c r="E8" s="18" t="n">
        <f aca="false">F8/Assumptions!$C$6</f>
        <v>846</v>
      </c>
      <c r="F8" s="18" t="n">
        <f aca="false">(F6+F7)*Assumptions!$C$62</f>
        <v>60912</v>
      </c>
      <c r="G8" s="18" t="n">
        <f aca="false">H8/Assumptions!$C$6</f>
        <v>846</v>
      </c>
      <c r="H8" s="18" t="n">
        <f aca="false">(H6+H7)*Assumptions!$C$62</f>
        <v>60912</v>
      </c>
    </row>
    <row r="9" customFormat="false" ht="15" hidden="false" customHeight="false" outlineLevel="0" collapsed="false">
      <c r="B9" s="20" t="s">
        <v>159</v>
      </c>
      <c r="C9" s="18" t="n">
        <f aca="false">D9/Assumptions!$C$6</f>
        <v>15756.6666666667</v>
      </c>
      <c r="D9" s="22" t="n">
        <f aca="false">D6+D7-D8</f>
        <v>1134480</v>
      </c>
      <c r="E9" s="18" t="n">
        <f aca="false">F9/Assumptions!$C$6</f>
        <v>16074</v>
      </c>
      <c r="F9" s="22" t="n">
        <f aca="false">F6+F7-F8</f>
        <v>1157328</v>
      </c>
      <c r="G9" s="18" t="n">
        <f aca="false">H9/Assumptions!$C$6</f>
        <v>16074</v>
      </c>
      <c r="H9" s="22" t="n">
        <f aca="false">H6+H7-H8</f>
        <v>1157328</v>
      </c>
    </row>
    <row r="10" customFormat="false" ht="15" hidden="false" customHeight="false" outlineLevel="0" collapsed="false">
      <c r="B10" s="7" t="s">
        <v>160</v>
      </c>
      <c r="C10" s="8"/>
      <c r="D10" s="8"/>
      <c r="E10" s="8"/>
      <c r="F10" s="8"/>
      <c r="G10" s="8"/>
      <c r="H10" s="8"/>
    </row>
    <row r="11" customFormat="false" ht="15" hidden="false" customHeight="false" outlineLevel="0" collapsed="false">
      <c r="B11" s="9" t="s">
        <v>94</v>
      </c>
      <c r="C11" s="18" t="n">
        <f aca="false">D11/Assumptions!$C$6</f>
        <v>1338.88888888889</v>
      </c>
      <c r="D11" s="18" t="n">
        <f aca="false">Assumptions!$C$72</f>
        <v>96400</v>
      </c>
      <c r="E11" s="18" t="n">
        <f aca="false">Assumptions!$D$72</f>
        <v>1450</v>
      </c>
      <c r="F11" s="18" t="n">
        <f aca="false">E11*Assumptions!$C$6</f>
        <v>104400</v>
      </c>
      <c r="G11" s="18" t="n">
        <f aca="false">Assumptions!$E$72</f>
        <v>1450</v>
      </c>
      <c r="H11" s="18" t="n">
        <f aca="false">G11*Assumptions!$C$6</f>
        <v>104400</v>
      </c>
    </row>
    <row r="12" customFormat="false" ht="15" hidden="false" customHeight="false" outlineLevel="0" collapsed="false">
      <c r="B12" s="9" t="s">
        <v>95</v>
      </c>
      <c r="C12" s="18" t="n">
        <f aca="false">D12/Assumptions!$C$6</f>
        <v>550</v>
      </c>
      <c r="D12" s="18" t="n">
        <f aca="false">Assumptions!$C$73</f>
        <v>39600</v>
      </c>
      <c r="E12" s="18" t="n">
        <f aca="false">Assumptions!$D$73</f>
        <v>650</v>
      </c>
      <c r="F12" s="18" t="n">
        <f aca="false">E12*Assumptions!$C$6</f>
        <v>46800</v>
      </c>
      <c r="G12" s="18" t="n">
        <f aca="false">Assumptions!$E$73</f>
        <v>600</v>
      </c>
      <c r="H12" s="18" t="n">
        <f aca="false">G12*Assumptions!$C$6</f>
        <v>43200</v>
      </c>
    </row>
    <row r="13" customFormat="false" ht="15" hidden="false" customHeight="false" outlineLevel="0" collapsed="false">
      <c r="B13" s="9" t="s">
        <v>96</v>
      </c>
      <c r="C13" s="18" t="n">
        <f aca="false">D13/Assumptions!$C$6</f>
        <v>850</v>
      </c>
      <c r="D13" s="18" t="n">
        <f aca="false">Assumptions!$C$74</f>
        <v>61200</v>
      </c>
      <c r="E13" s="18" t="n">
        <f aca="false">Assumptions!$D$74</f>
        <v>850</v>
      </c>
      <c r="F13" s="18" t="n">
        <f aca="false">E13*Assumptions!$C$6</f>
        <v>61200</v>
      </c>
      <c r="G13" s="18" t="n">
        <f aca="false">Assumptions!$E$74</f>
        <v>850</v>
      </c>
      <c r="H13" s="18" t="n">
        <f aca="false">G13*Assumptions!$C$6</f>
        <v>61200</v>
      </c>
    </row>
    <row r="14" customFormat="false" ht="15" hidden="false" customHeight="false" outlineLevel="0" collapsed="false">
      <c r="B14" s="9" t="s">
        <v>97</v>
      </c>
      <c r="C14" s="18" t="n">
        <f aca="false">D14/Assumptions!$C$6</f>
        <v>600</v>
      </c>
      <c r="D14" s="18" t="n">
        <f aca="false">Assumptions!$C$75</f>
        <v>43200</v>
      </c>
      <c r="E14" s="18" t="n">
        <f aca="false">Assumptions!$D$75</f>
        <v>750</v>
      </c>
      <c r="F14" s="18" t="n">
        <f aca="false">E14*Assumptions!$C$6</f>
        <v>54000</v>
      </c>
      <c r="G14" s="18" t="n">
        <f aca="false">Assumptions!$E$75</f>
        <v>750</v>
      </c>
      <c r="H14" s="18" t="n">
        <f aca="false">G14*Assumptions!$C$6</f>
        <v>54000</v>
      </c>
    </row>
    <row r="15" customFormat="false" ht="15" hidden="false" customHeight="false" outlineLevel="0" collapsed="false">
      <c r="B15" s="9" t="s">
        <v>98</v>
      </c>
      <c r="C15" s="18" t="n">
        <f aca="false">D15/Assumptions!$C$6</f>
        <v>1150</v>
      </c>
      <c r="D15" s="18" t="n">
        <f aca="false">Assumptions!$C$76</f>
        <v>82800</v>
      </c>
      <c r="E15" s="18" t="n">
        <f aca="false">Assumptions!$D$76</f>
        <v>1200</v>
      </c>
      <c r="F15" s="18" t="n">
        <f aca="false">E15*Assumptions!$C$6</f>
        <v>86400</v>
      </c>
      <c r="G15" s="18" t="n">
        <f aca="false">Assumptions!$E$76</f>
        <v>1200</v>
      </c>
      <c r="H15" s="18" t="n">
        <f aca="false">G15*Assumptions!$C$6</f>
        <v>86400</v>
      </c>
    </row>
    <row r="16" customFormat="false" ht="15" hidden="false" customHeight="false" outlineLevel="0" collapsed="false">
      <c r="B16" s="9" t="s">
        <v>161</v>
      </c>
      <c r="C16" s="18" t="n">
        <f aca="false">D16/Assumptions!$C$6</f>
        <v>472.7</v>
      </c>
      <c r="D16" s="18" t="n">
        <f aca="false">D9*Assumptions!$C$64</f>
        <v>34034.4</v>
      </c>
      <c r="E16" s="18" t="n">
        <f aca="false">F16/Assumptions!$C$6</f>
        <v>562.59</v>
      </c>
      <c r="F16" s="18" t="n">
        <f aca="false">F9*Assumptions!$C$65</f>
        <v>40506.48</v>
      </c>
      <c r="G16" s="18" t="n">
        <f aca="false">H16/Assumptions!$C$6</f>
        <v>482.22</v>
      </c>
      <c r="H16" s="18" t="n">
        <f aca="false">H9*Assumptions!$C$66</f>
        <v>34719.84</v>
      </c>
    </row>
    <row r="17" customFormat="false" ht="15" hidden="false" customHeight="false" outlineLevel="0" collapsed="false">
      <c r="B17" s="9" t="s">
        <v>99</v>
      </c>
      <c r="C17" s="18" t="n">
        <f aca="false">D17/Assumptions!$C$6</f>
        <v>250</v>
      </c>
      <c r="D17" s="18" t="n">
        <f aca="false">Assumptions!$C$77</f>
        <v>18000</v>
      </c>
      <c r="E17" s="18" t="n">
        <f aca="false">Assumptions!$D$77</f>
        <v>300</v>
      </c>
      <c r="F17" s="18" t="n">
        <f aca="false">E17*Assumptions!$C$6</f>
        <v>21600</v>
      </c>
      <c r="G17" s="18" t="n">
        <f aca="false">Assumptions!$E$77</f>
        <v>300</v>
      </c>
      <c r="H17" s="18" t="n">
        <f aca="false">G17*Assumptions!$C$6</f>
        <v>21600</v>
      </c>
    </row>
    <row r="18" customFormat="false" ht="15" hidden="false" customHeight="false" outlineLevel="0" collapsed="false">
      <c r="B18" s="9" t="s">
        <v>100</v>
      </c>
      <c r="C18" s="18" t="n">
        <f aca="false">D18/Assumptions!$C$6</f>
        <v>200</v>
      </c>
      <c r="D18" s="18" t="n">
        <f aca="false">Assumptions!$C$78</f>
        <v>14400</v>
      </c>
      <c r="E18" s="18" t="n">
        <f aca="false">Assumptions!$D$78</f>
        <v>250</v>
      </c>
      <c r="F18" s="18" t="n">
        <f aca="false">E18*Assumptions!$C$6</f>
        <v>18000</v>
      </c>
      <c r="G18" s="18" t="n">
        <f aca="false">Assumptions!$E$78</f>
        <v>250</v>
      </c>
      <c r="H18" s="18" t="n">
        <f aca="false">G18*Assumptions!$C$6</f>
        <v>18000</v>
      </c>
    </row>
    <row r="19" customFormat="false" ht="15" hidden="false" customHeight="false" outlineLevel="0" collapsed="false">
      <c r="B19" s="9" t="s">
        <v>101</v>
      </c>
      <c r="C19" s="18" t="n">
        <f aca="false">D19/Assumptions!$C$6</f>
        <v>0</v>
      </c>
      <c r="D19" s="18" t="n">
        <f aca="false">Assumptions!$C$79</f>
        <v>0</v>
      </c>
      <c r="E19" s="18" t="n">
        <f aca="false">Assumptions!$D$79</f>
        <v>300</v>
      </c>
      <c r="F19" s="18" t="n">
        <f aca="false">E19*Assumptions!$C$6</f>
        <v>21600</v>
      </c>
      <c r="G19" s="18" t="n">
        <f aca="false">Assumptions!$E$79</f>
        <v>300</v>
      </c>
      <c r="H19" s="18" t="n">
        <f aca="false">G19*Assumptions!$C$6</f>
        <v>21600</v>
      </c>
    </row>
    <row r="20" customFormat="false" ht="15" hidden="false" customHeight="false" outlineLevel="0" collapsed="false">
      <c r="B20" s="20" t="s">
        <v>162</v>
      </c>
      <c r="C20" s="22" t="n">
        <f aca="false">D20/Assumptions!$C$6</f>
        <v>5411.58888888889</v>
      </c>
      <c r="D20" s="22" t="n">
        <f aca="false">D11+D12+D13+D14+D15+D16+D17+D18+D19</f>
        <v>389634.4</v>
      </c>
      <c r="E20" s="22" t="n">
        <f aca="false">F20/Assumptions!$C$6</f>
        <v>6312.59</v>
      </c>
      <c r="F20" s="22" t="n">
        <f aca="false">F11+F12+F13+F14+F15+F16+F17+F18+F19</f>
        <v>454506.48</v>
      </c>
      <c r="G20" s="22" t="n">
        <f aca="false">H20/Assumptions!$C$6</f>
        <v>6182.22</v>
      </c>
      <c r="H20" s="22" t="n">
        <f aca="false">H11+H12+H13+H14+H15+H16+H17+H18+H19</f>
        <v>445119.84</v>
      </c>
    </row>
    <row r="21" customFormat="false" ht="15" hidden="false" customHeight="false" outlineLevel="0" collapsed="false">
      <c r="B21" s="20" t="s">
        <v>163</v>
      </c>
      <c r="C21" s="22" t="n">
        <f aca="false">D21/Assumptions!$C$6</f>
        <v>10345.0777777778</v>
      </c>
      <c r="D21" s="22" t="n">
        <f aca="false">D9-D20</f>
        <v>744845.6</v>
      </c>
      <c r="E21" s="22" t="n">
        <f aca="false">F21/Assumptions!$C$6</f>
        <v>9761.41</v>
      </c>
      <c r="F21" s="22" t="n">
        <f aca="false">F9-F20</f>
        <v>702821.52</v>
      </c>
      <c r="G21" s="22" t="n">
        <f aca="false">H21/Assumptions!$C$6</f>
        <v>9891.78</v>
      </c>
      <c r="H21" s="22" t="n">
        <f aca="false">H9-H20</f>
        <v>712208.16</v>
      </c>
    </row>
    <row r="23" customFormat="false" ht="15" hidden="false" customHeight="false" outlineLevel="0" collapsed="false">
      <c r="B23" s="7" t="s">
        <v>164</v>
      </c>
      <c r="C23" s="8"/>
      <c r="D23" s="8"/>
      <c r="E23" s="8"/>
      <c r="F23" s="8"/>
      <c r="G23" s="8"/>
      <c r="H23" s="8"/>
    </row>
    <row r="24" customFormat="false" ht="15" hidden="false" customHeight="false" outlineLevel="0" collapsed="false">
      <c r="B24" s="9" t="s">
        <v>165</v>
      </c>
      <c r="D24" s="14" t="n">
        <f aca="false">D8/(D6+D7)</f>
        <v>0.0356997144022848</v>
      </c>
      <c r="F24" s="14" t="n">
        <f aca="false">F8/(F6+F7)</f>
        <v>0.05</v>
      </c>
      <c r="H24" s="14" t="n">
        <f aca="false">H8/(H6+H7)</f>
        <v>0.05</v>
      </c>
    </row>
    <row r="25" customFormat="false" ht="15" hidden="false" customHeight="false" outlineLevel="0" collapsed="false">
      <c r="B25" s="9" t="s">
        <v>166</v>
      </c>
      <c r="D25" s="14" t="n">
        <f aca="false">D16/D9</f>
        <v>0.03</v>
      </c>
      <c r="F25" s="14" t="n">
        <f aca="false">F16/F9</f>
        <v>0.035</v>
      </c>
      <c r="H25" s="14" t="n">
        <f aca="false">H16/H9</f>
        <v>0.03</v>
      </c>
    </row>
    <row r="26" customFormat="false" ht="15" hidden="false" customHeight="false" outlineLevel="0" collapsed="false">
      <c r="B26" s="9" t="s">
        <v>167</v>
      </c>
      <c r="D26" s="14" t="n">
        <f aca="false">D20/D9</f>
        <v>0.343447570693181</v>
      </c>
      <c r="F26" s="14" t="n">
        <f aca="false">F20/F9</f>
        <v>0.392720542490979</v>
      </c>
      <c r="H26" s="14" t="n">
        <f aca="false">H20/H9</f>
        <v>0.384609929078014</v>
      </c>
    </row>
    <row r="28" customFormat="false" ht="15" hidden="false" customHeight="false" outlineLevel="0" collapsed="false">
      <c r="B28" s="7" t="s">
        <v>168</v>
      </c>
      <c r="C28" s="8"/>
      <c r="D28" s="8"/>
    </row>
    <row r="29" customFormat="false" ht="15" hidden="false" customHeight="false" outlineLevel="0" collapsed="false">
      <c r="B29" s="9" t="s">
        <v>169</v>
      </c>
      <c r="C29" s="18" t="n">
        <f aca="false">$D$21-$F$21</f>
        <v>42024.08</v>
      </c>
    </row>
    <row r="30" customFormat="false" ht="15" hidden="false" customHeight="false" outlineLevel="0" collapsed="false">
      <c r="B30" s="9" t="s">
        <v>170</v>
      </c>
      <c r="C30" s="14" t="n">
        <f aca="false">$D$21/$F$21-1</f>
        <v>0.0597933882274977</v>
      </c>
    </row>
    <row r="31" customFormat="false" ht="15" hidden="false" customHeight="false" outlineLevel="0" collapsed="false">
      <c r="B31" s="9" t="s">
        <v>171</v>
      </c>
      <c r="C31" s="18" t="n">
        <f aca="false">$F$20-$D$20</f>
        <v>64872.08</v>
      </c>
    </row>
    <row r="32" customFormat="false" ht="15" hidden="false" customHeight="false" outlineLevel="0" collapsed="false">
      <c r="B32" s="9" t="s">
        <v>172</v>
      </c>
      <c r="C32" s="18" t="n">
        <f aca="false">$F$9-$D$9</f>
        <v>22848</v>
      </c>
    </row>
    <row r="33" customFormat="false" ht="15" hidden="false" customHeight="false" outlineLevel="0" collapsed="false">
      <c r="B33" s="9" t="s">
        <v>173</v>
      </c>
      <c r="C33" s="18" t="n">
        <f aca="false">$H$21-$F$21</f>
        <v>9386.64000000001</v>
      </c>
    </row>
    <row r="34" customFormat="false" ht="15" hidden="false" customHeight="false" outlineLevel="0" collapsed="false">
      <c r="B34" s="9" t="s">
        <v>174</v>
      </c>
      <c r="C34" s="18" t="n">
        <f aca="false">$F$11-Assumptions!$C$72</f>
        <v>8000</v>
      </c>
    </row>
    <row r="36" customFormat="false" ht="15" hidden="false" customHeight="false" outlineLevel="0" collapsed="false">
      <c r="B36" s="7" t="s">
        <v>175</v>
      </c>
      <c r="C36" s="8"/>
      <c r="D36" s="8"/>
    </row>
    <row r="37" customFormat="false" ht="15" hidden="false" customHeight="false" outlineLevel="0" collapsed="false">
      <c r="B37" s="9" t="s">
        <v>176</v>
      </c>
      <c r="C37" s="18" t="n">
        <f aca="false">Assumptions!$C$90*Assumptions!$C$67*Assumptions!$C$68</f>
        <v>104392.75</v>
      </c>
    </row>
    <row r="38" customFormat="false" ht="15" hidden="false" customHeight="false" outlineLevel="0" collapsed="false">
      <c r="B38" s="9" t="s">
        <v>177</v>
      </c>
      <c r="C38" s="18" t="n">
        <f aca="false">Assumptions!$C$91*Assumptions!$C$67*Assumptions!$C$68</f>
        <v>110863.375</v>
      </c>
    </row>
    <row r="39" customFormat="false" ht="15" hidden="false" customHeight="false" outlineLevel="0" collapsed="false">
      <c r="B39" s="9" t="s">
        <v>178</v>
      </c>
      <c r="C39" s="18" t="n">
        <f aca="false">$C$38-$F$11</f>
        <v>6463.37499999999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R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6" min="4" style="0" width="9"/>
    <col collapsed="false" customWidth="true" hidden="false" outlineLevel="0" max="7" min="7" style="0" width="14"/>
    <col collapsed="false" customWidth="true" hidden="false" outlineLevel="0" max="8" min="8" style="0" width="13"/>
    <col collapsed="false" customWidth="true" hidden="false" outlineLevel="0" max="9" min="9" style="0" width="10"/>
    <col collapsed="false" customWidth="true" hidden="false" outlineLevel="0" max="10" min="10" style="0" width="12"/>
    <col collapsed="false" customWidth="true" hidden="false" outlineLevel="0" max="12" min="11" style="0" width="14"/>
    <col collapsed="false" customWidth="true" hidden="false" outlineLevel="0" max="14" min="13" style="0" width="12"/>
    <col collapsed="false" customWidth="true" hidden="false" outlineLevel="0" max="15" min="15" style="0" width="14"/>
    <col collapsed="false" customWidth="true" hidden="false" outlineLevel="0" max="17" min="16" style="0" width="11"/>
    <col collapsed="false" customWidth="true" hidden="false" outlineLevel="0" max="18" min="18" style="0" width="9"/>
  </cols>
  <sheetData>
    <row r="1" customFormat="false" ht="6" hidden="false" customHeight="true" outlineLevel="0" collapsed="false"/>
    <row r="2" customFormat="false" ht="17.35" hidden="false" customHeight="false" outlineLevel="0" collapsed="false">
      <c r="B2" s="5" t="s">
        <v>179</v>
      </c>
    </row>
    <row r="3" customFormat="false" ht="15" hidden="false" customHeight="false" outlineLevel="0" collapsed="false">
      <c r="B3" s="6" t="s">
        <v>180</v>
      </c>
    </row>
    <row r="5" customFormat="false" ht="15" hidden="false" customHeight="false" outlineLevel="0" collapsed="false">
      <c r="B5" s="7" t="s">
        <v>181</v>
      </c>
      <c r="C5" s="8"/>
      <c r="D5" s="8"/>
      <c r="E5" s="8"/>
    </row>
    <row r="6" customFormat="false" ht="15" hidden="false" customHeight="false" outlineLevel="0" collapsed="false">
      <c r="B6" s="9" t="s">
        <v>182</v>
      </c>
      <c r="F6" s="25" t="n">
        <v>0.36</v>
      </c>
    </row>
    <row r="7" customFormat="false" ht="15" hidden="false" customHeight="false" outlineLevel="0" collapsed="false">
      <c r="B7" s="9" t="s">
        <v>183</v>
      </c>
      <c r="F7" s="29" t="n">
        <v>0.03</v>
      </c>
    </row>
    <row r="8" customFormat="false" ht="15" hidden="false" customHeight="false" outlineLevel="0" collapsed="false">
      <c r="B8" s="9" t="s">
        <v>184</v>
      </c>
      <c r="F8" s="14" t="n">
        <f aca="false">Assumptions!$C$65</f>
        <v>0.035</v>
      </c>
    </row>
    <row r="9" customFormat="false" ht="15" hidden="false" customHeight="false" outlineLevel="0" collapsed="false">
      <c r="B9" s="9" t="s">
        <v>185</v>
      </c>
      <c r="F9" s="18" t="n">
        <f aca="false">Assumptions!$D$79</f>
        <v>300</v>
      </c>
    </row>
    <row r="10" customFormat="false" ht="15" hidden="false" customHeight="false" outlineLevel="0" collapsed="false">
      <c r="B10" s="9" t="s">
        <v>186</v>
      </c>
      <c r="F10" s="18" t="n">
        <f aca="false">$F$9*Assumptions!$C$6</f>
        <v>21600</v>
      </c>
    </row>
    <row r="12" customFormat="false" ht="15" hidden="false" customHeight="false" outlineLevel="0" collapsed="false">
      <c r="B12" s="7" t="s">
        <v>187</v>
      </c>
      <c r="C12" s="8"/>
      <c r="D12" s="8"/>
      <c r="E12" s="8"/>
      <c r="F12" s="8"/>
      <c r="G12" s="8"/>
      <c r="H12" s="8"/>
      <c r="I12" s="8"/>
      <c r="J12" s="8"/>
      <c r="K12" s="8"/>
      <c r="L12" s="8"/>
      <c r="M12" s="8"/>
      <c r="N12" s="8"/>
      <c r="O12" s="8"/>
      <c r="P12" s="8"/>
      <c r="Q12" s="8"/>
      <c r="R12" s="8"/>
    </row>
    <row r="13" customFormat="false" ht="30" hidden="false" customHeight="true" outlineLevel="0" collapsed="false">
      <c r="B13" s="15" t="s">
        <v>57</v>
      </c>
      <c r="C13" s="16" t="s">
        <v>188</v>
      </c>
      <c r="D13" s="16" t="s">
        <v>17</v>
      </c>
      <c r="E13" s="16" t="s">
        <v>189</v>
      </c>
      <c r="F13" s="16" t="s">
        <v>190</v>
      </c>
      <c r="G13" s="16" t="s">
        <v>191</v>
      </c>
      <c r="H13" s="16" t="s">
        <v>192</v>
      </c>
      <c r="I13" s="16" t="s">
        <v>193</v>
      </c>
      <c r="J13" s="16" t="s">
        <v>194</v>
      </c>
      <c r="K13" s="16" t="s">
        <v>195</v>
      </c>
      <c r="L13" s="16" t="s">
        <v>196</v>
      </c>
      <c r="M13" s="16" t="s">
        <v>197</v>
      </c>
      <c r="N13" s="16" t="s">
        <v>198</v>
      </c>
      <c r="O13" s="16" t="s">
        <v>199</v>
      </c>
      <c r="P13" s="16" t="s">
        <v>200</v>
      </c>
      <c r="Q13" s="16" t="s">
        <v>201</v>
      </c>
      <c r="R13" s="16" t="s">
        <v>202</v>
      </c>
    </row>
    <row r="14" customFormat="false" ht="15" hidden="false" customHeight="false" outlineLevel="0" collapsed="false">
      <c r="B14" s="26" t="n">
        <v>1</v>
      </c>
      <c r="C14" s="27" t="s">
        <v>62</v>
      </c>
      <c r="D14" s="10" t="n">
        <v>96</v>
      </c>
      <c r="E14" s="10" t="n">
        <v>2001</v>
      </c>
      <c r="F14" s="10" t="n">
        <v>3</v>
      </c>
      <c r="G14" s="17" t="n">
        <v>18144000</v>
      </c>
      <c r="H14" s="18" t="n">
        <f aca="false">G14/D14</f>
        <v>189000</v>
      </c>
      <c r="I14" s="13" t="n">
        <v>910</v>
      </c>
      <c r="J14" s="34" t="n">
        <f aca="false">G14/(D14*I14)</f>
        <v>207.692307692308</v>
      </c>
      <c r="K14" s="17" t="n">
        <v>1062000</v>
      </c>
      <c r="L14" s="18" t="n">
        <f aca="false">K14/(1-$F$6)</f>
        <v>1659375</v>
      </c>
      <c r="M14" s="18" t="n">
        <f aca="false">$F$9*D14</f>
        <v>28800</v>
      </c>
      <c r="N14" s="18" t="n">
        <f aca="false">L14*($F$8-$F$7)</f>
        <v>8296.87500000001</v>
      </c>
      <c r="O14" s="18" t="n">
        <f aca="false">K14-M14-N14</f>
        <v>1024903.125</v>
      </c>
      <c r="P14" s="33" t="n">
        <f aca="false">K14/G14</f>
        <v>0.058531746031746</v>
      </c>
      <c r="Q14" s="32" t="n">
        <f aca="false">O14/G14</f>
        <v>0.0564871651785714</v>
      </c>
      <c r="R14" s="19" t="n">
        <f aca="false">G14/L14</f>
        <v>10.9342372881356</v>
      </c>
    </row>
    <row r="15" customFormat="false" ht="15" hidden="false" customHeight="false" outlineLevel="0" collapsed="false">
      <c r="B15" s="26" t="n">
        <v>2</v>
      </c>
      <c r="C15" s="27" t="s">
        <v>203</v>
      </c>
      <c r="D15" s="10" t="n">
        <v>60</v>
      </c>
      <c r="E15" s="10" t="n">
        <v>1996</v>
      </c>
      <c r="F15" s="10" t="n">
        <v>8</v>
      </c>
      <c r="G15" s="17" t="n">
        <v>8280000</v>
      </c>
      <c r="H15" s="18" t="n">
        <f aca="false">G15/D15</f>
        <v>138000</v>
      </c>
      <c r="I15" s="13" t="n">
        <v>880</v>
      </c>
      <c r="J15" s="34" t="n">
        <f aca="false">G15/(D15*I15)</f>
        <v>156.818181818182</v>
      </c>
      <c r="K15" s="17" t="n">
        <v>527000</v>
      </c>
      <c r="L15" s="18" t="n">
        <f aca="false">K15/(1-$F$6)</f>
        <v>823437.5</v>
      </c>
      <c r="M15" s="18" t="n">
        <f aca="false">$F$9*D15</f>
        <v>18000</v>
      </c>
      <c r="N15" s="18" t="n">
        <f aca="false">L15*($F$8-$F$7)</f>
        <v>4117.1875</v>
      </c>
      <c r="O15" s="18" t="n">
        <f aca="false">K15-M15-N15</f>
        <v>504882.8125</v>
      </c>
      <c r="P15" s="33" t="n">
        <f aca="false">K15/G15</f>
        <v>0.0636473429951691</v>
      </c>
      <c r="Q15" s="32" t="n">
        <f aca="false">O15/G15</f>
        <v>0.0609761850845411</v>
      </c>
      <c r="R15" s="19" t="n">
        <f aca="false">G15/L15</f>
        <v>10.0554079696395</v>
      </c>
    </row>
    <row r="16" customFormat="false" ht="15" hidden="false" customHeight="false" outlineLevel="0" collapsed="false">
      <c r="B16" s="26" t="n">
        <v>3</v>
      </c>
      <c r="C16" s="27" t="s">
        <v>70</v>
      </c>
      <c r="D16" s="10" t="n">
        <v>84</v>
      </c>
      <c r="E16" s="10" t="n">
        <v>2003</v>
      </c>
      <c r="F16" s="10" t="n">
        <v>11</v>
      </c>
      <c r="G16" s="17" t="n">
        <v>16128000</v>
      </c>
      <c r="H16" s="18" t="n">
        <f aca="false">G16/D16</f>
        <v>192000</v>
      </c>
      <c r="I16" s="13" t="n">
        <v>925</v>
      </c>
      <c r="J16" s="34" t="n">
        <f aca="false">G16/(D16*I16)</f>
        <v>207.567567567568</v>
      </c>
      <c r="K16" s="17" t="n">
        <v>928000</v>
      </c>
      <c r="L16" s="18" t="n">
        <f aca="false">K16/(1-$F$6)</f>
        <v>1450000</v>
      </c>
      <c r="M16" s="18" t="n">
        <f aca="false">$F$9*D16</f>
        <v>25200</v>
      </c>
      <c r="N16" s="18" t="n">
        <f aca="false">L16*($F$8-$F$7)</f>
        <v>7250.00000000001</v>
      </c>
      <c r="O16" s="18" t="n">
        <f aca="false">K16-M16-N16</f>
        <v>895550</v>
      </c>
      <c r="P16" s="33" t="n">
        <f aca="false">K16/G16</f>
        <v>0.0575396825396825</v>
      </c>
      <c r="Q16" s="32" t="n">
        <f aca="false">O16/G16</f>
        <v>0.0555276537698413</v>
      </c>
      <c r="R16" s="19" t="n">
        <f aca="false">G16/L16</f>
        <v>11.1227586206897</v>
      </c>
    </row>
    <row r="17" customFormat="false" ht="15" hidden="false" customHeight="false" outlineLevel="0" collapsed="false">
      <c r="B17" s="26" t="n">
        <v>4</v>
      </c>
      <c r="C17" s="27" t="s">
        <v>65</v>
      </c>
      <c r="D17" s="10" t="n">
        <v>72</v>
      </c>
      <c r="E17" s="10" t="n">
        <v>1998</v>
      </c>
      <c r="F17" s="10" t="n">
        <v>5</v>
      </c>
      <c r="G17" s="17" t="n">
        <v>11214000</v>
      </c>
      <c r="H17" s="18" t="n">
        <f aca="false">G17/D17</f>
        <v>155750</v>
      </c>
      <c r="I17" s="13" t="n">
        <v>890</v>
      </c>
      <c r="J17" s="34" t="n">
        <f aca="false">G17/(D17*I17)</f>
        <v>175</v>
      </c>
      <c r="K17" s="17" t="n">
        <v>689000</v>
      </c>
      <c r="L17" s="18" t="n">
        <f aca="false">K17/(1-$F$6)</f>
        <v>1076562.5</v>
      </c>
      <c r="M17" s="18" t="n">
        <f aca="false">$F$9*D17</f>
        <v>21600</v>
      </c>
      <c r="N17" s="18" t="n">
        <f aca="false">L17*($F$8-$F$7)</f>
        <v>5382.81250000001</v>
      </c>
      <c r="O17" s="18" t="n">
        <f aca="false">K17-M17-N17</f>
        <v>662017.1875</v>
      </c>
      <c r="P17" s="33" t="n">
        <f aca="false">K17/G17</f>
        <v>0.0614410558230783</v>
      </c>
      <c r="Q17" s="32" t="n">
        <f aca="false">O17/G17</f>
        <v>0.059034883850544</v>
      </c>
      <c r="R17" s="19" t="n">
        <f aca="false">G17/L17</f>
        <v>10.4164876632801</v>
      </c>
    </row>
    <row r="18" customFormat="false" ht="15" hidden="false" customHeight="false" outlineLevel="0" collapsed="false">
      <c r="B18" s="26" t="n">
        <v>5</v>
      </c>
      <c r="C18" s="27" t="s">
        <v>204</v>
      </c>
      <c r="D18" s="10" t="n">
        <v>120</v>
      </c>
      <c r="E18" s="10" t="n">
        <v>1999</v>
      </c>
      <c r="F18" s="10" t="n">
        <v>14</v>
      </c>
      <c r="G18" s="17" t="n">
        <v>20640000</v>
      </c>
      <c r="H18" s="18" t="n">
        <f aca="false">G18/D18</f>
        <v>172000</v>
      </c>
      <c r="I18" s="13" t="n">
        <v>870</v>
      </c>
      <c r="J18" s="34" t="n">
        <f aca="false">G18/(D18*I18)</f>
        <v>197.701149425287</v>
      </c>
      <c r="K18" s="17" t="n">
        <v>1243000</v>
      </c>
      <c r="L18" s="18" t="n">
        <f aca="false">K18/(1-$F$6)</f>
        <v>1942187.5</v>
      </c>
      <c r="M18" s="18" t="n">
        <f aca="false">$F$9*D18</f>
        <v>36000</v>
      </c>
      <c r="N18" s="18" t="n">
        <f aca="false">L18*($F$8-$F$7)</f>
        <v>9710.93750000001</v>
      </c>
      <c r="O18" s="18" t="n">
        <f aca="false">K18-M18-N18</f>
        <v>1197289.0625</v>
      </c>
      <c r="P18" s="33" t="n">
        <f aca="false">K18/G18</f>
        <v>0.0602228682170543</v>
      </c>
      <c r="Q18" s="32" t="n">
        <f aca="false">O18/G18</f>
        <v>0.0580081910125969</v>
      </c>
      <c r="R18" s="19" t="n">
        <f aca="false">G18/L18</f>
        <v>10.6271922767498</v>
      </c>
    </row>
    <row r="20" customFormat="false" ht="15" hidden="false" customHeight="false" outlineLevel="0" collapsed="false">
      <c r="C20" s="9" t="s">
        <v>205</v>
      </c>
      <c r="P20" s="33" t="n">
        <f aca="false">MIN(P14:P18)</f>
        <v>0.0575396825396825</v>
      </c>
      <c r="Q20" s="33" t="n">
        <f aca="false">MIN(Q14:Q18)</f>
        <v>0.0555276537698413</v>
      </c>
    </row>
    <row r="21" customFormat="false" ht="15" hidden="false" customHeight="false" outlineLevel="0" collapsed="false">
      <c r="C21" s="9" t="s">
        <v>206</v>
      </c>
      <c r="P21" s="33" t="n">
        <f aca="false">MAX(P14:P18)</f>
        <v>0.0636473429951691</v>
      </c>
      <c r="Q21" s="33" t="n">
        <f aca="false">MAX(Q14:Q18)</f>
        <v>0.0609761850845411</v>
      </c>
    </row>
    <row r="22" customFormat="false" ht="15" hidden="false" customHeight="false" outlineLevel="0" collapsed="false">
      <c r="C22" s="9" t="s">
        <v>207</v>
      </c>
      <c r="P22" s="33" t="n">
        <f aca="false">AVERAGE(P14:P18)</f>
        <v>0.060276539121346</v>
      </c>
      <c r="Q22" s="33" t="n">
        <f aca="false">AVERAGE(Q14:Q18)</f>
        <v>0.0580068157792189</v>
      </c>
    </row>
    <row r="23" customFormat="false" ht="15" hidden="false" customHeight="false" outlineLevel="0" collapsed="false">
      <c r="C23" s="9" t="s">
        <v>208</v>
      </c>
      <c r="Q23" s="33" t="n">
        <f aca="false">$P$22-$Q$22</f>
        <v>0.00226972334212712</v>
      </c>
    </row>
    <row r="24" customFormat="false" ht="15" hidden="false" customHeight="false" outlineLevel="0" collapsed="false">
      <c r="C24" s="9" t="s">
        <v>209</v>
      </c>
      <c r="F24" s="24" t="n">
        <f aca="false">AVERAGE(F14:F18)</f>
        <v>8.2</v>
      </c>
    </row>
    <row r="26" customFormat="false" ht="15" hidden="false" customHeight="false" outlineLevel="0" collapsed="false">
      <c r="B26" s="7" t="s">
        <v>210</v>
      </c>
      <c r="C26" s="8"/>
      <c r="D26" s="8"/>
      <c r="E26" s="8"/>
      <c r="F26" s="8"/>
    </row>
    <row r="27" customFormat="false" ht="15" hidden="false" customHeight="false" outlineLevel="0" collapsed="false">
      <c r="C27" s="9" t="s">
        <v>211</v>
      </c>
      <c r="F27" s="35" t="n">
        <v>0.0575</v>
      </c>
    </row>
    <row r="29" customFormat="false" ht="15" hidden="false" customHeight="false" outlineLevel="0" collapsed="false">
      <c r="B29" s="7" t="s">
        <v>212</v>
      </c>
      <c r="C29" s="8"/>
      <c r="D29" s="8"/>
      <c r="E29" s="8"/>
      <c r="F29" s="8"/>
    </row>
    <row r="30" customFormat="false" ht="15" hidden="false" customHeight="false" outlineLevel="0" collapsed="false">
      <c r="C30" s="9" t="s">
        <v>213</v>
      </c>
      <c r="F30" s="25" t="n">
        <v>0.6</v>
      </c>
    </row>
    <row r="31" customFormat="false" ht="15" hidden="false" customHeight="false" outlineLevel="0" collapsed="false">
      <c r="C31" s="9" t="s">
        <v>214</v>
      </c>
      <c r="F31" s="31" t="n">
        <v>0.061</v>
      </c>
    </row>
    <row r="32" customFormat="false" ht="15" hidden="false" customHeight="false" outlineLevel="0" collapsed="false">
      <c r="C32" s="9" t="s">
        <v>215</v>
      </c>
      <c r="F32" s="10" t="n">
        <v>30</v>
      </c>
    </row>
    <row r="33" customFormat="false" ht="15" hidden="false" customHeight="false" outlineLevel="0" collapsed="false">
      <c r="C33" s="9" t="s">
        <v>216</v>
      </c>
      <c r="F33" s="31" t="n">
        <v>0.0525</v>
      </c>
    </row>
    <row r="34" customFormat="false" ht="15" hidden="false" customHeight="false" outlineLevel="0" collapsed="false">
      <c r="C34" s="9" t="s">
        <v>217</v>
      </c>
      <c r="F34" s="36" t="n">
        <f aca="false">12*PMT($F$31/12,$F$32*12,-1)</f>
        <v>0.0727193742654511</v>
      </c>
    </row>
    <row r="35" customFormat="false" ht="15" hidden="false" customHeight="false" outlineLevel="0" collapsed="false">
      <c r="C35" s="9" t="s">
        <v>218</v>
      </c>
      <c r="F35" s="19" t="n">
        <f aca="false">$F$34/12*1000</f>
        <v>6.05994785545426</v>
      </c>
    </row>
    <row r="36" customFormat="false" ht="15" hidden="false" customHeight="false" outlineLevel="0" collapsed="false">
      <c r="C36" s="9" t="s">
        <v>219</v>
      </c>
      <c r="F36" s="33" t="n">
        <f aca="false">$F$30*$F$34</f>
        <v>0.0436316245592707</v>
      </c>
    </row>
    <row r="37" customFormat="false" ht="15" hidden="false" customHeight="false" outlineLevel="0" collapsed="false">
      <c r="C37" s="9" t="s">
        <v>220</v>
      </c>
      <c r="F37" s="33" t="n">
        <f aca="false">(1-$F$30)*$F$33</f>
        <v>0.021</v>
      </c>
    </row>
    <row r="38" customFormat="false" ht="15" hidden="false" customHeight="false" outlineLevel="0" collapsed="false">
      <c r="C38" s="20" t="s">
        <v>221</v>
      </c>
      <c r="F38" s="32" t="n">
        <f aca="false">$F$36+$F$37</f>
        <v>0.0646316245592707</v>
      </c>
    </row>
    <row r="40" customFormat="false" ht="15" hidden="false" customHeight="false" outlineLevel="0" collapsed="false">
      <c r="B40" s="7" t="s">
        <v>222</v>
      </c>
      <c r="C40" s="8"/>
      <c r="D40" s="8"/>
      <c r="E40" s="8"/>
      <c r="F40" s="8"/>
    </row>
    <row r="41" customFormat="false" ht="15" hidden="false" customHeight="false" outlineLevel="0" collapsed="false">
      <c r="C41" s="9" t="s">
        <v>223</v>
      </c>
      <c r="F41" s="12" t="n">
        <v>1.25</v>
      </c>
    </row>
    <row r="42" customFormat="false" ht="15" hidden="false" customHeight="false" outlineLevel="0" collapsed="false">
      <c r="C42" s="20" t="s">
        <v>224</v>
      </c>
      <c r="F42" s="32" t="n">
        <f aca="false">$F$41*$F$34*$F$30</f>
        <v>0.0545395306990883</v>
      </c>
    </row>
    <row r="44" customFormat="false" ht="15" hidden="false" customHeight="false" outlineLevel="0" collapsed="false">
      <c r="B44" s="7" t="s">
        <v>225</v>
      </c>
      <c r="C44" s="8"/>
      <c r="D44" s="8"/>
      <c r="E44" s="8"/>
      <c r="F44" s="8"/>
    </row>
    <row r="45" customFormat="false" ht="15" hidden="false" customHeight="false" outlineLevel="0" collapsed="false">
      <c r="C45" s="9" t="s">
        <v>226</v>
      </c>
      <c r="F45" s="33" t="n">
        <f aca="false">$F$38-$F$27</f>
        <v>0.00713162455927065</v>
      </c>
    </row>
    <row r="46" customFormat="false" ht="15" hidden="false" customHeight="false" outlineLevel="0" collapsed="false">
      <c r="C46" s="9" t="s">
        <v>227</v>
      </c>
      <c r="F46" s="33" t="n">
        <f aca="false">$F$27-$F$42</f>
        <v>0.00296046930091168</v>
      </c>
    </row>
    <row r="47" customFormat="false" ht="15" hidden="false" customHeight="false" outlineLevel="0" collapsed="false">
      <c r="C47" s="9" t="s">
        <v>228</v>
      </c>
      <c r="F47" s="33" t="n">
        <f aca="false">$F$27-$F$31</f>
        <v>-0.0035</v>
      </c>
    </row>
    <row r="48" customFormat="false" ht="15" hidden="false" customHeight="false" outlineLevel="0" collapsed="false">
      <c r="C48" s="9" t="s">
        <v>229</v>
      </c>
      <c r="F48" s="33" t="n">
        <f aca="false">Assumptions!$C$82-Market_Analysis!$C$17</f>
        <v>0.0525</v>
      </c>
    </row>
    <row r="49" customFormat="false" ht="15" hidden="false" customHeight="false" outlineLevel="0" collapsed="false">
      <c r="C49" s="9" t="s">
        <v>230</v>
      </c>
      <c r="F49" s="33" t="n">
        <f aca="false">Operating_Statements!$F$21/Assumptions!$C$90</f>
        <v>0.0580844231404959</v>
      </c>
    </row>
    <row r="50" customFormat="false" ht="15" hidden="false" customHeight="false" outlineLevel="0" collapsed="false">
      <c r="C50" s="9" t="s">
        <v>231</v>
      </c>
      <c r="F50" s="33" t="n">
        <f aca="false">Operating_Statements!$F$21/Assumptions!$C$91</f>
        <v>0.0546942817120623</v>
      </c>
    </row>
    <row r="51" customFormat="false" ht="15" hidden="false" customHeight="false" outlineLevel="0" collapsed="false">
      <c r="C51" s="9" t="s">
        <v>232</v>
      </c>
      <c r="F51" s="33" t="n">
        <f aca="false">Operating_Statements!$D$21/Assumptions!$C$91</f>
        <v>0.0579646381322957</v>
      </c>
    </row>
    <row r="52" customFormat="false" ht="15" hidden="false" customHeight="false" outlineLevel="0" collapsed="false">
      <c r="C52" s="9" t="s">
        <v>233</v>
      </c>
      <c r="F52" s="33" t="n">
        <f aca="false">Operating_Statements!$H$21/Assumptions!$C$91</f>
        <v>0.0554247595330739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7" min="3" style="0" width="15"/>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234</v>
      </c>
    </row>
    <row r="3" customFormat="false" ht="15" hidden="false" customHeight="false" outlineLevel="0" collapsed="false">
      <c r="B3" s="6" t="s">
        <v>235</v>
      </c>
    </row>
    <row r="5" customFormat="false" ht="15" hidden="false" customHeight="false" outlineLevel="0" collapsed="false">
      <c r="B5" s="9" t="s">
        <v>236</v>
      </c>
      <c r="C5" s="18" t="n">
        <f aca="false">Operating_Statements!$F$21</f>
        <v>702821.52</v>
      </c>
    </row>
    <row r="6" customFormat="false" ht="15" hidden="false" customHeight="false" outlineLevel="0" collapsed="false">
      <c r="B6" s="9" t="s">
        <v>237</v>
      </c>
      <c r="C6" s="33" t="n">
        <f aca="false">Cap_Rate!$F$27</f>
        <v>0.0575</v>
      </c>
    </row>
    <row r="7" customFormat="false" ht="15" hidden="false" customHeight="false" outlineLevel="0" collapsed="false">
      <c r="B7" s="20" t="s">
        <v>238</v>
      </c>
      <c r="C7" s="22" t="n">
        <f aca="false">$C$5/$C$6</f>
        <v>12222982.9565217</v>
      </c>
    </row>
    <row r="8" customFormat="false" ht="15" hidden="false" customHeight="false" outlineLevel="0" collapsed="false">
      <c r="B8" s="9" t="s">
        <v>239</v>
      </c>
      <c r="C8" s="18" t="n">
        <f aca="false">$C$7/Assumptions!$C$6</f>
        <v>169763.652173913</v>
      </c>
    </row>
    <row r="9" customFormat="false" ht="15" hidden="false" customHeight="false" outlineLevel="0" collapsed="false">
      <c r="B9" s="9" t="s">
        <v>240</v>
      </c>
      <c r="C9" s="18" t="n">
        <f aca="false">Assumptions!$C$35</f>
        <v>150000</v>
      </c>
    </row>
    <row r="10" customFormat="false" ht="15" hidden="false" customHeight="false" outlineLevel="0" collapsed="false">
      <c r="B10" s="9" t="s">
        <v>241</v>
      </c>
      <c r="C10" s="18" t="n">
        <f aca="false">Assumptions!$C$28*Assumptions!$C$37</f>
        <v>20880</v>
      </c>
    </row>
    <row r="11" customFormat="false" ht="15" hidden="false" customHeight="false" outlineLevel="0" collapsed="false">
      <c r="B11" s="9" t="s">
        <v>242</v>
      </c>
      <c r="C11" s="18" t="n">
        <f aca="false">$C$9+$C$10</f>
        <v>170880</v>
      </c>
    </row>
    <row r="12" customFormat="false" ht="15" hidden="false" customHeight="false" outlineLevel="0" collapsed="false">
      <c r="B12" s="20" t="s">
        <v>243</v>
      </c>
      <c r="C12" s="22" t="n">
        <f aca="false">$C$7-$C$11</f>
        <v>12052102.9565217</v>
      </c>
    </row>
    <row r="13" customFormat="false" ht="15" hidden="false" customHeight="false" outlineLevel="0" collapsed="false">
      <c r="B13" s="20" t="s">
        <v>244</v>
      </c>
      <c r="C13" s="22" t="n">
        <f aca="false">ROUND(($C$12)/50000,0)*50000</f>
        <v>12050000</v>
      </c>
    </row>
    <row r="15" customFormat="false" ht="15" hidden="false" customHeight="false" outlineLevel="0" collapsed="false">
      <c r="B15" s="7" t="s">
        <v>245</v>
      </c>
      <c r="C15" s="8"/>
      <c r="D15" s="8"/>
    </row>
    <row r="16" customFormat="false" ht="21.75" hidden="false" customHeight="true" outlineLevel="0" collapsed="false">
      <c r="B16" s="15" t="s">
        <v>246</v>
      </c>
      <c r="C16" s="16" t="s">
        <v>247</v>
      </c>
      <c r="D16" s="16" t="s">
        <v>248</v>
      </c>
    </row>
    <row r="17" customFormat="false" ht="15" hidden="false" customHeight="false" outlineLevel="0" collapsed="false">
      <c r="B17" s="31" t="n">
        <v>0.0525</v>
      </c>
      <c r="C17" s="18" t="n">
        <f aca="false">$C$5/B17-$C$11</f>
        <v>13216196.5714286</v>
      </c>
      <c r="D17" s="18" t="n">
        <f aca="false">C17-$C$12</f>
        <v>1164093.61490683</v>
      </c>
    </row>
    <row r="18" customFormat="false" ht="15" hidden="false" customHeight="false" outlineLevel="0" collapsed="false">
      <c r="B18" s="31" t="n">
        <v>0.055</v>
      </c>
      <c r="C18" s="18" t="n">
        <f aca="false">$C$5/B18-$C$11</f>
        <v>12607693.0909091</v>
      </c>
      <c r="D18" s="18" t="n">
        <f aca="false">C18-$C$12</f>
        <v>555590.134387353</v>
      </c>
    </row>
    <row r="19" customFormat="false" ht="15" hidden="false" customHeight="false" outlineLevel="0" collapsed="false">
      <c r="B19" s="31" t="n">
        <v>0.0575</v>
      </c>
      <c r="C19" s="18" t="n">
        <f aca="false">$C$5/B19-$C$11</f>
        <v>12052102.9565217</v>
      </c>
      <c r="D19" s="18" t="n">
        <f aca="false">C19-$C$12</f>
        <v>0</v>
      </c>
    </row>
    <row r="20" customFormat="false" ht="15" hidden="false" customHeight="false" outlineLevel="0" collapsed="false">
      <c r="B20" s="31" t="n">
        <v>0.06</v>
      </c>
      <c r="C20" s="18" t="n">
        <f aca="false">$C$5/B20-$C$11</f>
        <v>11542812</v>
      </c>
      <c r="D20" s="18" t="n">
        <f aca="false">C20-$C$12</f>
        <v>-509290.956521738</v>
      </c>
    </row>
    <row r="21" customFormat="false" ht="15" hidden="false" customHeight="false" outlineLevel="0" collapsed="false">
      <c r="B21" s="31" t="n">
        <v>0.0625</v>
      </c>
      <c r="C21" s="18" t="n">
        <f aca="false">$C$5/B21-$C$11</f>
        <v>11074264.32</v>
      </c>
      <c r="D21" s="18" t="n">
        <f aca="false">C21-$C$12</f>
        <v>-977838.636521738</v>
      </c>
    </row>
    <row r="22" customFormat="false" ht="15" hidden="false" customHeight="false" outlineLevel="0" collapsed="false">
      <c r="B22" s="9" t="s">
        <v>249</v>
      </c>
      <c r="C22" s="18" t="n">
        <f aca="false">C18-C19</f>
        <v>555590.134387353</v>
      </c>
    </row>
    <row r="23" customFormat="false" ht="15" hidden="false" customHeight="false" outlineLevel="0" collapsed="false">
      <c r="B23" s="9" t="s">
        <v>250</v>
      </c>
      <c r="C23" s="18" t="n">
        <f aca="false">C19-C20</f>
        <v>509290.956521738</v>
      </c>
    </row>
    <row r="24" customFormat="false" ht="15" hidden="false" customHeight="false" outlineLevel="0" collapsed="false">
      <c r="B24" s="9" t="s">
        <v>251</v>
      </c>
      <c r="C24" s="14" t="n">
        <f aca="false">C18/C19-1</f>
        <v>0.0460990199296885</v>
      </c>
    </row>
    <row r="26" customFormat="false" ht="15" hidden="false" customHeight="false" outlineLevel="0" collapsed="false">
      <c r="B26" s="7" t="s">
        <v>252</v>
      </c>
      <c r="C26" s="8"/>
      <c r="D26" s="8"/>
    </row>
    <row r="27" customFormat="false" ht="21.75" hidden="false" customHeight="true" outlineLevel="0" collapsed="false">
      <c r="B27" s="15" t="s">
        <v>253</v>
      </c>
      <c r="C27" s="16" t="s">
        <v>247</v>
      </c>
      <c r="D27" s="16" t="s">
        <v>248</v>
      </c>
    </row>
    <row r="28" customFormat="false" ht="15" hidden="false" customHeight="false" outlineLevel="0" collapsed="false">
      <c r="B28" s="25" t="n">
        <v>0.03</v>
      </c>
      <c r="C28" s="18" t="n">
        <f aca="false">((Assumptions!$H$24+Assumptions!$C$34)*(1-B28)-(Operating_Statements!$F$20-Operating_Statements!$F$16)-(Assumptions!$H$24+Assumptions!$C$34)*(1-B28)*Assumptions!$C$65)/$C$6-$C$11</f>
        <v>12461007.8608696</v>
      </c>
      <c r="D28" s="18" t="n">
        <f aca="false">C28-$C$12</f>
        <v>408904.904347828</v>
      </c>
    </row>
    <row r="29" customFormat="false" ht="15" hidden="false" customHeight="false" outlineLevel="0" collapsed="false">
      <c r="B29" s="25" t="n">
        <v>0.04</v>
      </c>
      <c r="C29" s="18" t="n">
        <f aca="false">((Assumptions!$H$24+Assumptions!$C$34)*(1-B29)-(Operating_Statements!$F$20-Operating_Statements!$F$16)-(Assumptions!$H$24+Assumptions!$C$34)*(1-B29)*Assumptions!$C$65)/$C$6-$C$11</f>
        <v>12256555.4086957</v>
      </c>
      <c r="D29" s="18" t="n">
        <f aca="false">C29-$C$12</f>
        <v>204452.452173911</v>
      </c>
    </row>
    <row r="30" customFormat="false" ht="15" hidden="false" customHeight="false" outlineLevel="0" collapsed="false">
      <c r="B30" s="25" t="n">
        <v>0.05</v>
      </c>
      <c r="C30" s="18" t="n">
        <f aca="false">((Assumptions!$H$24+Assumptions!$C$34)*(1-B30)-(Operating_Statements!$F$20-Operating_Statements!$F$16)-(Assumptions!$H$24+Assumptions!$C$34)*(1-B30)*Assumptions!$C$65)/$C$6-$C$11</f>
        <v>12052102.9565217</v>
      </c>
      <c r="D30" s="18" t="n">
        <f aca="false">C30-$C$12</f>
        <v>0</v>
      </c>
    </row>
    <row r="31" customFormat="false" ht="15" hidden="false" customHeight="false" outlineLevel="0" collapsed="false">
      <c r="B31" s="25" t="n">
        <v>0.06</v>
      </c>
      <c r="C31" s="18" t="n">
        <f aca="false">((Assumptions!$H$24+Assumptions!$C$34)*(1-B31)-(Operating_Statements!$F$20-Operating_Statements!$F$16)-(Assumptions!$H$24+Assumptions!$C$34)*(1-B31)*Assumptions!$C$65)/$C$6-$C$11</f>
        <v>11847650.5043478</v>
      </c>
      <c r="D31" s="18" t="n">
        <f aca="false">C31-$C$12</f>
        <v>-204452.452173915</v>
      </c>
    </row>
    <row r="32" customFormat="false" ht="15" hidden="false" customHeight="false" outlineLevel="0" collapsed="false">
      <c r="B32" s="25" t="n">
        <v>0.07</v>
      </c>
      <c r="C32" s="18" t="n">
        <f aca="false">((Assumptions!$H$24+Assumptions!$C$34)*(1-B32)-(Operating_Statements!$F$20-Operating_Statements!$F$16)-(Assumptions!$H$24+Assumptions!$C$34)*(1-B32)*Assumptions!$C$65)/$C$6-$C$11</f>
        <v>11643198.0521739</v>
      </c>
      <c r="D32" s="18" t="n">
        <f aca="false">C32-$C$12</f>
        <v>-408904.904347828</v>
      </c>
    </row>
    <row r="33" customFormat="false" ht="15" hidden="false" customHeight="false" outlineLevel="0" collapsed="false">
      <c r="B33" s="9" t="s">
        <v>254</v>
      </c>
      <c r="C33" s="18" t="n">
        <f aca="false">C30-C31</f>
        <v>204452.452173915</v>
      </c>
    </row>
    <row r="35" customFormat="false" ht="15" hidden="false" customHeight="false" outlineLevel="0" collapsed="false">
      <c r="B35" s="7" t="s">
        <v>255</v>
      </c>
      <c r="C35" s="8"/>
      <c r="D35" s="8"/>
    </row>
    <row r="36" customFormat="false" ht="21.75" hidden="false" customHeight="true" outlineLevel="0" collapsed="false">
      <c r="B36" s="15" t="s">
        <v>256</v>
      </c>
      <c r="C36" s="16" t="s">
        <v>247</v>
      </c>
      <c r="D36" s="16" t="s">
        <v>248</v>
      </c>
    </row>
    <row r="37" customFormat="false" ht="15" hidden="false" customHeight="false" outlineLevel="0" collapsed="false">
      <c r="B37" s="25" t="n">
        <v>0.35</v>
      </c>
      <c r="C37" s="18" t="n">
        <f aca="false">Operating_Statements!$F$9*(1-B37)/$C$6-$C$11</f>
        <v>12911958.2608696</v>
      </c>
      <c r="D37" s="18" t="n">
        <f aca="false">C37-$C$12</f>
        <v>859855.304347828</v>
      </c>
    </row>
    <row r="38" customFormat="false" ht="15" hidden="false" customHeight="false" outlineLevel="0" collapsed="false">
      <c r="B38" s="25" t="n">
        <v>0.37</v>
      </c>
      <c r="C38" s="18" t="n">
        <f aca="false">Operating_Statements!$F$9*(1-B38)/$C$6-$C$11</f>
        <v>12509409.3913043</v>
      </c>
      <c r="D38" s="18" t="n">
        <f aca="false">C38-$C$12</f>
        <v>457306.434782609</v>
      </c>
    </row>
    <row r="39" customFormat="false" ht="15" hidden="false" customHeight="false" outlineLevel="0" collapsed="false">
      <c r="B39" s="25" t="n">
        <v>0.39</v>
      </c>
      <c r="C39" s="18" t="n">
        <f aca="false">Operating_Statements!$F$9*(1-B39)/$C$6-$C$11</f>
        <v>12106860.5217391</v>
      </c>
      <c r="D39" s="18" t="n">
        <f aca="false">C39-$C$12</f>
        <v>54757.5652173907</v>
      </c>
    </row>
    <row r="40" customFormat="false" ht="15" hidden="false" customHeight="false" outlineLevel="0" collapsed="false">
      <c r="B40" s="25" t="n">
        <v>0.41</v>
      </c>
      <c r="C40" s="18" t="n">
        <f aca="false">Operating_Statements!$F$9*(1-B40)/$C$6-$C$11</f>
        <v>11704311.6521739</v>
      </c>
      <c r="D40" s="18" t="n">
        <f aca="false">C40-$C$12</f>
        <v>-347791.304347824</v>
      </c>
    </row>
    <row r="41" customFormat="false" ht="15" hidden="false" customHeight="false" outlineLevel="0" collapsed="false">
      <c r="B41" s="25" t="n">
        <v>0.43</v>
      </c>
      <c r="C41" s="18" t="n">
        <f aca="false">Operating_Statements!$F$9*(1-B41)/$C$6-$C$11</f>
        <v>11301762.7826087</v>
      </c>
      <c r="D41" s="18" t="n">
        <f aca="false">C41-$C$12</f>
        <v>-750340.173913041</v>
      </c>
    </row>
    <row r="42" customFormat="false" ht="15" hidden="false" customHeight="false" outlineLevel="0" collapsed="false">
      <c r="B42" s="9" t="s">
        <v>257</v>
      </c>
      <c r="C42" s="18" t="n">
        <f aca="false">C39-C40</f>
        <v>402548.869565215</v>
      </c>
    </row>
    <row r="44" customFormat="false" ht="15" hidden="false" customHeight="false" outlineLevel="0" collapsed="false">
      <c r="B44" s="7" t="s">
        <v>258</v>
      </c>
      <c r="C44" s="8"/>
      <c r="D44" s="8"/>
    </row>
    <row r="45" customFormat="false" ht="15" hidden="false" customHeight="false" outlineLevel="0" collapsed="false">
      <c r="B45" s="9" t="s">
        <v>259</v>
      </c>
      <c r="C45" s="18" t="n">
        <f aca="false">10000/$C$6</f>
        <v>173913.043478261</v>
      </c>
    </row>
    <row r="46" customFormat="false" ht="15" hidden="false" customHeight="false" outlineLevel="0" collapsed="false">
      <c r="B46" s="9" t="s">
        <v>260</v>
      </c>
      <c r="C46" s="18" t="n">
        <f aca="false">10*Assumptions!$C$6*12*(1-Assumptions!$C$62)*(1-Assumptions!$C$65)/$C$6</f>
        <v>137751.652173913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13" min="3" style="0" width="13"/>
    <col collapsed="false" customWidth="true" hidden="false" outlineLevel="0" max="14" min="14" style="0" width="20"/>
  </cols>
  <sheetData>
    <row r="1" customFormat="false" ht="6" hidden="false" customHeight="true" outlineLevel="0" collapsed="false"/>
    <row r="2" customFormat="false" ht="17.35" hidden="false" customHeight="false" outlineLevel="0" collapsed="false">
      <c r="B2" s="5" t="s">
        <v>261</v>
      </c>
    </row>
    <row r="3" customFormat="false" ht="15" hidden="false" customHeight="false" outlineLevel="0" collapsed="false">
      <c r="B3" s="6" t="s">
        <v>262</v>
      </c>
    </row>
    <row r="5" customFormat="false" ht="15" hidden="false" customHeight="false" outlineLevel="0" collapsed="false">
      <c r="B5" s="7" t="s">
        <v>263</v>
      </c>
      <c r="C5" s="8"/>
      <c r="D5" s="8"/>
    </row>
    <row r="6" customFormat="false" ht="15" hidden="false" customHeight="false" outlineLevel="0" collapsed="false">
      <c r="B6" s="9" t="s">
        <v>264</v>
      </c>
      <c r="C6" s="33" t="n">
        <f aca="false">Assumptions!$C$82</f>
        <v>0.0775</v>
      </c>
    </row>
    <row r="7" customFormat="false" ht="15" hidden="false" customHeight="false" outlineLevel="0" collapsed="false">
      <c r="B7" s="9" t="s">
        <v>104</v>
      </c>
      <c r="C7" s="33" t="n">
        <f aca="false">Assumptions!$C$83</f>
        <v>0.0625</v>
      </c>
    </row>
    <row r="8" customFormat="false" ht="15" hidden="false" customHeight="false" outlineLevel="0" collapsed="false">
      <c r="B8" s="9" t="s">
        <v>265</v>
      </c>
      <c r="C8" s="33" t="n">
        <f aca="false">Assumptions!$C$83-Cap_Rate!$F$27</f>
        <v>0.005</v>
      </c>
    </row>
    <row r="9" customFormat="false" ht="15" hidden="false" customHeight="false" outlineLevel="0" collapsed="false">
      <c r="B9" s="9" t="s">
        <v>105</v>
      </c>
      <c r="C9" s="14" t="n">
        <f aca="false">Assumptions!$C$84</f>
        <v>0.02</v>
      </c>
    </row>
    <row r="10" customFormat="false" ht="15" hidden="false" customHeight="false" outlineLevel="0" collapsed="false">
      <c r="B10" s="9" t="s">
        <v>106</v>
      </c>
      <c r="C10" s="14" t="n">
        <f aca="false">Assumptions!$C$85</f>
        <v>0.03</v>
      </c>
    </row>
    <row r="11" customFormat="false" ht="15" hidden="false" customHeight="false" outlineLevel="0" collapsed="false">
      <c r="B11" s="9" t="s">
        <v>266</v>
      </c>
      <c r="C11" s="18" t="n">
        <f aca="false">Operating_Statements!$F$20-Operating_Statements!$F$16</f>
        <v>414000</v>
      </c>
    </row>
    <row r="13" customFormat="false" ht="15" hidden="false" customHeight="false" outlineLevel="0" collapsed="false">
      <c r="B13" s="7" t="s">
        <v>267</v>
      </c>
      <c r="C13" s="8"/>
      <c r="D13" s="8"/>
      <c r="E13" s="8"/>
      <c r="F13" s="8"/>
      <c r="G13" s="8"/>
      <c r="H13" s="8"/>
      <c r="I13" s="8"/>
      <c r="J13" s="8"/>
      <c r="K13" s="8"/>
      <c r="L13" s="8"/>
      <c r="M13" s="8"/>
    </row>
    <row r="14" customFormat="false" ht="15" hidden="false" customHeight="false" outlineLevel="0" collapsed="false">
      <c r="B14" s="15" t="s">
        <v>129</v>
      </c>
      <c r="C14" s="16" t="n">
        <v>1</v>
      </c>
      <c r="D14" s="16" t="n">
        <v>2</v>
      </c>
      <c r="E14" s="16" t="n">
        <v>3</v>
      </c>
      <c r="F14" s="16" t="n">
        <v>4</v>
      </c>
      <c r="G14" s="16" t="n">
        <v>5</v>
      </c>
      <c r="H14" s="16" t="n">
        <v>6</v>
      </c>
      <c r="I14" s="16" t="n">
        <v>7</v>
      </c>
      <c r="J14" s="16" t="n">
        <v>8</v>
      </c>
      <c r="K14" s="16" t="n">
        <v>9</v>
      </c>
      <c r="L14" s="16" t="n">
        <v>10</v>
      </c>
      <c r="M14" s="16" t="n">
        <v>11</v>
      </c>
    </row>
    <row r="15" customFormat="false" ht="15" hidden="false" customHeight="false" outlineLevel="0" collapsed="false">
      <c r="B15" s="9" t="s">
        <v>268</v>
      </c>
      <c r="C15" s="9"/>
      <c r="D15" s="33" t="n">
        <f aca="false">Market_Analysis!$D$26</f>
        <v>0.0282303664921466</v>
      </c>
      <c r="E15" s="33" t="n">
        <f aca="false">Market_Analysis!$E$26</f>
        <v>0.0273384223918575</v>
      </c>
      <c r="F15" s="33" t="n">
        <f aca="false">Market_Analysis!$F$26</f>
        <v>0.03116</v>
      </c>
      <c r="G15" s="33" t="n">
        <f aca="false">Market_Analysis!$G$26</f>
        <v>0.0336862745098039</v>
      </c>
      <c r="H15" s="33" t="n">
        <f aca="false">Market_Analysis!$H$26</f>
        <v>0.0361153846153846</v>
      </c>
      <c r="I15" s="33" t="n">
        <f aca="false">Market_Analysis!$C$17</f>
        <v>0.025</v>
      </c>
      <c r="J15" s="33" t="n">
        <f aca="false">Market_Analysis!$C$17</f>
        <v>0.025</v>
      </c>
      <c r="K15" s="33" t="n">
        <f aca="false">Market_Analysis!$C$17</f>
        <v>0.025</v>
      </c>
      <c r="L15" s="33" t="n">
        <f aca="false">Market_Analysis!$C$17</f>
        <v>0.025</v>
      </c>
      <c r="M15" s="33" t="n">
        <f aca="false">Market_Analysis!$C$17</f>
        <v>0.025</v>
      </c>
    </row>
    <row r="16" customFormat="false" ht="15" hidden="false" customHeight="false" outlineLevel="0" collapsed="false">
      <c r="B16" s="9" t="s">
        <v>269</v>
      </c>
      <c r="C16" s="18" t="n">
        <f aca="false">Assumptions!$H$24</f>
        <v>1183680</v>
      </c>
      <c r="D16" s="18" t="n">
        <f aca="false">C16*(1+D15)</f>
        <v>1217095.72020942</v>
      </c>
      <c r="E16" s="18" t="n">
        <f aca="false">D16*(1+E15)</f>
        <v>1250369.19709983</v>
      </c>
      <c r="F16" s="18" t="n">
        <f aca="false">E16*(1+F15)</f>
        <v>1289330.70128146</v>
      </c>
      <c r="G16" s="18" t="n">
        <f aca="false">F16*(1+G15)</f>
        <v>1332763.44921875</v>
      </c>
      <c r="H16" s="18" t="n">
        <f aca="false">G16*(1+H15)</f>
        <v>1380896.71378861</v>
      </c>
      <c r="I16" s="18" t="n">
        <f aca="false">H16*(1+I15)</f>
        <v>1415419.13163332</v>
      </c>
      <c r="J16" s="18" t="n">
        <f aca="false">I16*(1+J15)</f>
        <v>1450804.60992416</v>
      </c>
      <c r="K16" s="18" t="n">
        <f aca="false">J16*(1+K15)</f>
        <v>1487074.72517226</v>
      </c>
      <c r="L16" s="18" t="n">
        <f aca="false">K16*(1+L15)</f>
        <v>1524251.59330157</v>
      </c>
      <c r="M16" s="18" t="n">
        <f aca="false">L16*(1+M15)</f>
        <v>1562357.88313411</v>
      </c>
    </row>
    <row r="17" customFormat="false" ht="15" hidden="false" customHeight="false" outlineLevel="0" collapsed="false">
      <c r="B17" s="9" t="s">
        <v>270</v>
      </c>
      <c r="C17" s="18" t="n">
        <f aca="false">C16-Assumptions!$C$28*Assumptions!$C$37</f>
        <v>1162800</v>
      </c>
      <c r="D17" s="18" t="n">
        <f aca="false">D16</f>
        <v>1217095.72020942</v>
      </c>
      <c r="E17" s="18" t="n">
        <f aca="false">E16</f>
        <v>1250369.19709983</v>
      </c>
      <c r="F17" s="18" t="n">
        <f aca="false">F16</f>
        <v>1289330.70128146</v>
      </c>
      <c r="G17" s="18" t="n">
        <f aca="false">G16</f>
        <v>1332763.44921875</v>
      </c>
      <c r="H17" s="18" t="n">
        <f aca="false">H16</f>
        <v>1380896.71378861</v>
      </c>
      <c r="I17" s="18" t="n">
        <f aca="false">I16</f>
        <v>1415419.13163332</v>
      </c>
      <c r="J17" s="18" t="n">
        <f aca="false">J16</f>
        <v>1450804.60992416</v>
      </c>
      <c r="K17" s="18" t="n">
        <f aca="false">K16</f>
        <v>1487074.72517226</v>
      </c>
      <c r="L17" s="18" t="n">
        <f aca="false">L16</f>
        <v>1524251.59330157</v>
      </c>
      <c r="M17" s="18" t="n">
        <f aca="false">M16</f>
        <v>1562357.88313411</v>
      </c>
    </row>
    <row r="18" customFormat="false" ht="15" hidden="false" customHeight="false" outlineLevel="0" collapsed="false">
      <c r="B18" s="9" t="s">
        <v>157</v>
      </c>
      <c r="C18" s="18" t="n">
        <f aca="false">Assumptions!$C$34</f>
        <v>34560</v>
      </c>
      <c r="D18" s="18" t="n">
        <f aca="false">C18*(1+Assumptions!$C$86)</f>
        <v>35596.8</v>
      </c>
      <c r="E18" s="18" t="n">
        <f aca="false">D18*(1+Assumptions!$C$86)</f>
        <v>36664.704</v>
      </c>
      <c r="F18" s="18" t="n">
        <f aca="false">E18*(1+Assumptions!$C$86)</f>
        <v>37764.64512</v>
      </c>
      <c r="G18" s="18" t="n">
        <f aca="false">F18*(1+Assumptions!$C$86)</f>
        <v>38897.5844736</v>
      </c>
      <c r="H18" s="18" t="n">
        <f aca="false">G18*(1+Assumptions!$C$86)</f>
        <v>40064.512007808</v>
      </c>
      <c r="I18" s="18" t="n">
        <f aca="false">H18*(1+Assumptions!$C$86)</f>
        <v>41266.4473680422</v>
      </c>
      <c r="J18" s="18" t="n">
        <f aca="false">I18*(1+Assumptions!$C$86)</f>
        <v>42504.4407890835</v>
      </c>
      <c r="K18" s="18" t="n">
        <f aca="false">J18*(1+Assumptions!$C$86)</f>
        <v>43779.574012756</v>
      </c>
      <c r="L18" s="18" t="n">
        <f aca="false">K18*(1+Assumptions!$C$86)</f>
        <v>45092.9612331387</v>
      </c>
      <c r="M18" s="18" t="n">
        <f aca="false">L18*(1+Assumptions!$C$86)</f>
        <v>46445.7500701329</v>
      </c>
    </row>
    <row r="19" customFormat="false" ht="15" hidden="false" customHeight="false" outlineLevel="0" collapsed="false">
      <c r="B19" s="9" t="s">
        <v>158</v>
      </c>
      <c r="C19" s="18" t="n">
        <f aca="false">(C17+C18)*Assumptions!$C$62</f>
        <v>59868</v>
      </c>
      <c r="D19" s="18" t="n">
        <f aca="false">(D17+D18)*Assumptions!$C$62</f>
        <v>62634.6260104712</v>
      </c>
      <c r="E19" s="18" t="n">
        <f aca="false">(E17+E18)*Assumptions!$C$62</f>
        <v>64351.6950549916</v>
      </c>
      <c r="F19" s="18" t="n">
        <f aca="false">(F17+F18)*Assumptions!$C$62</f>
        <v>66354.7673200731</v>
      </c>
      <c r="G19" s="18" t="n">
        <f aca="false">(G17+G18)*Assumptions!$C$62</f>
        <v>68583.0516846174</v>
      </c>
      <c r="H19" s="18" t="n">
        <f aca="false">(H17+H18)*Assumptions!$C$62</f>
        <v>71048.0612898209</v>
      </c>
      <c r="I19" s="18" t="n">
        <f aca="false">(I17+I18)*Assumptions!$C$62</f>
        <v>72834.2789500683</v>
      </c>
      <c r="J19" s="18" t="n">
        <f aca="false">(J17+J18)*Assumptions!$C$62</f>
        <v>74665.452535662</v>
      </c>
      <c r="K19" s="18" t="n">
        <f aca="false">(K17+K18)*Assumptions!$C$62</f>
        <v>76542.7149592509</v>
      </c>
      <c r="L19" s="18" t="n">
        <f aca="false">(L17+L18)*Assumptions!$C$62</f>
        <v>78467.2277267353</v>
      </c>
      <c r="M19" s="18" t="n">
        <f aca="false">(M17+M18)*Assumptions!$C$62</f>
        <v>80440.181660212</v>
      </c>
    </row>
    <row r="20" customFormat="false" ht="15" hidden="false" customHeight="false" outlineLevel="0" collapsed="false">
      <c r="B20" s="20" t="s">
        <v>159</v>
      </c>
      <c r="C20" s="22" t="n">
        <f aca="false">C17+C18-C19</f>
        <v>1137492</v>
      </c>
      <c r="D20" s="22" t="n">
        <f aca="false">D17+D18-D19</f>
        <v>1190057.89419895</v>
      </c>
      <c r="E20" s="22" t="n">
        <f aca="false">E17+E18-E19</f>
        <v>1222682.20604484</v>
      </c>
      <c r="F20" s="22" t="n">
        <f aca="false">F17+F18-F19</f>
        <v>1260740.57908139</v>
      </c>
      <c r="G20" s="22" t="n">
        <f aca="false">G17+G18-G19</f>
        <v>1303077.98200773</v>
      </c>
      <c r="H20" s="22" t="n">
        <f aca="false">H17+H18-H19</f>
        <v>1349913.1645066</v>
      </c>
      <c r="I20" s="22" t="n">
        <f aca="false">I17+I18-I19</f>
        <v>1383851.3000513</v>
      </c>
      <c r="J20" s="22" t="n">
        <f aca="false">J17+J18-J19</f>
        <v>1418643.59817758</v>
      </c>
      <c r="K20" s="22" t="n">
        <f aca="false">K17+K18-K19</f>
        <v>1454311.58422577</v>
      </c>
      <c r="L20" s="22" t="n">
        <f aca="false">L17+L18-L19</f>
        <v>1490877.32680797</v>
      </c>
      <c r="M20" s="22" t="n">
        <f aca="false">M17+M18-M19</f>
        <v>1528363.45154403</v>
      </c>
    </row>
    <row r="21" customFormat="false" ht="15" hidden="false" customHeight="false" outlineLevel="0" collapsed="false">
      <c r="B21" s="9" t="s">
        <v>271</v>
      </c>
      <c r="C21" s="18" t="n">
        <f aca="false">DCF!$C$11</f>
        <v>414000</v>
      </c>
      <c r="D21" s="18" t="n">
        <f aca="false">C21*(1+Assumptions!$C$85)</f>
        <v>426420</v>
      </c>
      <c r="E21" s="18" t="n">
        <f aca="false">D21*(1+Assumptions!$C$85)</f>
        <v>439212.6</v>
      </c>
      <c r="F21" s="18" t="n">
        <f aca="false">E21*(1+Assumptions!$C$85)</f>
        <v>452388.978</v>
      </c>
      <c r="G21" s="18" t="n">
        <f aca="false">F21*(1+Assumptions!$C$85)</f>
        <v>465960.64734</v>
      </c>
      <c r="H21" s="18" t="n">
        <f aca="false">G21*(1+Assumptions!$C$85)</f>
        <v>479939.4667602</v>
      </c>
      <c r="I21" s="18" t="n">
        <f aca="false">H21*(1+Assumptions!$C$85)</f>
        <v>494337.650763006</v>
      </c>
      <c r="J21" s="18" t="n">
        <f aca="false">I21*(1+Assumptions!$C$85)</f>
        <v>509167.780285896</v>
      </c>
      <c r="K21" s="18" t="n">
        <f aca="false">J21*(1+Assumptions!$C$85)</f>
        <v>524442.813694473</v>
      </c>
      <c r="L21" s="18" t="n">
        <f aca="false">K21*(1+Assumptions!$C$85)</f>
        <v>540176.098105307</v>
      </c>
      <c r="M21" s="18" t="n">
        <f aca="false">L21*(1+Assumptions!$C$85)</f>
        <v>556381.381048467</v>
      </c>
    </row>
    <row r="22" customFormat="false" ht="15" hidden="false" customHeight="false" outlineLevel="0" collapsed="false">
      <c r="B22" s="9" t="s">
        <v>272</v>
      </c>
      <c r="C22" s="18" t="n">
        <f aca="false">C20*Assumptions!$C$65</f>
        <v>39812.22</v>
      </c>
      <c r="D22" s="18" t="n">
        <f aca="false">D20*Assumptions!$C$65</f>
        <v>41652.0262969634</v>
      </c>
      <c r="E22" s="18" t="n">
        <f aca="false">E20*Assumptions!$C$65</f>
        <v>42793.8772115694</v>
      </c>
      <c r="F22" s="18" t="n">
        <f aca="false">F20*Assumptions!$C$65</f>
        <v>44125.9202678486</v>
      </c>
      <c r="G22" s="18" t="n">
        <f aca="false">G20*Assumptions!$C$65</f>
        <v>45607.7293702706</v>
      </c>
      <c r="H22" s="18" t="n">
        <f aca="false">H20*Assumptions!$C$65</f>
        <v>47246.9607577309</v>
      </c>
      <c r="I22" s="18" t="n">
        <f aca="false">I20*Assumptions!$C$65</f>
        <v>48434.7955017954</v>
      </c>
      <c r="J22" s="18" t="n">
        <f aca="false">J20*Assumptions!$C$65</f>
        <v>49652.5259362153</v>
      </c>
      <c r="K22" s="18" t="n">
        <f aca="false">K20*Assumptions!$C$65</f>
        <v>50900.9054479018</v>
      </c>
      <c r="L22" s="18" t="n">
        <f aca="false">L20*Assumptions!$C$65</f>
        <v>52180.706438279</v>
      </c>
      <c r="M22" s="18" t="n">
        <f aca="false">M20*Assumptions!$C$65</f>
        <v>53492.720804041</v>
      </c>
    </row>
    <row r="23" customFormat="false" ht="15" hidden="false" customHeight="false" outlineLevel="0" collapsed="false">
      <c r="B23" s="9" t="s">
        <v>162</v>
      </c>
      <c r="C23" s="18" t="n">
        <f aca="false">C21+C22</f>
        <v>453812.22</v>
      </c>
      <c r="D23" s="18" t="n">
        <f aca="false">D21+D22</f>
        <v>468072.026296963</v>
      </c>
      <c r="E23" s="18" t="n">
        <f aca="false">E21+E22</f>
        <v>482006.477211569</v>
      </c>
      <c r="F23" s="18" t="n">
        <f aca="false">F21+F22</f>
        <v>496514.898267849</v>
      </c>
      <c r="G23" s="18" t="n">
        <f aca="false">G21+G22</f>
        <v>511568.376710271</v>
      </c>
      <c r="H23" s="18" t="n">
        <f aca="false">H21+H22</f>
        <v>527186.427517931</v>
      </c>
      <c r="I23" s="18" t="n">
        <f aca="false">I21+I22</f>
        <v>542772.446264802</v>
      </c>
      <c r="J23" s="18" t="n">
        <f aca="false">J21+J22</f>
        <v>558820.306222112</v>
      </c>
      <c r="K23" s="18" t="n">
        <f aca="false">K21+K22</f>
        <v>575343.719142375</v>
      </c>
      <c r="L23" s="18" t="n">
        <f aca="false">L21+L22</f>
        <v>592356.804543586</v>
      </c>
      <c r="M23" s="18" t="n">
        <f aca="false">M21+M22</f>
        <v>609874.101852508</v>
      </c>
    </row>
    <row r="24" customFormat="false" ht="15" hidden="false" customHeight="false" outlineLevel="0" collapsed="false">
      <c r="B24" s="20" t="s">
        <v>163</v>
      </c>
      <c r="C24" s="22" t="n">
        <f aca="false">C20-C23</f>
        <v>683679.78</v>
      </c>
      <c r="D24" s="22" t="n">
        <f aca="false">D20-D23</f>
        <v>721985.86790199</v>
      </c>
      <c r="E24" s="22" t="n">
        <f aca="false">E20-E23</f>
        <v>740675.72883327</v>
      </c>
      <c r="F24" s="22" t="n">
        <f aca="false">F20-F23</f>
        <v>764225.680813541</v>
      </c>
      <c r="G24" s="22" t="n">
        <f aca="false">G20-G23</f>
        <v>791509.60529746</v>
      </c>
      <c r="H24" s="22" t="n">
        <f aca="false">H20-H23</f>
        <v>822726.736988666</v>
      </c>
      <c r="I24" s="22" t="n">
        <f aca="false">I20-I23</f>
        <v>841078.853786497</v>
      </c>
      <c r="J24" s="22" t="n">
        <f aca="false">J20-J23</f>
        <v>859823.291955467</v>
      </c>
      <c r="K24" s="22" t="n">
        <f aca="false">K20-K23</f>
        <v>878967.865083392</v>
      </c>
      <c r="L24" s="22" t="n">
        <f aca="false">L20-L23</f>
        <v>898520.522264385</v>
      </c>
      <c r="M24" s="22" t="n">
        <f aca="false">M20-M23</f>
        <v>918489.34969152</v>
      </c>
    </row>
    <row r="25" customFormat="false" ht="15" hidden="false" customHeight="false" outlineLevel="0" collapsed="false">
      <c r="B25" s="9" t="s">
        <v>273</v>
      </c>
      <c r="C25" s="18" t="n">
        <f aca="false">Assumptions!$C$35</f>
        <v>150000</v>
      </c>
      <c r="D25" s="18" t="n">
        <f aca="false">0</f>
        <v>0</v>
      </c>
      <c r="E25" s="18" t="n">
        <f aca="false">0</f>
        <v>0</v>
      </c>
      <c r="F25" s="18" t="n">
        <f aca="false">0</f>
        <v>0</v>
      </c>
      <c r="G25" s="18" t="n">
        <f aca="false">0</f>
        <v>0</v>
      </c>
      <c r="H25" s="18" t="n">
        <f aca="false">0</f>
        <v>0</v>
      </c>
      <c r="I25" s="18" t="n">
        <f aca="false">0</f>
        <v>0</v>
      </c>
      <c r="J25" s="18" t="n">
        <f aca="false">0</f>
        <v>0</v>
      </c>
      <c r="K25" s="18" t="n">
        <f aca="false">0</f>
        <v>0</v>
      </c>
      <c r="L25" s="18" t="n">
        <f aca="false">0</f>
        <v>0</v>
      </c>
      <c r="M25" s="9"/>
    </row>
    <row r="26" customFormat="false" ht="15" hidden="false" customHeight="false" outlineLevel="0" collapsed="false">
      <c r="B26" s="20" t="s">
        <v>274</v>
      </c>
      <c r="C26" s="22" t="n">
        <f aca="false">C24-C25</f>
        <v>533679.78</v>
      </c>
      <c r="D26" s="22" t="n">
        <f aca="false">D24-D25</f>
        <v>721985.86790199</v>
      </c>
      <c r="E26" s="22" t="n">
        <f aca="false">E24-E25</f>
        <v>740675.72883327</v>
      </c>
      <c r="F26" s="22" t="n">
        <f aca="false">F24-F25</f>
        <v>764225.680813541</v>
      </c>
      <c r="G26" s="22" t="n">
        <f aca="false">G24-G25</f>
        <v>791509.60529746</v>
      </c>
      <c r="H26" s="22" t="n">
        <f aca="false">H24-H25</f>
        <v>822726.736988666</v>
      </c>
      <c r="I26" s="22" t="n">
        <f aca="false">I24-I25</f>
        <v>841078.853786497</v>
      </c>
      <c r="J26" s="22" t="n">
        <f aca="false">J24-J25</f>
        <v>859823.291955467</v>
      </c>
      <c r="K26" s="22" t="n">
        <f aca="false">K24-K25</f>
        <v>878967.865083392</v>
      </c>
      <c r="L26" s="22" t="n">
        <f aca="false">L24-L25</f>
        <v>898520.522264385</v>
      </c>
      <c r="M26" s="9"/>
    </row>
    <row r="27" customFormat="false" ht="15" hidden="false" customHeight="false" outlineLevel="0" collapsed="false">
      <c r="B27" s="9" t="s">
        <v>275</v>
      </c>
      <c r="C27" s="37" t="n">
        <f aca="false">1/(1+DCF!$C$6)^C$14</f>
        <v>0.928074245939675</v>
      </c>
      <c r="D27" s="37" t="n">
        <f aca="false">1/(1+DCF!$C$6)^D$14</f>
        <v>0.861321805976497</v>
      </c>
      <c r="E27" s="37" t="n">
        <f aca="false">1/(1+DCF!$C$6)^E$14</f>
        <v>0.799370585593037</v>
      </c>
      <c r="F27" s="37" t="n">
        <f aca="false">1/(1+DCF!$C$6)^F$14</f>
        <v>0.741875253450614</v>
      </c>
      <c r="G27" s="37" t="n">
        <f aca="false">1/(1+DCF!$C$6)^G$14</f>
        <v>0.688515316427484</v>
      </c>
      <c r="H27" s="37" t="n">
        <f aca="false">1/(1+DCF!$C$6)^H$14</f>
        <v>0.638993333111354</v>
      </c>
      <c r="I27" s="37" t="n">
        <f aca="false">1/(1+DCF!$C$6)^I$14</f>
        <v>0.5930332557878</v>
      </c>
      <c r="J27" s="37" t="n">
        <f aca="false">1/(1+DCF!$C$6)^J$14</f>
        <v>0.550378891682413</v>
      </c>
      <c r="K27" s="37" t="n">
        <f aca="false">1/(1+DCF!$C$6)^K$14</f>
        <v>0.51079247487927</v>
      </c>
      <c r="L27" s="37" t="n">
        <f aca="false">1/(1+DCF!$C$6)^L$14</f>
        <v>0.474053340955239</v>
      </c>
      <c r="M27" s="9"/>
    </row>
    <row r="28" customFormat="false" ht="15" hidden="false" customHeight="false" outlineLevel="0" collapsed="false">
      <c r="B28" s="9" t="s">
        <v>276</v>
      </c>
      <c r="C28" s="18" t="n">
        <f aca="false">C26*C27</f>
        <v>495294.459396752</v>
      </c>
      <c r="D28" s="18" t="n">
        <f aca="false">D26*D27</f>
        <v>621862.17163085</v>
      </c>
      <c r="E28" s="18" t="n">
        <f aca="false">E26*E27</f>
        <v>592074.391092</v>
      </c>
      <c r="F28" s="18" t="n">
        <f aca="false">F26*F27</f>
        <v>566960.120647013</v>
      </c>
      <c r="G28" s="18" t="n">
        <f aca="false">G26*G27</f>
        <v>544966.486346774</v>
      </c>
      <c r="H28" s="18" t="n">
        <f aca="false">H26*H27</f>
        <v>525716.899908216</v>
      </c>
      <c r="I28" s="18" t="n">
        <f aca="false">I26*I27</f>
        <v>498787.731035277</v>
      </c>
      <c r="J28" s="18" t="n">
        <f aca="false">J26*J27</f>
        <v>473228.590469174</v>
      </c>
      <c r="K28" s="18" t="n">
        <f aca="false">K26*K27</f>
        <v>448970.171145293</v>
      </c>
      <c r="L28" s="18" t="n">
        <f aca="false">L26*L27</f>
        <v>425946.655496277</v>
      </c>
      <c r="M28" s="9"/>
    </row>
    <row r="30" customFormat="false" ht="15" hidden="false" customHeight="false" outlineLevel="0" collapsed="false">
      <c r="B30" s="7" t="s">
        <v>277</v>
      </c>
      <c r="C30" s="8"/>
      <c r="D30" s="8"/>
      <c r="E30" s="8"/>
    </row>
    <row r="31" customFormat="false" ht="15" hidden="false" customHeight="false" outlineLevel="0" collapsed="false">
      <c r="B31" s="9" t="s">
        <v>278</v>
      </c>
      <c r="C31" s="18" t="n">
        <f aca="false">M24/DCF!$C$7</f>
        <v>14695829.5950643</v>
      </c>
    </row>
    <row r="32" customFormat="false" ht="15" hidden="false" customHeight="false" outlineLevel="0" collapsed="false">
      <c r="B32" s="9" t="s">
        <v>279</v>
      </c>
      <c r="C32" s="18" t="n">
        <f aca="false">$C$31*Assumptions!$C$84</f>
        <v>293916.591901286</v>
      </c>
    </row>
    <row r="33" customFormat="false" ht="15" hidden="false" customHeight="false" outlineLevel="0" collapsed="false">
      <c r="B33" s="9" t="s">
        <v>280</v>
      </c>
      <c r="C33" s="18" t="n">
        <f aca="false">$C$31-$C$32</f>
        <v>14401913.003163</v>
      </c>
    </row>
    <row r="34" customFormat="false" ht="15" hidden="false" customHeight="false" outlineLevel="0" collapsed="false">
      <c r="B34" s="9" t="s">
        <v>281</v>
      </c>
      <c r="C34" s="18" t="n">
        <f aca="false">$C$33*L27</f>
        <v>6827274.97529613</v>
      </c>
    </row>
    <row r="35" customFormat="false" ht="15" hidden="false" customHeight="false" outlineLevel="0" collapsed="false">
      <c r="B35" s="9" t="s">
        <v>282</v>
      </c>
      <c r="C35" s="18" t="n">
        <f aca="false">SUM(C28:L28)</f>
        <v>5193807.67716763</v>
      </c>
    </row>
    <row r="36" customFormat="false" ht="15" hidden="false" customHeight="false" outlineLevel="0" collapsed="false">
      <c r="B36" s="20" t="s">
        <v>283</v>
      </c>
      <c r="C36" s="22" t="n">
        <f aca="false">$C$35+$C$34</f>
        <v>12021082.6524638</v>
      </c>
    </row>
    <row r="37" customFormat="false" ht="15" hidden="false" customHeight="false" outlineLevel="0" collapsed="false">
      <c r="B37" s="9" t="s">
        <v>284</v>
      </c>
      <c r="C37" s="14" t="n">
        <f aca="false">$C$34/$C$36</f>
        <v>0.567941771359243</v>
      </c>
    </row>
    <row r="38" customFormat="false" ht="15" hidden="false" customHeight="false" outlineLevel="0" collapsed="false">
      <c r="B38" s="9" t="s">
        <v>285</v>
      </c>
      <c r="C38" s="33" t="n">
        <f aca="false">C24/$C$36</f>
        <v>0.0568733948318605</v>
      </c>
    </row>
    <row r="40" customFormat="false" ht="15" hidden="false" customHeight="false" outlineLevel="0" collapsed="false">
      <c r="B40" s="7" t="s">
        <v>286</v>
      </c>
      <c r="C40" s="8"/>
      <c r="D40" s="8"/>
    </row>
    <row r="41" customFormat="false" ht="15" hidden="false" customHeight="false" outlineLevel="0" collapsed="false">
      <c r="B41" s="20" t="s">
        <v>287</v>
      </c>
      <c r="C41" s="22" t="n">
        <f aca="false">ROUND(($C$36)/50000,0)*50000</f>
        <v>12000000</v>
      </c>
    </row>
    <row r="42" customFormat="false" ht="15" hidden="false" customHeight="false" outlineLevel="0" collapsed="false">
      <c r="B42" s="9" t="s">
        <v>288</v>
      </c>
      <c r="C42" s="18" t="n">
        <f aca="false">$C$41/Assumptions!$C$6</f>
        <v>166666.666666667</v>
      </c>
    </row>
    <row r="43" customFormat="false" ht="15" hidden="false" customHeight="false" outlineLevel="0" collapsed="false">
      <c r="B43" s="9" t="s">
        <v>289</v>
      </c>
      <c r="C43" s="18" t="n">
        <f aca="false">Direct_Cap!$C$13-$C$41</f>
        <v>50000</v>
      </c>
    </row>
    <row r="44" customFormat="false" ht="15" hidden="false" customHeight="false" outlineLevel="0" collapsed="false">
      <c r="B44" s="20" t="s">
        <v>290</v>
      </c>
      <c r="C44" s="22" t="n">
        <f aca="false">ROUND(((Direct_Cap!$C$12+$C$36)/2)/50000,0)*50000</f>
        <v>12050000</v>
      </c>
    </row>
    <row r="45" customFormat="false" ht="15" hidden="false" customHeight="false" outlineLevel="0" collapsed="false">
      <c r="B45" s="9" t="s">
        <v>291</v>
      </c>
      <c r="C45" s="14" t="n">
        <f aca="false">$D$24/$C$24-1</f>
        <v>0.0560292830394802</v>
      </c>
    </row>
    <row r="46" customFormat="false" ht="15" hidden="false" customHeight="false" outlineLevel="0" collapsed="false">
      <c r="B46" s="9" t="s">
        <v>292</v>
      </c>
      <c r="C46" s="33" t="n">
        <f aca="false">($L$24/$C$24)^(1/9)-1</f>
        <v>0.030827843231688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5"/>
    <col collapsed="false" customWidth="true" hidden="false" outlineLevel="0" max="4" min="4" style="0" width="34"/>
  </cols>
  <sheetData>
    <row r="1" customFormat="false" ht="6" hidden="false" customHeight="true" outlineLevel="0" collapsed="false"/>
    <row r="2" customFormat="false" ht="17.35" hidden="false" customHeight="false" outlineLevel="0" collapsed="false">
      <c r="B2" s="5" t="s">
        <v>293</v>
      </c>
    </row>
    <row r="3" customFormat="false" ht="15" hidden="false" customHeight="false" outlineLevel="0" collapsed="false">
      <c r="B3" s="6" t="s">
        <v>294</v>
      </c>
    </row>
    <row r="5" customFormat="false" ht="15" hidden="false" customHeight="false" outlineLevel="0" collapsed="false">
      <c r="B5" s="7" t="s">
        <v>295</v>
      </c>
      <c r="C5" s="8"/>
      <c r="D5" s="8"/>
    </row>
    <row r="6" customFormat="false" ht="15" hidden="false" customHeight="false" outlineLevel="0" collapsed="false">
      <c r="B6" s="9" t="s">
        <v>296</v>
      </c>
      <c r="C6" s="25" t="n">
        <v>0.65</v>
      </c>
    </row>
    <row r="7" customFormat="false" ht="15" hidden="false" customHeight="false" outlineLevel="0" collapsed="false">
      <c r="B7" s="9" t="s">
        <v>297</v>
      </c>
      <c r="C7" s="12" t="n">
        <v>1.25</v>
      </c>
    </row>
    <row r="8" customFormat="false" ht="15" hidden="false" customHeight="false" outlineLevel="0" collapsed="false">
      <c r="B8" s="9" t="s">
        <v>298</v>
      </c>
      <c r="C8" s="36" t="n">
        <f aca="false">Cap_Rate!$F$34</f>
        <v>0.0727193742654511</v>
      </c>
    </row>
    <row r="10" customFormat="false" ht="15" hidden="false" customHeight="false" outlineLevel="0" collapsed="false">
      <c r="B10" s="7" t="s">
        <v>299</v>
      </c>
      <c r="C10" s="8"/>
      <c r="D10" s="8"/>
    </row>
    <row r="11" customFormat="false" ht="15" hidden="false" customHeight="false" outlineLevel="0" collapsed="false">
      <c r="B11" s="9" t="s">
        <v>300</v>
      </c>
      <c r="C11" s="18" t="n">
        <f aca="false">Assumptions!$C$90</f>
        <v>12100000</v>
      </c>
    </row>
    <row r="12" customFormat="false" ht="15" hidden="false" customHeight="false" outlineLevel="0" collapsed="false">
      <c r="B12" s="9" t="s">
        <v>111</v>
      </c>
      <c r="C12" s="18" t="n">
        <f aca="false">Assumptions!$C$91</f>
        <v>12850000</v>
      </c>
    </row>
    <row r="13" customFormat="false" ht="15" hidden="false" customHeight="false" outlineLevel="0" collapsed="false">
      <c r="B13" s="9" t="s">
        <v>301</v>
      </c>
      <c r="C13" s="18" t="n">
        <f aca="false">Operating_Statements!$F$21</f>
        <v>702821.52</v>
      </c>
    </row>
    <row r="14" customFormat="false" ht="15" hidden="false" customHeight="false" outlineLevel="0" collapsed="false">
      <c r="B14" s="9" t="s">
        <v>302</v>
      </c>
      <c r="C14" s="18" t="n">
        <f aca="false">MIN($C$11,$C$12)</f>
        <v>12100000</v>
      </c>
    </row>
    <row r="15" customFormat="false" ht="15" hidden="false" customHeight="false" outlineLevel="0" collapsed="false">
      <c r="B15" s="9" t="s">
        <v>303</v>
      </c>
      <c r="C15" s="18" t="n">
        <f aca="false">$C$6*$C$14</f>
        <v>7865000</v>
      </c>
    </row>
    <row r="16" customFormat="false" ht="15" hidden="false" customHeight="false" outlineLevel="0" collapsed="false">
      <c r="B16" s="9" t="s">
        <v>304</v>
      </c>
      <c r="C16" s="18" t="n">
        <f aca="false">$C$13/$C$7/$C$8</f>
        <v>7731876.43154856</v>
      </c>
    </row>
    <row r="17" customFormat="false" ht="15" hidden="false" customHeight="false" outlineLevel="0" collapsed="false">
      <c r="B17" s="20" t="s">
        <v>305</v>
      </c>
      <c r="C17" s="22" t="n">
        <f aca="false">MIN($C$15,$C$16)</f>
        <v>7731876.43154856</v>
      </c>
    </row>
    <row r="18" customFormat="false" ht="15" hidden="false" customHeight="false" outlineLevel="0" collapsed="false">
      <c r="B18" s="9" t="s">
        <v>306</v>
      </c>
      <c r="C18" s="38" t="str">
        <f aca="false">IF($C$16&lt;$C$15,"debt coverage","loan to value")</f>
        <v>debt coverage</v>
      </c>
    </row>
    <row r="19" customFormat="false" ht="15" hidden="false" customHeight="false" outlineLevel="0" collapsed="false">
      <c r="B19" s="9" t="s">
        <v>307</v>
      </c>
      <c r="C19" s="18" t="n">
        <f aca="false">$C$15-$C$16</f>
        <v>133123.568451443</v>
      </c>
    </row>
    <row r="20" customFormat="false" ht="15" hidden="false" customHeight="false" outlineLevel="0" collapsed="false">
      <c r="B20" s="9" t="s">
        <v>308</v>
      </c>
      <c r="C20" s="18" t="n">
        <f aca="false">$C$6*$C$12</f>
        <v>8352500</v>
      </c>
    </row>
    <row r="21" customFormat="false" ht="15" hidden="false" customHeight="false" outlineLevel="0" collapsed="false">
      <c r="B21" s="9" t="s">
        <v>309</v>
      </c>
      <c r="C21" s="18" t="n">
        <f aca="false">$C$6*$C$12</f>
        <v>8352500</v>
      </c>
    </row>
    <row r="22" customFormat="false" ht="15" hidden="false" customHeight="false" outlineLevel="0" collapsed="false">
      <c r="B22" s="20" t="s">
        <v>310</v>
      </c>
      <c r="C22" s="22" t="n">
        <f aca="false">$C$20-$C$17</f>
        <v>620623.568451443</v>
      </c>
    </row>
    <row r="23" customFormat="false" ht="15" hidden="false" customHeight="false" outlineLevel="0" collapsed="false">
      <c r="B23" s="9" t="s">
        <v>311</v>
      </c>
      <c r="C23" s="18" t="n">
        <f aca="false">$C$17*$C$8</f>
        <v>562257.216</v>
      </c>
    </row>
    <row r="24" customFormat="false" ht="15" hidden="false" customHeight="false" outlineLevel="0" collapsed="false">
      <c r="B24" s="9" t="s">
        <v>312</v>
      </c>
      <c r="C24" s="19" t="n">
        <f aca="false">$C$13/$C$23</f>
        <v>1.25</v>
      </c>
    </row>
    <row r="25" customFormat="false" ht="15" hidden="false" customHeight="false" outlineLevel="0" collapsed="false">
      <c r="B25" s="9" t="s">
        <v>313</v>
      </c>
      <c r="C25" s="14" t="n">
        <f aca="false">$C$17/$C$12</f>
        <v>0.601702446034907</v>
      </c>
    </row>
    <row r="26" customFormat="false" ht="15" hidden="false" customHeight="false" outlineLevel="0" collapsed="false">
      <c r="B26" s="9" t="s">
        <v>314</v>
      </c>
      <c r="C26" s="14" t="n">
        <f aca="false">$C$17/$C$11</f>
        <v>0.638998052194096</v>
      </c>
    </row>
    <row r="27" customFormat="false" ht="15" hidden="false" customHeight="false" outlineLevel="0" collapsed="false">
      <c r="B27" s="9" t="s">
        <v>315</v>
      </c>
      <c r="C27" s="18" t="n">
        <f aca="false">$C$12-$C$17</f>
        <v>5118123.56845144</v>
      </c>
    </row>
    <row r="28" customFormat="false" ht="15" hidden="false" customHeight="false" outlineLevel="0" collapsed="false">
      <c r="B28" s="9" t="s">
        <v>316</v>
      </c>
      <c r="C28" s="18" t="n">
        <f aca="false">$C$12-$C$20</f>
        <v>4497500</v>
      </c>
    </row>
    <row r="30" customFormat="false" ht="15" hidden="false" customHeight="false" outlineLevel="0" collapsed="false">
      <c r="B30" s="7" t="s">
        <v>317</v>
      </c>
      <c r="C30" s="8"/>
      <c r="D30" s="8"/>
    </row>
    <row r="31" customFormat="false" ht="15" hidden="false" customHeight="false" outlineLevel="0" collapsed="false">
      <c r="B31" s="9" t="s">
        <v>318</v>
      </c>
      <c r="C31" s="11" t="n">
        <f aca="false">Assumptions!$C$13</f>
        <v>84</v>
      </c>
    </row>
    <row r="32" customFormat="false" ht="15" hidden="false" customHeight="false" outlineLevel="0" collapsed="false">
      <c r="B32" s="9" t="s">
        <v>319</v>
      </c>
      <c r="C32" s="17" t="n">
        <v>19500</v>
      </c>
    </row>
    <row r="33" customFormat="false" ht="15" hidden="false" customHeight="false" outlineLevel="0" collapsed="false">
      <c r="B33" s="9" t="s">
        <v>320</v>
      </c>
      <c r="C33" s="18" t="n">
        <f aca="false">$C$32*$C$31</f>
        <v>1638000</v>
      </c>
    </row>
    <row r="34" customFormat="false" ht="15" hidden="false" customHeight="false" outlineLevel="0" collapsed="false">
      <c r="B34" s="9" t="s">
        <v>321</v>
      </c>
      <c r="C34" s="17" t="n">
        <v>190000</v>
      </c>
    </row>
    <row r="35" customFormat="false" ht="15" hidden="false" customHeight="false" outlineLevel="0" collapsed="false">
      <c r="B35" s="9" t="s">
        <v>322</v>
      </c>
      <c r="C35" s="18" t="n">
        <f aca="false">$C$34*$C$31+$C$33</f>
        <v>17598000</v>
      </c>
    </row>
    <row r="36" customFormat="false" ht="15" hidden="false" customHeight="false" outlineLevel="0" collapsed="false">
      <c r="B36" s="9" t="s">
        <v>323</v>
      </c>
      <c r="C36" s="17" t="n">
        <v>12600</v>
      </c>
    </row>
    <row r="37" customFormat="false" ht="15" hidden="false" customHeight="false" outlineLevel="0" collapsed="false">
      <c r="B37" s="9" t="s">
        <v>324</v>
      </c>
      <c r="C37" s="18" t="n">
        <f aca="false">$C$36*$C$31</f>
        <v>1058400</v>
      </c>
    </row>
    <row r="38" customFormat="false" ht="15" hidden="false" customHeight="false" outlineLevel="0" collapsed="false">
      <c r="B38" s="9" t="s">
        <v>325</v>
      </c>
      <c r="C38" s="31" t="n">
        <v>0.0525</v>
      </c>
    </row>
    <row r="39" customFormat="false" ht="15" hidden="false" customHeight="false" outlineLevel="0" collapsed="false">
      <c r="B39" s="9" t="s">
        <v>326</v>
      </c>
      <c r="C39" s="18" t="n">
        <f aca="false">$C$37/$C$38</f>
        <v>20160000</v>
      </c>
    </row>
    <row r="40" customFormat="false" ht="15" hidden="false" customHeight="false" outlineLevel="0" collapsed="false">
      <c r="B40" s="9" t="s">
        <v>327</v>
      </c>
      <c r="C40" s="17" t="n">
        <v>1200000</v>
      </c>
    </row>
    <row r="41" customFormat="false" ht="15" hidden="false" customHeight="false" outlineLevel="0" collapsed="false">
      <c r="B41" s="9" t="s">
        <v>328</v>
      </c>
      <c r="C41" s="18" t="n">
        <f aca="false">$C$39-$C$40</f>
        <v>18960000</v>
      </c>
    </row>
    <row r="42" customFormat="false" ht="15" hidden="false" customHeight="false" outlineLevel="0" collapsed="false">
      <c r="B42" s="9" t="s">
        <v>329</v>
      </c>
      <c r="C42" s="25" t="n">
        <v>0.65</v>
      </c>
    </row>
    <row r="43" customFormat="false" ht="15" hidden="false" customHeight="false" outlineLevel="0" collapsed="false">
      <c r="B43" s="9" t="s">
        <v>330</v>
      </c>
      <c r="C43" s="25" t="n">
        <v>0.6</v>
      </c>
    </row>
    <row r="44" customFormat="false" ht="15" hidden="false" customHeight="false" outlineLevel="0" collapsed="false">
      <c r="B44" s="9" t="s">
        <v>331</v>
      </c>
      <c r="C44" s="18" t="n">
        <f aca="false">$C$42*$C$35</f>
        <v>11438700</v>
      </c>
    </row>
    <row r="45" customFormat="false" ht="15" hidden="false" customHeight="false" outlineLevel="0" collapsed="false">
      <c r="B45" s="9" t="s">
        <v>332</v>
      </c>
      <c r="C45" s="18" t="n">
        <f aca="false">$C$43*$C$39</f>
        <v>12096000</v>
      </c>
    </row>
    <row r="46" customFormat="false" ht="15" hidden="false" customHeight="false" outlineLevel="0" collapsed="false">
      <c r="B46" s="20" t="s">
        <v>333</v>
      </c>
      <c r="C46" s="22" t="n">
        <f aca="false">MIN($C$44,$C$45)</f>
        <v>11438700</v>
      </c>
    </row>
    <row r="47" customFormat="false" ht="15" hidden="false" customHeight="false" outlineLevel="0" collapsed="false">
      <c r="B47" s="9" t="s">
        <v>306</v>
      </c>
      <c r="C47" s="38" t="str">
        <f aca="false">IF($C$44&lt;$C$45,"loan to cost","loan to value")</f>
        <v>loan to cost</v>
      </c>
    </row>
    <row r="48" customFormat="false" ht="15" hidden="false" customHeight="false" outlineLevel="0" collapsed="false">
      <c r="B48" s="9" t="s">
        <v>334</v>
      </c>
      <c r="C48" s="19" t="n">
        <f aca="false">$C$37/($C$46*$C$8)</f>
        <v>1.27239814694835</v>
      </c>
    </row>
    <row r="49" customFormat="false" ht="15" hidden="false" customHeight="false" outlineLevel="0" collapsed="false">
      <c r="B49" s="9" t="s">
        <v>335</v>
      </c>
      <c r="C49" s="18" t="n">
        <f aca="false">$C$35-$C$46</f>
        <v>6159300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5" min="3" style="0" width="14"/>
    <col collapsed="false" customWidth="true" hidden="false" outlineLevel="0" max="13" min="6" style="0" width="13"/>
    <col collapsed="false" customWidth="true" hidden="false" outlineLevel="0" max="14" min="14" style="0" width="20"/>
  </cols>
  <sheetData>
    <row r="1" customFormat="false" ht="6" hidden="false" customHeight="true" outlineLevel="0" collapsed="false"/>
    <row r="2" customFormat="false" ht="17.35" hidden="false" customHeight="false" outlineLevel="0" collapsed="false">
      <c r="B2" s="5" t="s">
        <v>336</v>
      </c>
    </row>
    <row r="3" customFormat="false" ht="15" hidden="false" customHeight="false" outlineLevel="0" collapsed="false">
      <c r="B3" s="6" t="s">
        <v>337</v>
      </c>
    </row>
    <row r="5" customFormat="false" ht="15" hidden="false" customHeight="false" outlineLevel="0" collapsed="false">
      <c r="B5" s="7" t="s">
        <v>338</v>
      </c>
      <c r="C5" s="8"/>
      <c r="D5" s="8"/>
    </row>
    <row r="6" customFormat="false" ht="15" hidden="false" customHeight="false" outlineLevel="0" collapsed="false">
      <c r="B6" s="9" t="s">
        <v>339</v>
      </c>
      <c r="C6" s="31" t="n">
        <v>0.051</v>
      </c>
    </row>
    <row r="7" customFormat="false" ht="15" hidden="false" customHeight="false" outlineLevel="0" collapsed="false">
      <c r="B7" s="9" t="s">
        <v>340</v>
      </c>
      <c r="C7" s="18" t="n">
        <f aca="false">Operating_Statements!$F$21/$C$6-Direct_Cap!$C$11</f>
        <v>13609934.1176471</v>
      </c>
    </row>
    <row r="8" customFormat="false" ht="15" hidden="false" customHeight="false" outlineLevel="0" collapsed="false">
      <c r="B8" s="9" t="s">
        <v>341</v>
      </c>
      <c r="C8" s="18" t="n">
        <f aca="false">$C$7-Direct_Cap!$C$12</f>
        <v>1557831.16112532</v>
      </c>
    </row>
    <row r="9" customFormat="false" ht="15" hidden="false" customHeight="false" outlineLevel="0" collapsed="false">
      <c r="B9" s="9" t="s">
        <v>342</v>
      </c>
      <c r="C9" s="14" t="n">
        <f aca="false">$C$8/Direct_Cap!$C$12</f>
        <v>0.12925803627344</v>
      </c>
    </row>
    <row r="11" customFormat="false" ht="15" hidden="false" customHeight="false" outlineLevel="0" collapsed="false">
      <c r="B11" s="7" t="s">
        <v>343</v>
      </c>
      <c r="C11" s="8"/>
      <c r="D11" s="8"/>
    </row>
    <row r="12" customFormat="false" ht="15" hidden="false" customHeight="false" outlineLevel="0" collapsed="false">
      <c r="B12" s="9" t="s">
        <v>344</v>
      </c>
      <c r="C12" s="18" t="n">
        <f aca="false">Operating_Statements!$D$21/Cap_Rate!$F$27-Direct_Cap!$C$11</f>
        <v>12782956.5217391</v>
      </c>
    </row>
    <row r="13" customFormat="false" ht="15" hidden="false" customHeight="false" outlineLevel="0" collapsed="false">
      <c r="B13" s="9" t="s">
        <v>345</v>
      </c>
      <c r="C13" s="18" t="n">
        <f aca="false">$C$12-Direct_Cap!$C$12</f>
        <v>730853.565217391</v>
      </c>
    </row>
    <row r="14" customFormat="false" ht="15" hidden="false" customHeight="false" outlineLevel="0" collapsed="false">
      <c r="B14" s="9" t="s">
        <v>342</v>
      </c>
      <c r="C14" s="14" t="n">
        <f aca="false">$C$13/Direct_Cap!$C$12</f>
        <v>0.0606411651023861</v>
      </c>
    </row>
    <row r="16" customFormat="false" ht="15" hidden="false" customHeight="false" outlineLevel="0" collapsed="false">
      <c r="B16" s="7" t="s">
        <v>346</v>
      </c>
      <c r="C16" s="8"/>
      <c r="D16" s="8"/>
    </row>
    <row r="17" customFormat="false" ht="15" hidden="false" customHeight="false" outlineLevel="0" collapsed="false">
      <c r="B17" s="9" t="s">
        <v>347</v>
      </c>
      <c r="C17" s="18" t="n">
        <f aca="false">Operating_Statements!$F$21+Cap_Rate!$F$10</f>
        <v>724421.52</v>
      </c>
    </row>
    <row r="18" customFormat="false" ht="15" hidden="false" customHeight="false" outlineLevel="0" collapsed="false">
      <c r="B18" s="9" t="s">
        <v>348</v>
      </c>
      <c r="C18" s="18" t="n">
        <f aca="false">$C$17/Cap_Rate!$F$27-Direct_Cap!$C$11</f>
        <v>12427755.1304348</v>
      </c>
    </row>
    <row r="19" customFormat="false" ht="15" hidden="false" customHeight="false" outlineLevel="0" collapsed="false">
      <c r="B19" s="9" t="s">
        <v>345</v>
      </c>
      <c r="C19" s="18" t="n">
        <f aca="false">$C$18-Direct_Cap!$C$12</f>
        <v>375652.173913045</v>
      </c>
    </row>
    <row r="20" customFormat="false" ht="15" hidden="false" customHeight="false" outlineLevel="0" collapsed="false">
      <c r="B20" s="9" t="s">
        <v>342</v>
      </c>
      <c r="C20" s="14" t="n">
        <f aca="false">$C$19/Direct_Cap!$C$12</f>
        <v>0.0311690146747185</v>
      </c>
    </row>
    <row r="22" customFormat="false" ht="15" hidden="false" customHeight="false" outlineLevel="0" collapsed="false">
      <c r="B22" s="7" t="s">
        <v>349</v>
      </c>
      <c r="C22" s="8"/>
      <c r="D22" s="8"/>
      <c r="E22" s="8"/>
      <c r="F22" s="8"/>
      <c r="G22" s="8"/>
      <c r="H22" s="8"/>
      <c r="I22" s="8"/>
      <c r="J22" s="8"/>
      <c r="K22" s="8"/>
      <c r="L22" s="8"/>
      <c r="M22" s="8"/>
    </row>
    <row r="23" customFormat="false" ht="15" hidden="false" customHeight="false" outlineLevel="0" collapsed="false">
      <c r="B23" s="9" t="s">
        <v>350</v>
      </c>
      <c r="C23" s="29" t="n">
        <v>0.045</v>
      </c>
    </row>
    <row r="24" customFormat="false" ht="15" hidden="false" customHeight="false" outlineLevel="0" collapsed="false">
      <c r="B24" s="15" t="s">
        <v>129</v>
      </c>
      <c r="C24" s="16" t="n">
        <v>1</v>
      </c>
      <c r="D24" s="16" t="n">
        <v>2</v>
      </c>
      <c r="E24" s="16" t="n">
        <v>3</v>
      </c>
      <c r="F24" s="16" t="n">
        <v>4</v>
      </c>
      <c r="G24" s="16" t="n">
        <v>5</v>
      </c>
      <c r="H24" s="16" t="n">
        <v>6</v>
      </c>
      <c r="I24" s="16" t="n">
        <v>7</v>
      </c>
      <c r="J24" s="16" t="n">
        <v>8</v>
      </c>
      <c r="K24" s="16" t="n">
        <v>9</v>
      </c>
      <c r="L24" s="16" t="n">
        <v>10</v>
      </c>
      <c r="M24" s="16" t="n">
        <v>11</v>
      </c>
    </row>
    <row r="25" customFormat="false" ht="15" hidden="false" customHeight="false" outlineLevel="0" collapsed="false">
      <c r="B25" s="9" t="s">
        <v>268</v>
      </c>
      <c r="C25" s="9"/>
      <c r="D25" s="33" t="n">
        <f aca="false">$C$23</f>
        <v>0.045</v>
      </c>
      <c r="E25" s="33" t="n">
        <f aca="false">$C$23</f>
        <v>0.045</v>
      </c>
      <c r="F25" s="33" t="n">
        <f aca="false">$C$23</f>
        <v>0.045</v>
      </c>
      <c r="G25" s="33" t="n">
        <f aca="false">$C$23</f>
        <v>0.045</v>
      </c>
      <c r="H25" s="33" t="n">
        <f aca="false">$C$23</f>
        <v>0.045</v>
      </c>
      <c r="I25" s="33" t="n">
        <f aca="false">$C$23</f>
        <v>0.045</v>
      </c>
      <c r="J25" s="33" t="n">
        <f aca="false">$C$23</f>
        <v>0.045</v>
      </c>
      <c r="K25" s="33" t="n">
        <f aca="false">$C$23</f>
        <v>0.045</v>
      </c>
      <c r="L25" s="33" t="n">
        <f aca="false">$C$23</f>
        <v>0.045</v>
      </c>
      <c r="M25" s="33" t="n">
        <f aca="false">$C$23</f>
        <v>0.045</v>
      </c>
    </row>
    <row r="26" customFormat="false" ht="15" hidden="false" customHeight="false" outlineLevel="0" collapsed="false">
      <c r="B26" s="9" t="s">
        <v>269</v>
      </c>
      <c r="C26" s="18" t="n">
        <f aca="false">Assumptions!$H$24</f>
        <v>1183680</v>
      </c>
      <c r="D26" s="18" t="n">
        <f aca="false">C26*(1+D25)</f>
        <v>1236945.6</v>
      </c>
      <c r="E26" s="18" t="n">
        <f aca="false">D26*(1+E25)</f>
        <v>1292608.152</v>
      </c>
      <c r="F26" s="18" t="n">
        <f aca="false">E26*(1+F25)</f>
        <v>1350775.51884</v>
      </c>
      <c r="G26" s="18" t="n">
        <f aca="false">F26*(1+G25)</f>
        <v>1411560.4171878</v>
      </c>
      <c r="H26" s="18" t="n">
        <f aca="false">G26*(1+H25)</f>
        <v>1475080.63596125</v>
      </c>
      <c r="I26" s="18" t="n">
        <f aca="false">H26*(1+I25)</f>
        <v>1541459.26457951</v>
      </c>
      <c r="J26" s="18" t="n">
        <f aca="false">I26*(1+J25)</f>
        <v>1610824.93148558</v>
      </c>
      <c r="K26" s="18" t="n">
        <f aca="false">J26*(1+K25)</f>
        <v>1683312.05340244</v>
      </c>
      <c r="L26" s="18" t="n">
        <f aca="false">K26*(1+L25)</f>
        <v>1759061.09580554</v>
      </c>
      <c r="M26" s="18" t="n">
        <f aca="false">L26*(1+M25)</f>
        <v>1838218.84511679</v>
      </c>
    </row>
    <row r="27" customFormat="false" ht="15" hidden="false" customHeight="false" outlineLevel="0" collapsed="false">
      <c r="B27" s="9" t="s">
        <v>270</v>
      </c>
      <c r="C27" s="18" t="n">
        <f aca="false">C26-Assumptions!$C$28*Assumptions!$C$37</f>
        <v>1162800</v>
      </c>
      <c r="D27" s="18" t="n">
        <f aca="false">D26</f>
        <v>1236945.6</v>
      </c>
      <c r="E27" s="18" t="n">
        <f aca="false">E26</f>
        <v>1292608.152</v>
      </c>
      <c r="F27" s="18" t="n">
        <f aca="false">F26</f>
        <v>1350775.51884</v>
      </c>
      <c r="G27" s="18" t="n">
        <f aca="false">G26</f>
        <v>1411560.4171878</v>
      </c>
      <c r="H27" s="18" t="n">
        <f aca="false">H26</f>
        <v>1475080.63596125</v>
      </c>
      <c r="I27" s="18" t="n">
        <f aca="false">I26</f>
        <v>1541459.26457951</v>
      </c>
      <c r="J27" s="18" t="n">
        <f aca="false">J26</f>
        <v>1610824.93148558</v>
      </c>
      <c r="K27" s="18" t="n">
        <f aca="false">K26</f>
        <v>1683312.05340244</v>
      </c>
      <c r="L27" s="18" t="n">
        <f aca="false">L26</f>
        <v>1759061.09580554</v>
      </c>
      <c r="M27" s="18" t="n">
        <f aca="false">M26</f>
        <v>1838218.84511679</v>
      </c>
    </row>
    <row r="28" customFormat="false" ht="15" hidden="false" customHeight="false" outlineLevel="0" collapsed="false">
      <c r="B28" s="9" t="s">
        <v>157</v>
      </c>
      <c r="C28" s="18" t="n">
        <f aca="false">Assumptions!$C$34</f>
        <v>34560</v>
      </c>
      <c r="D28" s="18" t="n">
        <f aca="false">C28*(1+Assumptions!$C$86)</f>
        <v>35596.8</v>
      </c>
      <c r="E28" s="18" t="n">
        <f aca="false">D28*(1+Assumptions!$C$86)</f>
        <v>36664.704</v>
      </c>
      <c r="F28" s="18" t="n">
        <f aca="false">E28*(1+Assumptions!$C$86)</f>
        <v>37764.64512</v>
      </c>
      <c r="G28" s="18" t="n">
        <f aca="false">F28*(1+Assumptions!$C$86)</f>
        <v>38897.5844736</v>
      </c>
      <c r="H28" s="18" t="n">
        <f aca="false">G28*(1+Assumptions!$C$86)</f>
        <v>40064.512007808</v>
      </c>
      <c r="I28" s="18" t="n">
        <f aca="false">H28*(1+Assumptions!$C$86)</f>
        <v>41266.4473680422</v>
      </c>
      <c r="J28" s="18" t="n">
        <f aca="false">I28*(1+Assumptions!$C$86)</f>
        <v>42504.4407890835</v>
      </c>
      <c r="K28" s="18" t="n">
        <f aca="false">J28*(1+Assumptions!$C$86)</f>
        <v>43779.574012756</v>
      </c>
      <c r="L28" s="18" t="n">
        <f aca="false">K28*(1+Assumptions!$C$86)</f>
        <v>45092.9612331387</v>
      </c>
      <c r="M28" s="18" t="n">
        <f aca="false">L28*(1+Assumptions!$C$86)</f>
        <v>46445.7500701329</v>
      </c>
    </row>
    <row r="29" customFormat="false" ht="15" hidden="false" customHeight="false" outlineLevel="0" collapsed="false">
      <c r="B29" s="9" t="s">
        <v>158</v>
      </c>
      <c r="C29" s="18" t="n">
        <f aca="false">(C27+C28)*Assumptions!$C$62</f>
        <v>59868</v>
      </c>
      <c r="D29" s="18" t="n">
        <f aca="false">(D27+D28)*Assumptions!$C$62</f>
        <v>63627.12</v>
      </c>
      <c r="E29" s="18" t="n">
        <f aca="false">(E27+E28)*Assumptions!$C$62</f>
        <v>66463.6428</v>
      </c>
      <c r="F29" s="18" t="n">
        <f aca="false">(F27+F28)*Assumptions!$C$62</f>
        <v>69427.008198</v>
      </c>
      <c r="G29" s="18" t="n">
        <f aca="false">(G27+G28)*Assumptions!$C$62</f>
        <v>72522.90008307</v>
      </c>
      <c r="H29" s="18" t="n">
        <f aca="false">(H27+H28)*Assumptions!$C$62</f>
        <v>75757.2573984529</v>
      </c>
      <c r="I29" s="18" t="n">
        <f aca="false">(I27+I28)*Assumptions!$C$62</f>
        <v>79136.2855973775</v>
      </c>
      <c r="J29" s="18" t="n">
        <f aca="false">(J27+J28)*Assumptions!$C$62</f>
        <v>82666.4686137334</v>
      </c>
      <c r="K29" s="18" t="n">
        <f aca="false">(K27+K28)*Assumptions!$C$62</f>
        <v>86354.5813707596</v>
      </c>
      <c r="L29" s="18" t="n">
        <f aca="false">(L27+L28)*Assumptions!$C$62</f>
        <v>90207.7028519342</v>
      </c>
      <c r="M29" s="18" t="n">
        <f aca="false">(M27+M28)*Assumptions!$C$62</f>
        <v>94233.2297593464</v>
      </c>
    </row>
    <row r="30" customFormat="false" ht="15" hidden="false" customHeight="false" outlineLevel="0" collapsed="false">
      <c r="B30" s="20" t="s">
        <v>159</v>
      </c>
      <c r="C30" s="22" t="n">
        <f aca="false">C27+C28-C29</f>
        <v>1137492</v>
      </c>
      <c r="D30" s="22" t="n">
        <f aca="false">D27+D28-D29</f>
        <v>1208915.28</v>
      </c>
      <c r="E30" s="22" t="n">
        <f aca="false">E27+E28-E29</f>
        <v>1262809.2132</v>
      </c>
      <c r="F30" s="22" t="n">
        <f aca="false">F27+F28-F29</f>
        <v>1319113.155762</v>
      </c>
      <c r="G30" s="22" t="n">
        <f aca="false">G27+G28-G29</f>
        <v>1377935.10157833</v>
      </c>
      <c r="H30" s="22" t="n">
        <f aca="false">H27+H28-H29</f>
        <v>1439387.89057061</v>
      </c>
      <c r="I30" s="22" t="n">
        <f aca="false">I27+I28-I29</f>
        <v>1503589.42635017</v>
      </c>
      <c r="J30" s="22" t="n">
        <f aca="false">J27+J28-J29</f>
        <v>1570662.90366093</v>
      </c>
      <c r="K30" s="22" t="n">
        <f aca="false">K27+K28-K29</f>
        <v>1640737.04604443</v>
      </c>
      <c r="L30" s="22" t="n">
        <f aca="false">L27+L28-L29</f>
        <v>1713946.35418675</v>
      </c>
      <c r="M30" s="22" t="n">
        <f aca="false">M27+M28-M29</f>
        <v>1790431.36542758</v>
      </c>
    </row>
    <row r="31" customFormat="false" ht="15" hidden="false" customHeight="false" outlineLevel="0" collapsed="false">
      <c r="B31" s="9" t="s">
        <v>271</v>
      </c>
      <c r="C31" s="18" t="n">
        <f aca="false">DCF!$C$11</f>
        <v>414000</v>
      </c>
      <c r="D31" s="18" t="n">
        <f aca="false">C31*(1+Assumptions!$C$85)</f>
        <v>426420</v>
      </c>
      <c r="E31" s="18" t="n">
        <f aca="false">D31*(1+Assumptions!$C$85)</f>
        <v>439212.6</v>
      </c>
      <c r="F31" s="18" t="n">
        <f aca="false">E31*(1+Assumptions!$C$85)</f>
        <v>452388.978</v>
      </c>
      <c r="G31" s="18" t="n">
        <f aca="false">F31*(1+Assumptions!$C$85)</f>
        <v>465960.64734</v>
      </c>
      <c r="H31" s="18" t="n">
        <f aca="false">G31*(1+Assumptions!$C$85)</f>
        <v>479939.4667602</v>
      </c>
      <c r="I31" s="18" t="n">
        <f aca="false">H31*(1+Assumptions!$C$85)</f>
        <v>494337.650763006</v>
      </c>
      <c r="J31" s="18" t="n">
        <f aca="false">I31*(1+Assumptions!$C$85)</f>
        <v>509167.780285896</v>
      </c>
      <c r="K31" s="18" t="n">
        <f aca="false">J31*(1+Assumptions!$C$85)</f>
        <v>524442.813694473</v>
      </c>
      <c r="L31" s="18" t="n">
        <f aca="false">K31*(1+Assumptions!$C$85)</f>
        <v>540176.098105307</v>
      </c>
      <c r="M31" s="18" t="n">
        <f aca="false">L31*(1+Assumptions!$C$85)</f>
        <v>556381.381048467</v>
      </c>
    </row>
    <row r="32" customFormat="false" ht="15" hidden="false" customHeight="false" outlineLevel="0" collapsed="false">
      <c r="B32" s="9" t="s">
        <v>272</v>
      </c>
      <c r="C32" s="18" t="n">
        <f aca="false">C30*Assumptions!$C$65</f>
        <v>39812.22</v>
      </c>
      <c r="D32" s="18" t="n">
        <f aca="false">D30*Assumptions!$C$65</f>
        <v>42312.0348</v>
      </c>
      <c r="E32" s="18" t="n">
        <f aca="false">E30*Assumptions!$C$65</f>
        <v>44198.322462</v>
      </c>
      <c r="F32" s="18" t="n">
        <f aca="false">F30*Assumptions!$C$65</f>
        <v>46168.96045167</v>
      </c>
      <c r="G32" s="18" t="n">
        <f aca="false">G30*Assumptions!$C$65</f>
        <v>48227.7285552415</v>
      </c>
      <c r="H32" s="18" t="n">
        <f aca="false">H30*Assumptions!$C$65</f>
        <v>50378.5761699712</v>
      </c>
      <c r="I32" s="18" t="n">
        <f aca="false">I30*Assumptions!$C$65</f>
        <v>52625.629922256</v>
      </c>
      <c r="J32" s="18" t="n">
        <f aca="false">J30*Assumptions!$C$65</f>
        <v>54973.2016281327</v>
      </c>
      <c r="K32" s="18" t="n">
        <f aca="false">K30*Assumptions!$C$65</f>
        <v>57425.7966115551</v>
      </c>
      <c r="L32" s="18" t="n">
        <f aca="false">L30*Assumptions!$C$65</f>
        <v>59988.1223965362</v>
      </c>
      <c r="M32" s="18" t="n">
        <f aca="false">M30*Assumptions!$C$65</f>
        <v>62665.0977899653</v>
      </c>
    </row>
    <row r="33" customFormat="false" ht="15" hidden="false" customHeight="false" outlineLevel="0" collapsed="false">
      <c r="B33" s="9" t="s">
        <v>162</v>
      </c>
      <c r="C33" s="18" t="n">
        <f aca="false">C31+C32</f>
        <v>453812.22</v>
      </c>
      <c r="D33" s="18" t="n">
        <f aca="false">D31+D32</f>
        <v>468732.0348</v>
      </c>
      <c r="E33" s="18" t="n">
        <f aca="false">E31+E32</f>
        <v>483410.922462</v>
      </c>
      <c r="F33" s="18" t="n">
        <f aca="false">F31+F32</f>
        <v>498557.93845167</v>
      </c>
      <c r="G33" s="18" t="n">
        <f aca="false">G31+G32</f>
        <v>514188.375895242</v>
      </c>
      <c r="H33" s="18" t="n">
        <f aca="false">H31+H32</f>
        <v>530318.042930171</v>
      </c>
      <c r="I33" s="18" t="n">
        <f aca="false">I31+I32</f>
        <v>546963.280685262</v>
      </c>
      <c r="J33" s="18" t="n">
        <f aca="false">J31+J32</f>
        <v>564140.981914029</v>
      </c>
      <c r="K33" s="18" t="n">
        <f aca="false">K31+K32</f>
        <v>581868.610306028</v>
      </c>
      <c r="L33" s="18" t="n">
        <f aca="false">L31+L32</f>
        <v>600164.220501844</v>
      </c>
      <c r="M33" s="18" t="n">
        <f aca="false">M31+M32</f>
        <v>619046.478838432</v>
      </c>
    </row>
    <row r="34" customFormat="false" ht="15" hidden="false" customHeight="false" outlineLevel="0" collapsed="false">
      <c r="B34" s="20" t="s">
        <v>163</v>
      </c>
      <c r="C34" s="22" t="n">
        <f aca="false">C30-C33</f>
        <v>683679.78</v>
      </c>
      <c r="D34" s="22" t="n">
        <f aca="false">D30-D33</f>
        <v>740183.2452</v>
      </c>
      <c r="E34" s="22" t="n">
        <f aca="false">E30-E33</f>
        <v>779398.290738</v>
      </c>
      <c r="F34" s="22" t="n">
        <f aca="false">F30-F33</f>
        <v>820555.217310329</v>
      </c>
      <c r="G34" s="22" t="n">
        <f aca="false">G30-G33</f>
        <v>863746.725683088</v>
      </c>
      <c r="H34" s="22" t="n">
        <f aca="false">H30-H33</f>
        <v>909069.847640434</v>
      </c>
      <c r="I34" s="22" t="n">
        <f aca="false">I30-I33</f>
        <v>956626.145664909</v>
      </c>
      <c r="J34" s="22" t="n">
        <f aca="false">J30-J33</f>
        <v>1006521.92174691</v>
      </c>
      <c r="K34" s="22" t="n">
        <f aca="false">K30-K33</f>
        <v>1058868.4357384</v>
      </c>
      <c r="L34" s="22" t="n">
        <f aca="false">L30-L33</f>
        <v>1113782.13368491</v>
      </c>
      <c r="M34" s="22" t="n">
        <f aca="false">M30-M33</f>
        <v>1171384.88658915</v>
      </c>
    </row>
    <row r="35" customFormat="false" ht="15" hidden="false" customHeight="false" outlineLevel="0" collapsed="false">
      <c r="B35" s="9" t="s">
        <v>273</v>
      </c>
      <c r="C35" s="18" t="n">
        <f aca="false">Assumptions!$C$35</f>
        <v>150000</v>
      </c>
      <c r="D35" s="18" t="n">
        <f aca="false">0</f>
        <v>0</v>
      </c>
      <c r="E35" s="18" t="n">
        <f aca="false">0</f>
        <v>0</v>
      </c>
      <c r="F35" s="18" t="n">
        <f aca="false">0</f>
        <v>0</v>
      </c>
      <c r="G35" s="18" t="n">
        <f aca="false">0</f>
        <v>0</v>
      </c>
      <c r="H35" s="18" t="n">
        <f aca="false">0</f>
        <v>0</v>
      </c>
      <c r="I35" s="18" t="n">
        <f aca="false">0</f>
        <v>0</v>
      </c>
      <c r="J35" s="18" t="n">
        <f aca="false">0</f>
        <v>0</v>
      </c>
      <c r="K35" s="18" t="n">
        <f aca="false">0</f>
        <v>0</v>
      </c>
      <c r="L35" s="18" t="n">
        <f aca="false">0</f>
        <v>0</v>
      </c>
      <c r="M35" s="9"/>
    </row>
    <row r="36" customFormat="false" ht="15" hidden="false" customHeight="false" outlineLevel="0" collapsed="false">
      <c r="B36" s="20" t="s">
        <v>274</v>
      </c>
      <c r="C36" s="22" t="n">
        <f aca="false">C34-C35</f>
        <v>533679.78</v>
      </c>
      <c r="D36" s="22" t="n">
        <f aca="false">D34-D35</f>
        <v>740183.2452</v>
      </c>
      <c r="E36" s="22" t="n">
        <f aca="false">E34-E35</f>
        <v>779398.290738</v>
      </c>
      <c r="F36" s="22" t="n">
        <f aca="false">F34-F35</f>
        <v>820555.217310329</v>
      </c>
      <c r="G36" s="22" t="n">
        <f aca="false">G34-G35</f>
        <v>863746.725683088</v>
      </c>
      <c r="H36" s="22" t="n">
        <f aca="false">H34-H35</f>
        <v>909069.847640434</v>
      </c>
      <c r="I36" s="22" t="n">
        <f aca="false">I34-I35</f>
        <v>956626.145664909</v>
      </c>
      <c r="J36" s="22" t="n">
        <f aca="false">J34-J35</f>
        <v>1006521.92174691</v>
      </c>
      <c r="K36" s="22" t="n">
        <f aca="false">K34-K35</f>
        <v>1058868.4357384</v>
      </c>
      <c r="L36" s="22" t="n">
        <f aca="false">L34-L35</f>
        <v>1113782.13368491</v>
      </c>
      <c r="M36" s="9"/>
    </row>
    <row r="37" customFormat="false" ht="15" hidden="false" customHeight="false" outlineLevel="0" collapsed="false">
      <c r="B37" s="9" t="s">
        <v>275</v>
      </c>
      <c r="C37" s="37" t="n">
        <f aca="false">1/(1+DCF!$C$6)^C$24</f>
        <v>0.928074245939675</v>
      </c>
      <c r="D37" s="37" t="n">
        <f aca="false">1/(1+DCF!$C$6)^D$24</f>
        <v>0.861321805976497</v>
      </c>
      <c r="E37" s="37" t="n">
        <f aca="false">1/(1+DCF!$C$6)^E$24</f>
        <v>0.799370585593037</v>
      </c>
      <c r="F37" s="37" t="n">
        <f aca="false">1/(1+DCF!$C$6)^F$24</f>
        <v>0.741875253450614</v>
      </c>
      <c r="G37" s="37" t="n">
        <f aca="false">1/(1+DCF!$C$6)^G$24</f>
        <v>0.688515316427484</v>
      </c>
      <c r="H37" s="37" t="n">
        <f aca="false">1/(1+DCF!$C$6)^H$24</f>
        <v>0.638993333111354</v>
      </c>
      <c r="I37" s="37" t="n">
        <f aca="false">1/(1+DCF!$C$6)^I$24</f>
        <v>0.5930332557878</v>
      </c>
      <c r="J37" s="37" t="n">
        <f aca="false">1/(1+DCF!$C$6)^J$24</f>
        <v>0.550378891682413</v>
      </c>
      <c r="K37" s="37" t="n">
        <f aca="false">1/(1+DCF!$C$6)^K$24</f>
        <v>0.51079247487927</v>
      </c>
      <c r="L37" s="37" t="n">
        <f aca="false">1/(1+DCF!$C$6)^L$24</f>
        <v>0.474053340955239</v>
      </c>
      <c r="M37" s="9"/>
    </row>
    <row r="38" customFormat="false" ht="15" hidden="false" customHeight="false" outlineLevel="0" collapsed="false">
      <c r="B38" s="9" t="s">
        <v>276</v>
      </c>
      <c r="C38" s="18" t="n">
        <f aca="false">C36*C37</f>
        <v>495294.459396752</v>
      </c>
      <c r="D38" s="18" t="n">
        <f aca="false">D36*D37</f>
        <v>637535.969509208</v>
      </c>
      <c r="E38" s="18" t="n">
        <f aca="false">E36*E37</f>
        <v>623028.068077446</v>
      </c>
      <c r="F38" s="18" t="n">
        <f aca="false">F36*F37</f>
        <v>608749.609812324</v>
      </c>
      <c r="G38" s="18" t="n">
        <f aca="false">G36*G37</f>
        <v>594702.850146895</v>
      </c>
      <c r="H38" s="18" t="n">
        <f aca="false">H36*H37</f>
        <v>580889.571974792</v>
      </c>
      <c r="I38" s="18" t="n">
        <f aca="false">I36*I37</f>
        <v>567311.117735395</v>
      </c>
      <c r="J38" s="18" t="n">
        <f aca="false">J36*J37</f>
        <v>553968.419745114</v>
      </c>
      <c r="K38" s="18" t="n">
        <f aca="false">K36*K37</f>
        <v>540862.02886236</v>
      </c>
      <c r="L38" s="18" t="n">
        <f aca="false">L36*L37</f>
        <v>527992.141569584</v>
      </c>
      <c r="M38" s="9"/>
    </row>
    <row r="40" customFormat="false" ht="15" hidden="false" customHeight="false" outlineLevel="0" collapsed="false">
      <c r="B40" s="7" t="s">
        <v>277</v>
      </c>
      <c r="C40" s="8"/>
      <c r="D40" s="8"/>
      <c r="E40" s="8"/>
    </row>
    <row r="41" customFormat="false" ht="15" hidden="false" customHeight="false" outlineLevel="0" collapsed="false">
      <c r="B41" s="9" t="s">
        <v>278</v>
      </c>
      <c r="C41" s="18" t="n">
        <f aca="false">M34/DCF!$C$7</f>
        <v>18742158.1854264</v>
      </c>
    </row>
    <row r="42" customFormat="false" ht="15" hidden="false" customHeight="false" outlineLevel="0" collapsed="false">
      <c r="B42" s="9" t="s">
        <v>279</v>
      </c>
      <c r="C42" s="18" t="n">
        <f aca="false">$C$41*Assumptions!$C$84</f>
        <v>374843.163708528</v>
      </c>
    </row>
    <row r="43" customFormat="false" ht="15" hidden="false" customHeight="false" outlineLevel="0" collapsed="false">
      <c r="B43" s="9" t="s">
        <v>280</v>
      </c>
      <c r="C43" s="18" t="n">
        <f aca="false">$C$41-$C$42</f>
        <v>18367315.0217179</v>
      </c>
    </row>
    <row r="44" customFormat="false" ht="15" hidden="false" customHeight="false" outlineLevel="0" collapsed="false">
      <c r="B44" s="9" t="s">
        <v>281</v>
      </c>
      <c r="C44" s="18" t="n">
        <f aca="false">$C$43*L37</f>
        <v>8707087.05042269</v>
      </c>
    </row>
    <row r="45" customFormat="false" ht="15" hidden="false" customHeight="false" outlineLevel="0" collapsed="false">
      <c r="B45" s="9" t="s">
        <v>282</v>
      </c>
      <c r="C45" s="18" t="n">
        <f aca="false">SUM(C38:L38)</f>
        <v>5730334.23682987</v>
      </c>
    </row>
    <row r="46" customFormat="false" ht="15" hidden="false" customHeight="false" outlineLevel="0" collapsed="false">
      <c r="B46" s="20" t="s">
        <v>283</v>
      </c>
      <c r="C46" s="22" t="n">
        <f aca="false">$C$45+$C$44</f>
        <v>14437421.2872526</v>
      </c>
    </row>
    <row r="47" customFormat="false" ht="15" hidden="false" customHeight="false" outlineLevel="0" collapsed="false">
      <c r="B47" s="9" t="s">
        <v>284</v>
      </c>
      <c r="C47" s="14" t="n">
        <f aca="false">$C$44/$C$46</f>
        <v>0.603091568582996</v>
      </c>
    </row>
    <row r="48" customFormat="false" ht="15" hidden="false" customHeight="false" outlineLevel="0" collapsed="false">
      <c r="B48" s="9" t="s">
        <v>285</v>
      </c>
      <c r="C48" s="33" t="n">
        <f aca="false">C34/$C$46</f>
        <v>0.0473547018125496</v>
      </c>
    </row>
    <row r="49" customFormat="false" ht="15" hidden="false" customHeight="false" outlineLevel="0" collapsed="false">
      <c r="B49" s="20" t="s">
        <v>351</v>
      </c>
      <c r="C49" s="22" t="n">
        <f aca="false">$C$46</f>
        <v>14437421.2872526</v>
      </c>
    </row>
    <row r="50" customFormat="false" ht="15" hidden="false" customHeight="false" outlineLevel="0" collapsed="false">
      <c r="B50" s="9" t="s">
        <v>352</v>
      </c>
      <c r="C50" s="18" t="n">
        <f aca="false">$C$49-DCF!$C$36</f>
        <v>2416338.6347888</v>
      </c>
    </row>
    <row r="51" customFormat="false" ht="15" hidden="false" customHeight="false" outlineLevel="0" collapsed="false">
      <c r="B51" s="9" t="s">
        <v>342</v>
      </c>
      <c r="C51" s="14" t="n">
        <f aca="false">$C$50/DCF!$C$36</f>
        <v>0.201008403705931</v>
      </c>
    </row>
    <row r="53" customFormat="false" ht="15" hidden="false" customHeight="false" outlineLevel="0" collapsed="false">
      <c r="B53" s="7" t="s">
        <v>353</v>
      </c>
      <c r="C53" s="8"/>
      <c r="D53" s="8"/>
      <c r="E53" s="8"/>
      <c r="F53" s="8"/>
      <c r="G53" s="8"/>
      <c r="H53" s="8"/>
      <c r="I53" s="8"/>
      <c r="J53" s="8"/>
      <c r="K53" s="8"/>
      <c r="L53" s="8"/>
      <c r="M53" s="8"/>
    </row>
    <row r="54" customFormat="false" ht="15" hidden="false" customHeight="false" outlineLevel="0" collapsed="false">
      <c r="B54" s="9" t="s">
        <v>354</v>
      </c>
      <c r="C54" s="33" t="n">
        <f aca="false">Cap_Rate!$F$27</f>
        <v>0.0575</v>
      </c>
    </row>
    <row r="55" customFormat="false" ht="15" hidden="false" customHeight="false" outlineLevel="0" collapsed="false">
      <c r="B55" s="15" t="s">
        <v>129</v>
      </c>
      <c r="C55" s="16" t="n">
        <v>1</v>
      </c>
      <c r="D55" s="16" t="n">
        <v>2</v>
      </c>
      <c r="E55" s="16" t="n">
        <v>3</v>
      </c>
      <c r="F55" s="16" t="n">
        <v>4</v>
      </c>
      <c r="G55" s="16" t="n">
        <v>5</v>
      </c>
      <c r="H55" s="16" t="n">
        <v>6</v>
      </c>
      <c r="I55" s="16" t="n">
        <v>7</v>
      </c>
      <c r="J55" s="16" t="n">
        <v>8</v>
      </c>
      <c r="K55" s="16" t="n">
        <v>9</v>
      </c>
      <c r="L55" s="16" t="n">
        <v>10</v>
      </c>
      <c r="M55" s="16" t="n">
        <v>11</v>
      </c>
    </row>
    <row r="56" customFormat="false" ht="15" hidden="false" customHeight="false" outlineLevel="0" collapsed="false">
      <c r="B56" s="9" t="s">
        <v>268</v>
      </c>
      <c r="C56" s="9"/>
      <c r="D56" s="33" t="n">
        <f aca="false">Market_Analysis!$D$26</f>
        <v>0.0282303664921466</v>
      </c>
      <c r="E56" s="33" t="n">
        <f aca="false">Market_Analysis!$E$26</f>
        <v>0.0273384223918575</v>
      </c>
      <c r="F56" s="33" t="n">
        <f aca="false">Market_Analysis!$F$26</f>
        <v>0.03116</v>
      </c>
      <c r="G56" s="33" t="n">
        <f aca="false">Market_Analysis!$G$26</f>
        <v>0.0336862745098039</v>
      </c>
      <c r="H56" s="33" t="n">
        <f aca="false">Market_Analysis!$H$26</f>
        <v>0.0361153846153846</v>
      </c>
      <c r="I56" s="33" t="n">
        <f aca="false">Market_Analysis!$C$17</f>
        <v>0.025</v>
      </c>
      <c r="J56" s="33" t="n">
        <f aca="false">Market_Analysis!$C$17</f>
        <v>0.025</v>
      </c>
      <c r="K56" s="33" t="n">
        <f aca="false">Market_Analysis!$C$17</f>
        <v>0.025</v>
      </c>
      <c r="L56" s="33" t="n">
        <f aca="false">Market_Analysis!$C$17</f>
        <v>0.025</v>
      </c>
      <c r="M56" s="33" t="n">
        <f aca="false">Market_Analysis!$C$17</f>
        <v>0.025</v>
      </c>
    </row>
    <row r="57" customFormat="false" ht="15" hidden="false" customHeight="false" outlineLevel="0" collapsed="false">
      <c r="B57" s="9" t="s">
        <v>269</v>
      </c>
      <c r="C57" s="18" t="n">
        <f aca="false">Assumptions!$H$24</f>
        <v>1183680</v>
      </c>
      <c r="D57" s="18" t="n">
        <f aca="false">C57*(1+D56)</f>
        <v>1217095.72020942</v>
      </c>
      <c r="E57" s="18" t="n">
        <f aca="false">D57*(1+E56)</f>
        <v>1250369.19709983</v>
      </c>
      <c r="F57" s="18" t="n">
        <f aca="false">E57*(1+F56)</f>
        <v>1289330.70128146</v>
      </c>
      <c r="G57" s="18" t="n">
        <f aca="false">F57*(1+G56)</f>
        <v>1332763.44921875</v>
      </c>
      <c r="H57" s="18" t="n">
        <f aca="false">G57*(1+H56)</f>
        <v>1380896.71378861</v>
      </c>
      <c r="I57" s="18" t="n">
        <f aca="false">H57*(1+I56)</f>
        <v>1415419.13163332</v>
      </c>
      <c r="J57" s="18" t="n">
        <f aca="false">I57*(1+J56)</f>
        <v>1450804.60992416</v>
      </c>
      <c r="K57" s="18" t="n">
        <f aca="false">J57*(1+K56)</f>
        <v>1487074.72517226</v>
      </c>
      <c r="L57" s="18" t="n">
        <f aca="false">K57*(1+L56)</f>
        <v>1524251.59330157</v>
      </c>
      <c r="M57" s="18" t="n">
        <f aca="false">L57*(1+M56)</f>
        <v>1562357.88313411</v>
      </c>
    </row>
    <row r="58" customFormat="false" ht="15" hidden="false" customHeight="false" outlineLevel="0" collapsed="false">
      <c r="B58" s="9" t="s">
        <v>270</v>
      </c>
      <c r="C58" s="18" t="n">
        <f aca="false">C57-Assumptions!$C$28*Assumptions!$C$37</f>
        <v>1162800</v>
      </c>
      <c r="D58" s="18" t="n">
        <f aca="false">D57</f>
        <v>1217095.72020942</v>
      </c>
      <c r="E58" s="18" t="n">
        <f aca="false">E57</f>
        <v>1250369.19709983</v>
      </c>
      <c r="F58" s="18" t="n">
        <f aca="false">F57</f>
        <v>1289330.70128146</v>
      </c>
      <c r="G58" s="18" t="n">
        <f aca="false">G57</f>
        <v>1332763.44921875</v>
      </c>
      <c r="H58" s="18" t="n">
        <f aca="false">H57</f>
        <v>1380896.71378861</v>
      </c>
      <c r="I58" s="18" t="n">
        <f aca="false">I57</f>
        <v>1415419.13163332</v>
      </c>
      <c r="J58" s="18" t="n">
        <f aca="false">J57</f>
        <v>1450804.60992416</v>
      </c>
      <c r="K58" s="18" t="n">
        <f aca="false">K57</f>
        <v>1487074.72517226</v>
      </c>
      <c r="L58" s="18" t="n">
        <f aca="false">L57</f>
        <v>1524251.59330157</v>
      </c>
      <c r="M58" s="18" t="n">
        <f aca="false">M57</f>
        <v>1562357.88313411</v>
      </c>
    </row>
    <row r="59" customFormat="false" ht="15" hidden="false" customHeight="false" outlineLevel="0" collapsed="false">
      <c r="B59" s="9" t="s">
        <v>157</v>
      </c>
      <c r="C59" s="18" t="n">
        <f aca="false">Assumptions!$C$34</f>
        <v>34560</v>
      </c>
      <c r="D59" s="18" t="n">
        <f aca="false">C59*(1+Assumptions!$C$86)</f>
        <v>35596.8</v>
      </c>
      <c r="E59" s="18" t="n">
        <f aca="false">D59*(1+Assumptions!$C$86)</f>
        <v>36664.704</v>
      </c>
      <c r="F59" s="18" t="n">
        <f aca="false">E59*(1+Assumptions!$C$86)</f>
        <v>37764.64512</v>
      </c>
      <c r="G59" s="18" t="n">
        <f aca="false">F59*(1+Assumptions!$C$86)</f>
        <v>38897.5844736</v>
      </c>
      <c r="H59" s="18" t="n">
        <f aca="false">G59*(1+Assumptions!$C$86)</f>
        <v>40064.512007808</v>
      </c>
      <c r="I59" s="18" t="n">
        <f aca="false">H59*(1+Assumptions!$C$86)</f>
        <v>41266.4473680422</v>
      </c>
      <c r="J59" s="18" t="n">
        <f aca="false">I59*(1+Assumptions!$C$86)</f>
        <v>42504.4407890835</v>
      </c>
      <c r="K59" s="18" t="n">
        <f aca="false">J59*(1+Assumptions!$C$86)</f>
        <v>43779.574012756</v>
      </c>
      <c r="L59" s="18" t="n">
        <f aca="false">K59*(1+Assumptions!$C$86)</f>
        <v>45092.9612331387</v>
      </c>
      <c r="M59" s="18" t="n">
        <f aca="false">L59*(1+Assumptions!$C$86)</f>
        <v>46445.7500701329</v>
      </c>
    </row>
    <row r="60" customFormat="false" ht="15" hidden="false" customHeight="false" outlineLevel="0" collapsed="false">
      <c r="B60" s="9" t="s">
        <v>158</v>
      </c>
      <c r="C60" s="18" t="n">
        <f aca="false">(C58+C59)*Assumptions!$C$62</f>
        <v>59868</v>
      </c>
      <c r="D60" s="18" t="n">
        <f aca="false">(D58+D59)*Assumptions!$C$62</f>
        <v>62634.6260104712</v>
      </c>
      <c r="E60" s="18" t="n">
        <f aca="false">(E58+E59)*Assumptions!$C$62</f>
        <v>64351.6950549916</v>
      </c>
      <c r="F60" s="18" t="n">
        <f aca="false">(F58+F59)*Assumptions!$C$62</f>
        <v>66354.7673200731</v>
      </c>
      <c r="G60" s="18" t="n">
        <f aca="false">(G58+G59)*Assumptions!$C$62</f>
        <v>68583.0516846174</v>
      </c>
      <c r="H60" s="18" t="n">
        <f aca="false">(H58+H59)*Assumptions!$C$62</f>
        <v>71048.0612898209</v>
      </c>
      <c r="I60" s="18" t="n">
        <f aca="false">(I58+I59)*Assumptions!$C$62</f>
        <v>72834.2789500683</v>
      </c>
      <c r="J60" s="18" t="n">
        <f aca="false">(J58+J59)*Assumptions!$C$62</f>
        <v>74665.452535662</v>
      </c>
      <c r="K60" s="18" t="n">
        <f aca="false">(K58+K59)*Assumptions!$C$62</f>
        <v>76542.7149592509</v>
      </c>
      <c r="L60" s="18" t="n">
        <f aca="false">(L58+L59)*Assumptions!$C$62</f>
        <v>78467.2277267353</v>
      </c>
      <c r="M60" s="18" t="n">
        <f aca="false">(M58+M59)*Assumptions!$C$62</f>
        <v>80440.181660212</v>
      </c>
    </row>
    <row r="61" customFormat="false" ht="15" hidden="false" customHeight="false" outlineLevel="0" collapsed="false">
      <c r="B61" s="20" t="s">
        <v>159</v>
      </c>
      <c r="C61" s="22" t="n">
        <f aca="false">C58+C59-C60</f>
        <v>1137492</v>
      </c>
      <c r="D61" s="22" t="n">
        <f aca="false">D58+D59-D60</f>
        <v>1190057.89419895</v>
      </c>
      <c r="E61" s="22" t="n">
        <f aca="false">E58+E59-E60</f>
        <v>1222682.20604484</v>
      </c>
      <c r="F61" s="22" t="n">
        <f aca="false">F58+F59-F60</f>
        <v>1260740.57908139</v>
      </c>
      <c r="G61" s="22" t="n">
        <f aca="false">G58+G59-G60</f>
        <v>1303077.98200773</v>
      </c>
      <c r="H61" s="22" t="n">
        <f aca="false">H58+H59-H60</f>
        <v>1349913.1645066</v>
      </c>
      <c r="I61" s="22" t="n">
        <f aca="false">I58+I59-I60</f>
        <v>1383851.3000513</v>
      </c>
      <c r="J61" s="22" t="n">
        <f aca="false">J58+J59-J60</f>
        <v>1418643.59817758</v>
      </c>
      <c r="K61" s="22" t="n">
        <f aca="false">K58+K59-K60</f>
        <v>1454311.58422577</v>
      </c>
      <c r="L61" s="22" t="n">
        <f aca="false">L58+L59-L60</f>
        <v>1490877.32680797</v>
      </c>
      <c r="M61" s="22" t="n">
        <f aca="false">M58+M59-M60</f>
        <v>1528363.45154403</v>
      </c>
    </row>
    <row r="62" customFormat="false" ht="15" hidden="false" customHeight="false" outlineLevel="0" collapsed="false">
      <c r="B62" s="9" t="s">
        <v>271</v>
      </c>
      <c r="C62" s="18" t="n">
        <f aca="false">DCF!$C$11</f>
        <v>414000</v>
      </c>
      <c r="D62" s="18" t="n">
        <f aca="false">C62*(1+Assumptions!$C$85)</f>
        <v>426420</v>
      </c>
      <c r="E62" s="18" t="n">
        <f aca="false">D62*(1+Assumptions!$C$85)</f>
        <v>439212.6</v>
      </c>
      <c r="F62" s="18" t="n">
        <f aca="false">E62*(1+Assumptions!$C$85)</f>
        <v>452388.978</v>
      </c>
      <c r="G62" s="18" t="n">
        <f aca="false">F62*(1+Assumptions!$C$85)</f>
        <v>465960.64734</v>
      </c>
      <c r="H62" s="18" t="n">
        <f aca="false">G62*(1+Assumptions!$C$85)</f>
        <v>479939.4667602</v>
      </c>
      <c r="I62" s="18" t="n">
        <f aca="false">H62*(1+Assumptions!$C$85)</f>
        <v>494337.650763006</v>
      </c>
      <c r="J62" s="18" t="n">
        <f aca="false">I62*(1+Assumptions!$C$85)</f>
        <v>509167.780285896</v>
      </c>
      <c r="K62" s="18" t="n">
        <f aca="false">J62*(1+Assumptions!$C$85)</f>
        <v>524442.813694473</v>
      </c>
      <c r="L62" s="18" t="n">
        <f aca="false">K62*(1+Assumptions!$C$85)</f>
        <v>540176.098105307</v>
      </c>
      <c r="M62" s="18" t="n">
        <f aca="false">L62*(1+Assumptions!$C$85)</f>
        <v>556381.381048467</v>
      </c>
    </row>
    <row r="63" customFormat="false" ht="15" hidden="false" customHeight="false" outlineLevel="0" collapsed="false">
      <c r="B63" s="9" t="s">
        <v>272</v>
      </c>
      <c r="C63" s="18" t="n">
        <f aca="false">C61*Assumptions!$C$65</f>
        <v>39812.22</v>
      </c>
      <c r="D63" s="18" t="n">
        <f aca="false">D61*Assumptions!$C$65</f>
        <v>41652.0262969634</v>
      </c>
      <c r="E63" s="18" t="n">
        <f aca="false">E61*Assumptions!$C$65</f>
        <v>42793.8772115694</v>
      </c>
      <c r="F63" s="18" t="n">
        <f aca="false">F61*Assumptions!$C$65</f>
        <v>44125.9202678486</v>
      </c>
      <c r="G63" s="18" t="n">
        <f aca="false">G61*Assumptions!$C$65</f>
        <v>45607.7293702706</v>
      </c>
      <c r="H63" s="18" t="n">
        <f aca="false">H61*Assumptions!$C$65</f>
        <v>47246.9607577309</v>
      </c>
      <c r="I63" s="18" t="n">
        <f aca="false">I61*Assumptions!$C$65</f>
        <v>48434.7955017954</v>
      </c>
      <c r="J63" s="18" t="n">
        <f aca="false">J61*Assumptions!$C$65</f>
        <v>49652.5259362153</v>
      </c>
      <c r="K63" s="18" t="n">
        <f aca="false">K61*Assumptions!$C$65</f>
        <v>50900.9054479018</v>
      </c>
      <c r="L63" s="18" t="n">
        <f aca="false">L61*Assumptions!$C$65</f>
        <v>52180.706438279</v>
      </c>
      <c r="M63" s="18" t="n">
        <f aca="false">M61*Assumptions!$C$65</f>
        <v>53492.720804041</v>
      </c>
    </row>
    <row r="64" customFormat="false" ht="15" hidden="false" customHeight="false" outlineLevel="0" collapsed="false">
      <c r="B64" s="9" t="s">
        <v>162</v>
      </c>
      <c r="C64" s="18" t="n">
        <f aca="false">C62+C63</f>
        <v>453812.22</v>
      </c>
      <c r="D64" s="18" t="n">
        <f aca="false">D62+D63</f>
        <v>468072.026296963</v>
      </c>
      <c r="E64" s="18" t="n">
        <f aca="false">E62+E63</f>
        <v>482006.477211569</v>
      </c>
      <c r="F64" s="18" t="n">
        <f aca="false">F62+F63</f>
        <v>496514.898267849</v>
      </c>
      <c r="G64" s="18" t="n">
        <f aca="false">G62+G63</f>
        <v>511568.376710271</v>
      </c>
      <c r="H64" s="18" t="n">
        <f aca="false">H62+H63</f>
        <v>527186.427517931</v>
      </c>
      <c r="I64" s="18" t="n">
        <f aca="false">I62+I63</f>
        <v>542772.446264802</v>
      </c>
      <c r="J64" s="18" t="n">
        <f aca="false">J62+J63</f>
        <v>558820.306222112</v>
      </c>
      <c r="K64" s="18" t="n">
        <f aca="false">K62+K63</f>
        <v>575343.719142375</v>
      </c>
      <c r="L64" s="18" t="n">
        <f aca="false">L62+L63</f>
        <v>592356.804543586</v>
      </c>
      <c r="M64" s="18" t="n">
        <f aca="false">M62+M63</f>
        <v>609874.101852508</v>
      </c>
    </row>
    <row r="65" customFormat="false" ht="15" hidden="false" customHeight="false" outlineLevel="0" collapsed="false">
      <c r="B65" s="20" t="s">
        <v>163</v>
      </c>
      <c r="C65" s="22" t="n">
        <f aca="false">C61-C64</f>
        <v>683679.78</v>
      </c>
      <c r="D65" s="22" t="n">
        <f aca="false">D61-D64</f>
        <v>721985.86790199</v>
      </c>
      <c r="E65" s="22" t="n">
        <f aca="false">E61-E64</f>
        <v>740675.72883327</v>
      </c>
      <c r="F65" s="22" t="n">
        <f aca="false">F61-F64</f>
        <v>764225.680813541</v>
      </c>
      <c r="G65" s="22" t="n">
        <f aca="false">G61-G64</f>
        <v>791509.60529746</v>
      </c>
      <c r="H65" s="22" t="n">
        <f aca="false">H61-H64</f>
        <v>822726.736988666</v>
      </c>
      <c r="I65" s="22" t="n">
        <f aca="false">I61-I64</f>
        <v>841078.853786497</v>
      </c>
      <c r="J65" s="22" t="n">
        <f aca="false">J61-J64</f>
        <v>859823.291955467</v>
      </c>
      <c r="K65" s="22" t="n">
        <f aca="false">K61-K64</f>
        <v>878967.865083392</v>
      </c>
      <c r="L65" s="22" t="n">
        <f aca="false">L61-L64</f>
        <v>898520.522264385</v>
      </c>
      <c r="M65" s="22" t="n">
        <f aca="false">M61-M64</f>
        <v>918489.34969152</v>
      </c>
    </row>
    <row r="66" customFormat="false" ht="15" hidden="false" customHeight="false" outlineLevel="0" collapsed="false">
      <c r="B66" s="9" t="s">
        <v>273</v>
      </c>
      <c r="C66" s="18" t="n">
        <f aca="false">Assumptions!$C$35</f>
        <v>150000</v>
      </c>
      <c r="D66" s="18" t="n">
        <f aca="false">0</f>
        <v>0</v>
      </c>
      <c r="E66" s="18" t="n">
        <f aca="false">0</f>
        <v>0</v>
      </c>
      <c r="F66" s="18" t="n">
        <f aca="false">0</f>
        <v>0</v>
      </c>
      <c r="G66" s="18" t="n">
        <f aca="false">0</f>
        <v>0</v>
      </c>
      <c r="H66" s="18" t="n">
        <f aca="false">0</f>
        <v>0</v>
      </c>
      <c r="I66" s="18" t="n">
        <f aca="false">0</f>
        <v>0</v>
      </c>
      <c r="J66" s="18" t="n">
        <f aca="false">0</f>
        <v>0</v>
      </c>
      <c r="K66" s="18" t="n">
        <f aca="false">0</f>
        <v>0</v>
      </c>
      <c r="L66" s="18" t="n">
        <f aca="false">0</f>
        <v>0</v>
      </c>
      <c r="M66" s="9"/>
    </row>
    <row r="67" customFormat="false" ht="15" hidden="false" customHeight="false" outlineLevel="0" collapsed="false">
      <c r="B67" s="20" t="s">
        <v>274</v>
      </c>
      <c r="C67" s="22" t="n">
        <f aca="false">C65-C66</f>
        <v>533679.78</v>
      </c>
      <c r="D67" s="22" t="n">
        <f aca="false">D65-D66</f>
        <v>721985.86790199</v>
      </c>
      <c r="E67" s="22" t="n">
        <f aca="false">E65-E66</f>
        <v>740675.72883327</v>
      </c>
      <c r="F67" s="22" t="n">
        <f aca="false">F65-F66</f>
        <v>764225.680813541</v>
      </c>
      <c r="G67" s="22" t="n">
        <f aca="false">G65-G66</f>
        <v>791509.60529746</v>
      </c>
      <c r="H67" s="22" t="n">
        <f aca="false">H65-H66</f>
        <v>822726.736988666</v>
      </c>
      <c r="I67" s="22" t="n">
        <f aca="false">I65-I66</f>
        <v>841078.853786497</v>
      </c>
      <c r="J67" s="22" t="n">
        <f aca="false">J65-J66</f>
        <v>859823.291955467</v>
      </c>
      <c r="K67" s="22" t="n">
        <f aca="false">K65-K66</f>
        <v>878967.865083392</v>
      </c>
      <c r="L67" s="22" t="n">
        <f aca="false">L65-L66</f>
        <v>898520.522264385</v>
      </c>
      <c r="M67" s="9"/>
    </row>
    <row r="68" customFormat="false" ht="15" hidden="false" customHeight="false" outlineLevel="0" collapsed="false">
      <c r="B68" s="9" t="s">
        <v>275</v>
      </c>
      <c r="C68" s="37" t="n">
        <f aca="false">1/(1+DCF!$C$6)^C$55</f>
        <v>0.928074245939675</v>
      </c>
      <c r="D68" s="37" t="n">
        <f aca="false">1/(1+DCF!$C$6)^D$55</f>
        <v>0.861321805976497</v>
      </c>
      <c r="E68" s="37" t="n">
        <f aca="false">1/(1+DCF!$C$6)^E$55</f>
        <v>0.799370585593037</v>
      </c>
      <c r="F68" s="37" t="n">
        <f aca="false">1/(1+DCF!$C$6)^F$55</f>
        <v>0.741875253450614</v>
      </c>
      <c r="G68" s="37" t="n">
        <f aca="false">1/(1+DCF!$C$6)^G$55</f>
        <v>0.688515316427484</v>
      </c>
      <c r="H68" s="37" t="n">
        <f aca="false">1/(1+DCF!$C$6)^H$55</f>
        <v>0.638993333111354</v>
      </c>
      <c r="I68" s="37" t="n">
        <f aca="false">1/(1+DCF!$C$6)^I$55</f>
        <v>0.5930332557878</v>
      </c>
      <c r="J68" s="37" t="n">
        <f aca="false">1/(1+DCF!$C$6)^J$55</f>
        <v>0.550378891682413</v>
      </c>
      <c r="K68" s="37" t="n">
        <f aca="false">1/(1+DCF!$C$6)^K$55</f>
        <v>0.51079247487927</v>
      </c>
      <c r="L68" s="37" t="n">
        <f aca="false">1/(1+DCF!$C$6)^L$55</f>
        <v>0.474053340955239</v>
      </c>
      <c r="M68" s="9"/>
    </row>
    <row r="69" customFormat="false" ht="15" hidden="false" customHeight="false" outlineLevel="0" collapsed="false">
      <c r="B69" s="9" t="s">
        <v>276</v>
      </c>
      <c r="C69" s="18" t="n">
        <f aca="false">C67*C68</f>
        <v>495294.459396752</v>
      </c>
      <c r="D69" s="18" t="n">
        <f aca="false">D67*D68</f>
        <v>621862.17163085</v>
      </c>
      <c r="E69" s="18" t="n">
        <f aca="false">E67*E68</f>
        <v>592074.391092</v>
      </c>
      <c r="F69" s="18" t="n">
        <f aca="false">F67*F68</f>
        <v>566960.120647013</v>
      </c>
      <c r="G69" s="18" t="n">
        <f aca="false">G67*G68</f>
        <v>544966.486346774</v>
      </c>
      <c r="H69" s="18" t="n">
        <f aca="false">H67*H68</f>
        <v>525716.899908216</v>
      </c>
      <c r="I69" s="18" t="n">
        <f aca="false">I67*I68</f>
        <v>498787.731035277</v>
      </c>
      <c r="J69" s="18" t="n">
        <f aca="false">J67*J68</f>
        <v>473228.590469174</v>
      </c>
      <c r="K69" s="18" t="n">
        <f aca="false">K67*K68</f>
        <v>448970.171145293</v>
      </c>
      <c r="L69" s="18" t="n">
        <f aca="false">L67*L68</f>
        <v>425946.655496277</v>
      </c>
      <c r="M69" s="9"/>
    </row>
    <row r="71" customFormat="false" ht="15" hidden="false" customHeight="false" outlineLevel="0" collapsed="false">
      <c r="B71" s="7" t="s">
        <v>277</v>
      </c>
      <c r="C71" s="8"/>
      <c r="D71" s="8"/>
      <c r="E71" s="8"/>
    </row>
    <row r="72" customFormat="false" ht="15" hidden="false" customHeight="false" outlineLevel="0" collapsed="false">
      <c r="B72" s="9" t="s">
        <v>278</v>
      </c>
      <c r="C72" s="18" t="n">
        <f aca="false">M65/$C$54</f>
        <v>15973727.8207221</v>
      </c>
    </row>
    <row r="73" customFormat="false" ht="15" hidden="false" customHeight="false" outlineLevel="0" collapsed="false">
      <c r="B73" s="9" t="s">
        <v>279</v>
      </c>
      <c r="C73" s="18" t="n">
        <f aca="false">$C$72*Assumptions!$C$84</f>
        <v>319474.556414442</v>
      </c>
    </row>
    <row r="74" customFormat="false" ht="15" hidden="false" customHeight="false" outlineLevel="0" collapsed="false">
      <c r="B74" s="9" t="s">
        <v>280</v>
      </c>
      <c r="C74" s="18" t="n">
        <f aca="false">$C$72-$C$73</f>
        <v>15654253.2643076</v>
      </c>
    </row>
    <row r="75" customFormat="false" ht="15" hidden="false" customHeight="false" outlineLevel="0" collapsed="false">
      <c r="B75" s="9" t="s">
        <v>281</v>
      </c>
      <c r="C75" s="18" t="n">
        <f aca="false">$C$74*L68</f>
        <v>7420951.06010449</v>
      </c>
    </row>
    <row r="76" customFormat="false" ht="15" hidden="false" customHeight="false" outlineLevel="0" collapsed="false">
      <c r="B76" s="9" t="s">
        <v>282</v>
      </c>
      <c r="C76" s="18" t="n">
        <f aca="false">SUM(C69:L69)</f>
        <v>5193807.67716763</v>
      </c>
    </row>
    <row r="77" customFormat="false" ht="15" hidden="false" customHeight="false" outlineLevel="0" collapsed="false">
      <c r="B77" s="20" t="s">
        <v>283</v>
      </c>
      <c r="C77" s="22" t="n">
        <f aca="false">$C$76+$C$75</f>
        <v>12614758.7372721</v>
      </c>
    </row>
    <row r="78" customFormat="false" ht="15" hidden="false" customHeight="false" outlineLevel="0" collapsed="false">
      <c r="B78" s="9" t="s">
        <v>284</v>
      </c>
      <c r="C78" s="14" t="n">
        <f aca="false">$C$75/$C$77</f>
        <v>0.588275306302785</v>
      </c>
    </row>
    <row r="79" customFormat="false" ht="15" hidden="false" customHeight="false" outlineLevel="0" collapsed="false">
      <c r="B79" s="9" t="s">
        <v>285</v>
      </c>
      <c r="C79" s="33" t="n">
        <f aca="false">C65/$C$77</f>
        <v>0.0541968177306451</v>
      </c>
    </row>
    <row r="80" customFormat="false" ht="15" hidden="false" customHeight="false" outlineLevel="0" collapsed="false">
      <c r="B80" s="20" t="s">
        <v>355</v>
      </c>
      <c r="C80" s="22" t="n">
        <f aca="false">$C$77</f>
        <v>12614758.7372721</v>
      </c>
    </row>
    <row r="81" customFormat="false" ht="15" hidden="false" customHeight="false" outlineLevel="0" collapsed="false">
      <c r="B81" s="9" t="s">
        <v>352</v>
      </c>
      <c r="C81" s="18" t="n">
        <f aca="false">$C$80-DCF!$C$36</f>
        <v>593676.084808359</v>
      </c>
    </row>
    <row r="82" customFormat="false" ht="15" hidden="false" customHeight="false" outlineLevel="0" collapsed="false">
      <c r="B82" s="9" t="s">
        <v>342</v>
      </c>
      <c r="C82" s="14" t="n">
        <f aca="false">$C$81/DCF!$C$36</f>
        <v>0.0493862409877602</v>
      </c>
    </row>
    <row r="84" customFormat="false" ht="15" hidden="false" customHeight="false" outlineLevel="0" collapsed="false">
      <c r="B84" s="7" t="s">
        <v>356</v>
      </c>
      <c r="C84" s="8"/>
      <c r="D84" s="8"/>
      <c r="E84" s="8"/>
    </row>
    <row r="85" customFormat="false" ht="21.75" hidden="false" customHeight="true" outlineLevel="0" collapsed="false">
      <c r="B85" s="15" t="s">
        <v>357</v>
      </c>
      <c r="C85" s="16" t="s">
        <v>358</v>
      </c>
      <c r="D85" s="16" t="s">
        <v>345</v>
      </c>
      <c r="E85" s="16" t="s">
        <v>359</v>
      </c>
    </row>
    <row r="86" customFormat="false" ht="15" hidden="false" customHeight="false" outlineLevel="0" collapsed="false">
      <c r="B86" s="9" t="s">
        <v>360</v>
      </c>
      <c r="C86" s="18" t="n">
        <f aca="false">$C$7</f>
        <v>13609934.1176471</v>
      </c>
      <c r="D86" s="18" t="n">
        <f aca="false">$C$8</f>
        <v>1557831.16112532</v>
      </c>
      <c r="E86" s="14" t="n">
        <f aca="false">$C$9</f>
        <v>0.12925803627344</v>
      </c>
    </row>
    <row r="87" customFormat="false" ht="15" hidden="false" customHeight="false" outlineLevel="0" collapsed="false">
      <c r="B87" s="9" t="s">
        <v>361</v>
      </c>
      <c r="C87" s="18" t="n">
        <f aca="false">$C$12</f>
        <v>12782956.5217391</v>
      </c>
      <c r="D87" s="18" t="n">
        <f aca="false">$C$13</f>
        <v>730853.565217391</v>
      </c>
      <c r="E87" s="14" t="n">
        <f aca="false">$C$14</f>
        <v>0.0606411651023861</v>
      </c>
    </row>
    <row r="88" customFormat="false" ht="15" hidden="false" customHeight="false" outlineLevel="0" collapsed="false">
      <c r="B88" s="9" t="s">
        <v>362</v>
      </c>
      <c r="C88" s="18" t="n">
        <f aca="false">$C$18</f>
        <v>12427755.1304348</v>
      </c>
      <c r="D88" s="18" t="n">
        <f aca="false">$C$19</f>
        <v>375652.173913045</v>
      </c>
      <c r="E88" s="14" t="n">
        <f aca="false">$C$20</f>
        <v>0.0311690146747185</v>
      </c>
    </row>
    <row r="89" customFormat="false" ht="15" hidden="false" customHeight="false" outlineLevel="0" collapsed="false">
      <c r="B89" s="9" t="s">
        <v>363</v>
      </c>
      <c r="C89" s="18" t="n">
        <f aca="false">$C$49</f>
        <v>14437421.2872526</v>
      </c>
      <c r="D89" s="18" t="n">
        <f aca="false">$C$50</f>
        <v>2416338.6347888</v>
      </c>
      <c r="E89" s="14" t="n">
        <f aca="false">$C$51</f>
        <v>0.201008403705931</v>
      </c>
    </row>
    <row r="90" customFormat="false" ht="15" hidden="false" customHeight="false" outlineLevel="0" collapsed="false">
      <c r="B90" s="9" t="s">
        <v>364</v>
      </c>
      <c r="C90" s="18" t="n">
        <f aca="false">$C$80</f>
        <v>12614758.7372721</v>
      </c>
      <c r="D90" s="18" t="n">
        <f aca="false">$C$81</f>
        <v>593676.084808359</v>
      </c>
      <c r="E90" s="14" t="n">
        <f aca="false">$C$82</f>
        <v>0.0493862409877602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365</v>
      </c>
    </row>
    <row r="3" customFormat="false" ht="15" hidden="false" customHeight="false" outlineLevel="0" collapsed="false">
      <c r="B3" s="6" t="s">
        <v>366</v>
      </c>
    </row>
    <row r="4" customFormat="false" ht="15" hidden="false" customHeight="false" outlineLevel="0" collapsed="false">
      <c r="C4" s="20" t="s">
        <v>367</v>
      </c>
      <c r="E4" s="21" t="n">
        <f aca="false">ROWS(I10:I527)</f>
        <v>518</v>
      </c>
    </row>
    <row r="5" customFormat="false" ht="15" hidden="false" customHeight="false" outlineLevel="0" collapsed="false">
      <c r="C5" s="20" t="s">
        <v>368</v>
      </c>
      <c r="E5" s="21" t="n">
        <f aca="false">COUNTIF(I10:I527,"PASS")</f>
        <v>518</v>
      </c>
    </row>
    <row r="6" customFormat="false" ht="15" hidden="false" customHeight="false" outlineLevel="0" collapsed="false">
      <c r="C6" s="20" t="s">
        <v>369</v>
      </c>
      <c r="E6" s="21" t="n">
        <f aca="false">COUNTIF(I10:I527,"FAIL")</f>
        <v>0</v>
      </c>
    </row>
    <row r="7" customFormat="false" ht="15" hidden="false" customHeight="false" outlineLevel="0" collapsed="false">
      <c r="C7" s="20" t="s">
        <v>370</v>
      </c>
      <c r="D7" s="20"/>
      <c r="E7" s="39" t="str">
        <f aca="false">IFERROR(IF(AND(E5=E4,E6=0,SUMPRODUCT(--ISERROR(F10:F527))=0),"PASS","FAIL"),"FAIL")</f>
        <v>PASS</v>
      </c>
    </row>
    <row r="9" customFormat="false" ht="21.75" hidden="false" customHeight="true" outlineLevel="0" collapsed="false">
      <c r="B9" s="15" t="s">
        <v>57</v>
      </c>
      <c r="C9" s="16" t="s">
        <v>371</v>
      </c>
      <c r="D9" s="16" t="s">
        <v>372</v>
      </c>
      <c r="E9" s="16" t="s">
        <v>373</v>
      </c>
      <c r="F9" s="16" t="s">
        <v>374</v>
      </c>
      <c r="G9" s="16" t="s">
        <v>375</v>
      </c>
      <c r="H9" s="16" t="s">
        <v>376</v>
      </c>
      <c r="I9" s="16" t="s">
        <v>377</v>
      </c>
    </row>
    <row r="10" customFormat="false" ht="15" hidden="false" customHeight="false" outlineLevel="0" collapsed="false">
      <c r="B10" s="40" t="n">
        <v>1</v>
      </c>
      <c r="C10" s="9" t="s">
        <v>378</v>
      </c>
      <c r="D10" s="9" t="s">
        <v>379</v>
      </c>
      <c r="E10" s="13" t="n">
        <v>600</v>
      </c>
      <c r="F10" s="19" t="n">
        <f aca="false">Assumptions!$E$73</f>
        <v>600</v>
      </c>
      <c r="G10" s="37" t="n">
        <f aca="false">IFERROR(IF(ISNUMBER(F10),F10-E10,"n/a"),"n/a")</f>
        <v>0</v>
      </c>
      <c r="H10" s="41" t="n">
        <v>0.500000001</v>
      </c>
      <c r="I10" s="39" t="str">
        <f aca="false">IFERROR(IF(ISNUMBER(F10),IF(ABS(F10-E10)&lt;=H10,"PASS","FAIL"),"FAIL"),"FAIL")</f>
        <v>PASS</v>
      </c>
    </row>
    <row r="11" customFormat="false" ht="15" hidden="false" customHeight="true" outlineLevel="0" collapsed="false">
      <c r="B11" s="40" t="n">
        <v>2</v>
      </c>
      <c r="C11" s="9" t="s">
        <v>378</v>
      </c>
      <c r="D11" s="42" t="s">
        <v>380</v>
      </c>
      <c r="E11" s="43" t="s">
        <v>381</v>
      </c>
      <c r="F11" s="44" t="str">
        <f aca="false">IFERROR(IF(Assumptions!$C$24=Assumptions!$C$6,"holds","does not hold"),"error")</f>
        <v>holds</v>
      </c>
      <c r="G11" s="9"/>
      <c r="H11" s="9"/>
      <c r="I11" s="39" t="str">
        <f aca="false">IFERROR(IF(Assumptions!$C$24=Assumptions!$C$6,"PASS","FAIL"),"FAIL")</f>
        <v>PASS</v>
      </c>
    </row>
    <row r="12" customFormat="false" ht="15" hidden="false" customHeight="true" outlineLevel="0" collapsed="false">
      <c r="B12" s="40" t="n">
        <v>3</v>
      </c>
      <c r="C12" s="9" t="s">
        <v>378</v>
      </c>
      <c r="D12" s="42" t="s">
        <v>382</v>
      </c>
      <c r="E12" s="43" t="s">
        <v>381</v>
      </c>
      <c r="F12" s="44" t="str">
        <f aca="false">IFERROR(IF(AND(Assumptions!$G$21&gt;=0,Assumptions!$G$22&gt;=0,Assumptions!$G$23&gt;=0),"holds","does not hold"),"error")</f>
        <v>holds</v>
      </c>
      <c r="G12" s="9"/>
      <c r="H12" s="9"/>
      <c r="I12" s="39" t="str">
        <f aca="false">IFERROR(IF(AND(Assumptions!$G$21&gt;=0,Assumptions!$G$22&gt;=0,Assumptions!$G$23&gt;=0),"PASS","FAIL"),"FAIL")</f>
        <v>PASS</v>
      </c>
    </row>
    <row r="13" customFormat="false" ht="15" hidden="false" customHeight="true" outlineLevel="0" collapsed="false">
      <c r="B13" s="40" t="n">
        <v>4</v>
      </c>
      <c r="C13" s="9" t="s">
        <v>383</v>
      </c>
      <c r="D13" s="42" t="s">
        <v>384</v>
      </c>
      <c r="E13" s="43" t="s">
        <v>381</v>
      </c>
      <c r="F13" s="44" t="str">
        <f aca="false">IFERROR(IF(Market_Analysis!$C$30=Market_Analysis!$C$29,"holds","does not hold"),"error")</f>
        <v>holds</v>
      </c>
      <c r="G13" s="9"/>
      <c r="H13" s="9"/>
      <c r="I13" s="39" t="str">
        <f aca="false">IFERROR(IF(Market_Analysis!$C$30=Market_Analysis!$C$29,"PASS","FAIL"),"FAIL")</f>
        <v>PASS</v>
      </c>
    </row>
    <row r="14" customFormat="false" ht="15" hidden="false" customHeight="true" outlineLevel="0" collapsed="false">
      <c r="B14" s="40" t="n">
        <v>5</v>
      </c>
      <c r="C14" s="9" t="s">
        <v>383</v>
      </c>
      <c r="D14" s="42" t="s">
        <v>385</v>
      </c>
      <c r="E14" s="43" t="s">
        <v>381</v>
      </c>
      <c r="F14" s="44" t="str">
        <f aca="false">IFERROR(IF(Market_Analysis!$H$25&lt;Market_Analysis!$C$14,"holds","does not hold"),"error")</f>
        <v>holds</v>
      </c>
      <c r="G14" s="9"/>
      <c r="H14" s="9"/>
      <c r="I14" s="39" t="str">
        <f aca="false">IFERROR(IF(Market_Analysis!$H$25&lt;Market_Analysis!$C$14,"PASS","FAIL"),"FAIL")</f>
        <v>PASS</v>
      </c>
    </row>
    <row r="15" customFormat="false" ht="15" hidden="false" customHeight="false" outlineLevel="0" collapsed="false">
      <c r="B15" s="40" t="n">
        <v>6</v>
      </c>
      <c r="C15" s="9" t="s">
        <v>386</v>
      </c>
      <c r="D15" s="9" t="s">
        <v>387</v>
      </c>
      <c r="E15" s="13" t="n">
        <v>60912</v>
      </c>
      <c r="F15" s="19" t="n">
        <f aca="false">Operating_Statements!$F$8</f>
        <v>60912</v>
      </c>
      <c r="G15" s="37" t="n">
        <f aca="false">IFERROR(IF(ISNUMBER(F15),F15-E15,"n/a"),"n/a")</f>
        <v>0</v>
      </c>
      <c r="H15" s="41" t="n">
        <v>0.500000001</v>
      </c>
      <c r="I15" s="39" t="str">
        <f aca="false">IFERROR(IF(ISNUMBER(F15),IF(ABS(F15-E15)&lt;=H15,"PASS","FAIL"),"FAIL"),"FAIL")</f>
        <v>PASS</v>
      </c>
    </row>
    <row r="16" customFormat="false" ht="15" hidden="false" customHeight="false" outlineLevel="0" collapsed="false">
      <c r="B16" s="40" t="n">
        <v>7</v>
      </c>
      <c r="C16" s="9" t="s">
        <v>386</v>
      </c>
      <c r="D16" s="9" t="s">
        <v>388</v>
      </c>
      <c r="E16" s="13" t="n">
        <v>60912</v>
      </c>
      <c r="F16" s="19" t="n">
        <f aca="false">Operating_Statements!$H$8</f>
        <v>60912</v>
      </c>
      <c r="G16" s="37" t="n">
        <f aca="false">IFERROR(IF(ISNUMBER(F16),F16-E16,"n/a"),"n/a")</f>
        <v>0</v>
      </c>
      <c r="H16" s="41" t="n">
        <v>0.500000001</v>
      </c>
      <c r="I16" s="39" t="str">
        <f aca="false">IFERROR(IF(ISNUMBER(F16),IF(ABS(F16-E16)&lt;=H16,"PASS","FAIL"),"FAIL"),"FAIL")</f>
        <v>PASS</v>
      </c>
    </row>
    <row r="17" customFormat="false" ht="15" hidden="false" customHeight="true" outlineLevel="0" collapsed="false">
      <c r="B17" s="40" t="n">
        <v>8</v>
      </c>
      <c r="C17" s="9" t="s">
        <v>386</v>
      </c>
      <c r="D17" s="42" t="s">
        <v>389</v>
      </c>
      <c r="E17" s="43" t="s">
        <v>381</v>
      </c>
      <c r="F17" s="44" t="str">
        <f aca="false">IFERROR(IF(AND(Operating_Statements!$F$21&lt;Operating_Statements!$D$21,Operating_Statements!$F$21&lt;Operating_Statements!$H$21),"holds","does not hold"),"error")</f>
        <v>holds</v>
      </c>
      <c r="G17" s="9"/>
      <c r="H17" s="9"/>
      <c r="I17" s="39" t="str">
        <f aca="false">IFERROR(IF(AND(Operating_Statements!$F$21&lt;Operating_Statements!$D$21,Operating_Statements!$F$21&lt;Operating_Statements!$H$21),"PASS","FAIL"),"FAIL")</f>
        <v>PASS</v>
      </c>
    </row>
    <row r="18" customFormat="false" ht="15" hidden="false" customHeight="true" outlineLevel="0" collapsed="false">
      <c r="B18" s="40" t="n">
        <v>9</v>
      </c>
      <c r="C18" s="9" t="s">
        <v>386</v>
      </c>
      <c r="D18" s="42" t="s">
        <v>390</v>
      </c>
      <c r="E18" s="43" t="s">
        <v>381</v>
      </c>
      <c r="F18" s="44" t="str">
        <f aca="false">IFERROR(IF(AND(ABS(Operating_Statements!$D$9-Operating_Statements!$D$20-Operating_Statements!$D$21)&lt;0.005,ABS(Operating_Statements!$F$9-Operating_Statements!$F$20-Operating_Statements!$F$21)&lt;0.005),"holds","does not hold"),"error")</f>
        <v>holds</v>
      </c>
      <c r="G18" s="9"/>
      <c r="H18" s="9"/>
      <c r="I18" s="39" t="str">
        <f aca="false">IFERROR(IF(AND(ABS(Operating_Statements!$D$9-Operating_Statements!$D$20-Operating_Statements!$D$21)&lt;0.005,ABS(Operating_Statements!$F$9-Operating_Statements!$F$20-Operating_Statements!$F$21)&lt;0.005),"PASS","FAIL"),"FAIL")</f>
        <v>PASS</v>
      </c>
    </row>
    <row r="19" customFormat="false" ht="15" hidden="false" customHeight="true" outlineLevel="0" collapsed="false">
      <c r="B19" s="40" t="n">
        <v>10</v>
      </c>
      <c r="C19" s="9" t="s">
        <v>391</v>
      </c>
      <c r="D19" s="42" t="s">
        <v>392</v>
      </c>
      <c r="E19" s="43" t="s">
        <v>381</v>
      </c>
      <c r="F19" s="44" t="str">
        <f aca="false">IFERROR(IF(AND(Cap_Rate!$F$27&gt;=Cap_Rate!$Q$20,Cap_Rate!$F$27&lt;=Cap_Rate!$Q$21),"holds","does not hold"),"error")</f>
        <v>holds</v>
      </c>
      <c r="G19" s="9"/>
      <c r="H19" s="9"/>
      <c r="I19" s="39" t="str">
        <f aca="false">IFERROR(IF(AND(Cap_Rate!$F$27&gt;=Cap_Rate!$Q$20,Cap_Rate!$F$27&lt;=Cap_Rate!$Q$21),"PASS","FAIL"),"FAIL")</f>
        <v>PASS</v>
      </c>
    </row>
    <row r="20" customFormat="false" ht="15" hidden="false" customHeight="true" outlineLevel="0" collapsed="false">
      <c r="B20" s="40" t="n">
        <v>11</v>
      </c>
      <c r="C20" s="9" t="s">
        <v>391</v>
      </c>
      <c r="D20" s="42" t="s">
        <v>393</v>
      </c>
      <c r="E20" s="43" t="s">
        <v>381</v>
      </c>
      <c r="F20" s="44" t="str">
        <f aca="false">IFERROR(IF(AND(Cap_Rate!Q14&lt;Cap_Rate!P14,Cap_Rate!Q15&lt;Cap_Rate!P15,Cap_Rate!Q16&lt;Cap_Rate!P16,Cap_Rate!Q17&lt;Cap_Rate!P17,Cap_Rate!Q18&lt;Cap_Rate!P18),"holds","does not hold"),"error")</f>
        <v>holds</v>
      </c>
      <c r="G20" s="9"/>
      <c r="H20" s="9"/>
      <c r="I20" s="39" t="str">
        <f aca="false">IFERROR(IF(AND(Cap_Rate!Q14&lt;Cap_Rate!P14,Cap_Rate!Q15&lt;Cap_Rate!P15,Cap_Rate!Q16&lt;Cap_Rate!P16,Cap_Rate!Q17&lt;Cap_Rate!P17,Cap_Rate!Q18&lt;Cap_Rate!P18),"PASS","FAIL"),"FAIL")</f>
        <v>PASS</v>
      </c>
    </row>
    <row r="21" customFormat="false" ht="15" hidden="false" customHeight="true" outlineLevel="0" collapsed="false">
      <c r="B21" s="40" t="n">
        <v>12</v>
      </c>
      <c r="C21" s="9" t="s">
        <v>394</v>
      </c>
      <c r="D21" s="42" t="s">
        <v>395</v>
      </c>
      <c r="E21" s="43" t="s">
        <v>381</v>
      </c>
      <c r="F21" s="44" t="str">
        <f aca="false">IFERROR(IF(ABS(Direct_Cap!$C$13-Direct_Cap!$C$12)&lt;=25000,"holds","does not hold"),"error")</f>
        <v>holds</v>
      </c>
      <c r="G21" s="9"/>
      <c r="H21" s="9"/>
      <c r="I21" s="39" t="str">
        <f aca="false">IFERROR(IF(ABS(Direct_Cap!$C$13-Direct_Cap!$C$12)&lt;=25000,"PASS","FAIL"),"FAIL")</f>
        <v>PASS</v>
      </c>
    </row>
    <row r="22" customFormat="false" ht="15" hidden="false" customHeight="true" outlineLevel="0" collapsed="false">
      <c r="B22" s="40" t="n">
        <v>13</v>
      </c>
      <c r="C22" s="9" t="s">
        <v>394</v>
      </c>
      <c r="D22" s="42" t="s">
        <v>396</v>
      </c>
      <c r="E22" s="43" t="s">
        <v>381</v>
      </c>
      <c r="F22" s="44" t="str">
        <f aca="false">IFERROR(IF(ABS(Direct_Cap!C19-Direct_Cap!$C$12)&lt;0.005,"holds","does not hold"),"error")</f>
        <v>holds</v>
      </c>
      <c r="G22" s="9"/>
      <c r="H22" s="9"/>
      <c r="I22" s="39" t="str">
        <f aca="false">IFERROR(IF(ABS(Direct_Cap!C19-Direct_Cap!$C$12)&lt;0.005,"PASS","FAIL"),"FAIL")</f>
        <v>PASS</v>
      </c>
    </row>
    <row r="23" customFormat="false" ht="15" hidden="false" customHeight="false" outlineLevel="0" collapsed="false">
      <c r="B23" s="40" t="n">
        <v>14</v>
      </c>
      <c r="C23" s="9" t="s">
        <v>397</v>
      </c>
      <c r="D23" s="9" t="s">
        <v>398</v>
      </c>
      <c r="E23" s="13" t="n">
        <v>12021083</v>
      </c>
      <c r="F23" s="19" t="n">
        <f aca="false">DCF!$C$36</f>
        <v>12021082.6524638</v>
      </c>
      <c r="G23" s="37" t="n">
        <f aca="false">IFERROR(IF(ISNUMBER(F23),F23-E23,"n/a"),"n/a")</f>
        <v>-0.347536243498325</v>
      </c>
      <c r="H23" s="41" t="n">
        <v>0.500000001</v>
      </c>
      <c r="I23" s="39" t="str">
        <f aca="false">IFERROR(IF(ISNUMBER(F23),IF(ABS(F23-E23)&lt;=H23,"PASS","FAIL"),"FAIL"),"FAIL")</f>
        <v>PASS</v>
      </c>
    </row>
    <row r="24" customFormat="false" ht="15" hidden="false" customHeight="true" outlineLevel="0" collapsed="false">
      <c r="B24" s="40" t="n">
        <v>15</v>
      </c>
      <c r="C24" s="9" t="s">
        <v>397</v>
      </c>
      <c r="D24" s="42" t="s">
        <v>399</v>
      </c>
      <c r="E24" s="43" t="s">
        <v>381</v>
      </c>
      <c r="F24" s="44" t="str">
        <f aca="false">IFERROR(IF(DCF!$C$24&lt;Operating_Statements!$F$21,"holds","does not hold"),"error")</f>
        <v>holds</v>
      </c>
      <c r="G24" s="9"/>
      <c r="H24" s="9"/>
      <c r="I24" s="39" t="str">
        <f aca="false">IFERROR(IF(DCF!$C$24&lt;Operating_Statements!$F$21,"PASS","FAIL"),"FAIL")</f>
        <v>PASS</v>
      </c>
    </row>
    <row r="25" customFormat="false" ht="15" hidden="false" customHeight="true" outlineLevel="0" collapsed="false">
      <c r="B25" s="40" t="n">
        <v>16</v>
      </c>
      <c r="C25" s="9" t="s">
        <v>397</v>
      </c>
      <c r="D25" s="42" t="s">
        <v>400</v>
      </c>
      <c r="E25" s="43" t="s">
        <v>381</v>
      </c>
      <c r="F25" s="44" t="str">
        <f aca="false">IFERROR(IF(ABS(DCF!$C$35+DCF!$C$34-DCF!$C$36)&lt;0.005,"holds","does not hold"),"error")</f>
        <v>holds</v>
      </c>
      <c r="G25" s="9"/>
      <c r="H25" s="9"/>
      <c r="I25" s="39" t="str">
        <f aca="false">IFERROR(IF(ABS(DCF!$C$35+DCF!$C$34-DCF!$C$36)&lt;0.005,"PASS","FAIL"),"FAIL")</f>
        <v>PASS</v>
      </c>
    </row>
    <row r="26" customFormat="false" ht="15" hidden="false" customHeight="true" outlineLevel="0" collapsed="false">
      <c r="B26" s="40" t="n">
        <v>17</v>
      </c>
      <c r="C26" s="9" t="s">
        <v>397</v>
      </c>
      <c r="D26" s="42" t="s">
        <v>401</v>
      </c>
      <c r="E26" s="43" t="s">
        <v>381</v>
      </c>
      <c r="F26" s="44" t="str">
        <f aca="false">IFERROR(IF(AND(DCF!$C$44&gt;=MIN(Direct_Cap!$C$13,DCF!$C$41),DCF!$C$44&lt;=MAX(Direct_Cap!$C$13,DCF!$C$41)),"holds","does not hold"),"error")</f>
        <v>holds</v>
      </c>
      <c r="G26" s="9"/>
      <c r="H26" s="9"/>
      <c r="I26" s="39" t="str">
        <f aca="false">IFERROR(IF(AND(DCF!$C$44&gt;=MIN(Direct_Cap!$C$13,DCF!$C$41),DCF!$C$44&lt;=MAX(Direct_Cap!$C$13,DCF!$C$41)),"PASS","FAIL"),"FAIL")</f>
        <v>PASS</v>
      </c>
    </row>
    <row r="27" customFormat="false" ht="30" hidden="false" customHeight="true" outlineLevel="0" collapsed="false">
      <c r="B27" s="40" t="n">
        <v>18</v>
      </c>
      <c r="C27" s="9" t="s">
        <v>402</v>
      </c>
      <c r="D27" s="42" t="s">
        <v>403</v>
      </c>
      <c r="E27" s="43" t="s">
        <v>381</v>
      </c>
      <c r="F27" s="44" t="str">
        <f aca="false">IFERROR(IF(AND(Lending!$C$17&lt;=MIN(Lending!$C$15,Lending!$C$16)+0.005,Lending!$C$24&gt;=Lending!$C$7-0.000001),"holds","does not hold"),"error")</f>
        <v>holds</v>
      </c>
      <c r="G27" s="9"/>
      <c r="H27" s="9"/>
      <c r="I27" s="39" t="str">
        <f aca="false">IFERROR(IF(AND(Lending!$C$17&lt;=MIN(Lending!$C$15,Lending!$C$16)+0.005,Lending!$C$24&gt;=Lending!$C$7-0.000001),"PASS","FAIL"),"FAIL")</f>
        <v>PASS</v>
      </c>
    </row>
    <row r="28" customFormat="false" ht="30" hidden="false" customHeight="true" outlineLevel="0" collapsed="false">
      <c r="B28" s="40" t="n">
        <v>19</v>
      </c>
      <c r="C28" s="9" t="s">
        <v>402</v>
      </c>
      <c r="D28" s="42" t="s">
        <v>404</v>
      </c>
      <c r="E28" s="43" t="s">
        <v>381</v>
      </c>
      <c r="F28" s="44" t="str">
        <f aca="false">IFERROR(IF(AND(Lending!$C$33&lt;Lending!$C$41,Lending!$C$41&lt;Lending!$C$39),"holds","does not hold"),"error")</f>
        <v>holds</v>
      </c>
      <c r="G28" s="9"/>
      <c r="H28" s="9"/>
      <c r="I28" s="39" t="str">
        <f aca="false">IFERROR(IF(AND(Lending!$C$33&lt;Lending!$C$41,Lending!$C$41&lt;Lending!$C$39),"PASS","FAIL"),"FAIL")</f>
        <v>PASS</v>
      </c>
    </row>
    <row r="29" customFormat="false" ht="15" hidden="false" customHeight="true" outlineLevel="0" collapsed="false">
      <c r="B29" s="40" t="n">
        <v>20</v>
      </c>
      <c r="C29" s="9" t="s">
        <v>405</v>
      </c>
      <c r="D29" s="42" t="s">
        <v>406</v>
      </c>
      <c r="E29" s="43" t="s">
        <v>381</v>
      </c>
      <c r="F29" s="44" t="str">
        <f aca="false">IFERROR(IF(AND(Review!$C$8&gt;0,Review!$C$13&gt;0,Review!$C$19&gt;0,Review!$C$50&gt;0,Review!$C$81&gt;0),"holds","does not hold"),"error")</f>
        <v>holds</v>
      </c>
      <c r="G29" s="9"/>
      <c r="H29" s="9"/>
      <c r="I29" s="39" t="str">
        <f aca="false">IFERROR(IF(AND(Review!$C$8&gt;0,Review!$C$13&gt;0,Review!$C$19&gt;0,Review!$C$50&gt;0,Review!$C$81&gt;0),"PASS","FAIL"),"FAIL")</f>
        <v>PASS</v>
      </c>
    </row>
    <row r="30" customFormat="false" ht="15" hidden="false" customHeight="true" outlineLevel="0" collapsed="false">
      <c r="B30" s="40" t="n">
        <v>21</v>
      </c>
      <c r="C30" s="9" t="s">
        <v>405</v>
      </c>
      <c r="D30" s="42" t="s">
        <v>407</v>
      </c>
      <c r="E30" s="43" t="s">
        <v>381</v>
      </c>
      <c r="F30" s="44" t="str">
        <f aca="false">IFERROR(IF(ABS(Review!$M$65-DCF!$M$24)&lt;0.005,"holds","does not hold"),"error")</f>
        <v>holds</v>
      </c>
      <c r="G30" s="9"/>
      <c r="H30" s="9"/>
      <c r="I30" s="39" t="str">
        <f aca="false">IFERROR(IF(ABS(Review!$M$65-DCF!$M$24)&lt;0.005,"PASS","FAIL"),"FAIL")</f>
        <v>PASS</v>
      </c>
    </row>
    <row r="31" customFormat="false" ht="15" hidden="false" customHeight="false" outlineLevel="0" collapsed="false">
      <c r="B31" s="40" t="n">
        <v>22</v>
      </c>
      <c r="C31" s="9" t="s">
        <v>378</v>
      </c>
      <c r="D31" s="9" t="s">
        <v>408</v>
      </c>
      <c r="E31" s="13" t="n">
        <v>72</v>
      </c>
      <c r="F31" s="19" t="n">
        <f aca="false">Assumptions!$C$6</f>
        <v>72</v>
      </c>
      <c r="G31" s="37" t="n">
        <f aca="false">IFERROR(IF(ISNUMBER(F31),F31-E31,"n/a"),"n/a")</f>
        <v>0</v>
      </c>
      <c r="H31" s="41" t="n">
        <v>0.500000001</v>
      </c>
      <c r="I31" s="39" t="str">
        <f aca="false">IFERROR(IF(ISNUMBER(F31),IF(ABS(F31-E31)&lt;=H31,"PASS","FAIL"),"FAIL"),"FAIL")</f>
        <v>PASS</v>
      </c>
    </row>
    <row r="32" customFormat="false" ht="15" hidden="false" customHeight="false" outlineLevel="0" collapsed="false">
      <c r="B32" s="40" t="n">
        <v>23</v>
      </c>
      <c r="C32" s="9" t="s">
        <v>378</v>
      </c>
      <c r="D32" s="9" t="s">
        <v>409</v>
      </c>
      <c r="E32" s="13" t="n">
        <v>1999</v>
      </c>
      <c r="F32" s="19" t="n">
        <f aca="false">Assumptions!$C$7</f>
        <v>1999</v>
      </c>
      <c r="G32" s="37" t="n">
        <f aca="false">IFERROR(IF(ISNUMBER(F32),F32-E32,"n/a"),"n/a")</f>
        <v>0</v>
      </c>
      <c r="H32" s="41" t="n">
        <v>0.500000001</v>
      </c>
      <c r="I32" s="39" t="str">
        <f aca="false">IFERROR(IF(ISNUMBER(F32),IF(ABS(F32-E32)&lt;=H32,"PASS","FAIL"),"FAIL"),"FAIL")</f>
        <v>PASS</v>
      </c>
    </row>
    <row r="33" customFormat="false" ht="15" hidden="false" customHeight="false" outlineLevel="0" collapsed="false">
      <c r="B33" s="40" t="n">
        <v>24</v>
      </c>
      <c r="C33" s="9" t="s">
        <v>378</v>
      </c>
      <c r="D33" s="9" t="s">
        <v>410</v>
      </c>
      <c r="E33" s="13" t="n">
        <v>27</v>
      </c>
      <c r="F33" s="19" t="n">
        <f aca="false">Assumptions!$C$9</f>
        <v>27</v>
      </c>
      <c r="G33" s="37" t="n">
        <f aca="false">IFERROR(IF(ISNUMBER(F33),F33-E33,"n/a"),"n/a")</f>
        <v>0</v>
      </c>
      <c r="H33" s="41" t="n">
        <v>0.500000001</v>
      </c>
      <c r="I33" s="39" t="str">
        <f aca="false">IFERROR(IF(ISNUMBER(F33),IF(ABS(F33-E33)&lt;=H33,"PASS","FAIL"),"FAIL"),"FAIL")</f>
        <v>PASS</v>
      </c>
    </row>
    <row r="34" customFormat="false" ht="15" hidden="false" customHeight="false" outlineLevel="0" collapsed="false">
      <c r="B34" s="40" t="n">
        <v>25</v>
      </c>
      <c r="C34" s="9" t="s">
        <v>378</v>
      </c>
      <c r="D34" s="9" t="s">
        <v>411</v>
      </c>
      <c r="E34" s="12" t="n">
        <v>4.2</v>
      </c>
      <c r="F34" s="45" t="n">
        <f aca="false">Assumptions!$C$10</f>
        <v>4.2</v>
      </c>
      <c r="G34" s="37" t="n">
        <f aca="false">IFERROR(IF(ISNUMBER(F34),F34-E34,"n/a"),"n/a")</f>
        <v>0</v>
      </c>
      <c r="H34" s="41" t="n">
        <v>0.005000001</v>
      </c>
      <c r="I34" s="39" t="str">
        <f aca="false">IFERROR(IF(ISNUMBER(F34),IF(ABS(F34-E34)&lt;=H34,"PASS","FAIL"),"FAIL"),"FAIL")</f>
        <v>PASS</v>
      </c>
    </row>
    <row r="35" customFormat="false" ht="15" hidden="false" customHeight="false" outlineLevel="0" collapsed="false">
      <c r="B35" s="40" t="n">
        <v>26</v>
      </c>
      <c r="C35" s="9" t="s">
        <v>378</v>
      </c>
      <c r="D35" s="9" t="s">
        <v>412</v>
      </c>
      <c r="E35" s="13" t="n">
        <v>182952</v>
      </c>
      <c r="F35" s="19" t="n">
        <f aca="false">Assumptions!$C$11</f>
        <v>182952</v>
      </c>
      <c r="G35" s="37" t="n">
        <f aca="false">IFERROR(IF(ISNUMBER(F35),F35-E35,"n/a"),"n/a")</f>
        <v>0</v>
      </c>
      <c r="H35" s="41" t="n">
        <v>0.500000001</v>
      </c>
      <c r="I35" s="39" t="str">
        <f aca="false">IFERROR(IF(ISNUMBER(F35),IF(ABS(F35-E35)&lt;=H35,"PASS","FAIL"),"FAIL"),"FAIL")</f>
        <v>PASS</v>
      </c>
    </row>
    <row r="36" customFormat="false" ht="15" hidden="false" customHeight="false" outlineLevel="0" collapsed="false">
      <c r="B36" s="40" t="n">
        <v>27</v>
      </c>
      <c r="C36" s="9" t="s">
        <v>378</v>
      </c>
      <c r="D36" s="9" t="s">
        <v>413</v>
      </c>
      <c r="E36" s="13" t="n">
        <v>20</v>
      </c>
      <c r="F36" s="19" t="n">
        <f aca="false">Assumptions!$C$12</f>
        <v>20</v>
      </c>
      <c r="G36" s="37" t="n">
        <f aca="false">IFERROR(IF(ISNUMBER(F36),F36-E36,"n/a"),"n/a")</f>
        <v>0</v>
      </c>
      <c r="H36" s="41" t="n">
        <v>0.500000001</v>
      </c>
      <c r="I36" s="39" t="str">
        <f aca="false">IFERROR(IF(ISNUMBER(F36),IF(ABS(F36-E36)&lt;=H36,"PASS","FAIL"),"FAIL"),"FAIL")</f>
        <v>PASS</v>
      </c>
    </row>
    <row r="37" customFormat="false" ht="15" hidden="false" customHeight="false" outlineLevel="0" collapsed="false">
      <c r="B37" s="40" t="n">
        <v>28</v>
      </c>
      <c r="C37" s="9" t="s">
        <v>378</v>
      </c>
      <c r="D37" s="9" t="s">
        <v>414</v>
      </c>
      <c r="E37" s="13" t="n">
        <v>84</v>
      </c>
      <c r="F37" s="19" t="n">
        <f aca="false">Assumptions!$C$13</f>
        <v>84</v>
      </c>
      <c r="G37" s="37" t="n">
        <f aca="false">IFERROR(IF(ISNUMBER(F37),F37-E37,"n/a"),"n/a")</f>
        <v>0</v>
      </c>
      <c r="H37" s="41" t="n">
        <v>0.500000001</v>
      </c>
      <c r="I37" s="39" t="str">
        <f aca="false">IFERROR(IF(ISNUMBER(F37),IF(ABS(F37-E37)&lt;=H37,"PASS","FAIL"),"FAIL"),"FAIL")</f>
        <v>PASS</v>
      </c>
    </row>
    <row r="38" customFormat="false" ht="15" hidden="false" customHeight="false" outlineLevel="0" collapsed="false">
      <c r="B38" s="40" t="n">
        <v>29</v>
      </c>
      <c r="C38" s="9" t="s">
        <v>378</v>
      </c>
      <c r="D38" s="9" t="s">
        <v>415</v>
      </c>
      <c r="E38" s="13" t="n">
        <v>70400</v>
      </c>
      <c r="F38" s="19" t="n">
        <f aca="false">Assumptions!$C$14</f>
        <v>70400</v>
      </c>
      <c r="G38" s="37" t="n">
        <f aca="false">IFERROR(IF(ISNUMBER(F38),F38-E38,"n/a"),"n/a")</f>
        <v>0</v>
      </c>
      <c r="H38" s="41" t="n">
        <v>0.500000001</v>
      </c>
      <c r="I38" s="39" t="str">
        <f aca="false">IFERROR(IF(ISNUMBER(F38),IF(ABS(F38-E38)&lt;=H38,"PASS","FAIL"),"FAIL"),"FAIL")</f>
        <v>PASS</v>
      </c>
    </row>
    <row r="39" customFormat="false" ht="15" hidden="false" customHeight="false" outlineLevel="0" collapsed="false">
      <c r="B39" s="40" t="n">
        <v>30</v>
      </c>
      <c r="C39" s="9" t="s">
        <v>378</v>
      </c>
      <c r="D39" s="9" t="s">
        <v>416</v>
      </c>
      <c r="E39" s="13" t="n">
        <v>68</v>
      </c>
      <c r="F39" s="19" t="n">
        <f aca="false">Assumptions!$C$15</f>
        <v>68</v>
      </c>
      <c r="G39" s="37" t="n">
        <f aca="false">IFERROR(IF(ISNUMBER(F39),F39-E39,"n/a"),"n/a")</f>
        <v>0</v>
      </c>
      <c r="H39" s="41" t="n">
        <v>0.500000001</v>
      </c>
      <c r="I39" s="39" t="str">
        <f aca="false">IFERROR(IF(ISNUMBER(F39),IF(ABS(F39-E39)&lt;=H39,"PASS","FAIL"),"FAIL"),"FAIL")</f>
        <v>PASS</v>
      </c>
    </row>
    <row r="40" customFormat="false" ht="15" hidden="false" customHeight="false" outlineLevel="0" collapsed="false">
      <c r="B40" s="40" t="n">
        <v>31</v>
      </c>
      <c r="C40" s="9" t="s">
        <v>378</v>
      </c>
      <c r="D40" s="9" t="s">
        <v>417</v>
      </c>
      <c r="E40" s="29" t="n">
        <v>0.944</v>
      </c>
      <c r="F40" s="36" t="n">
        <f aca="false">Assumptions!$C$16</f>
        <v>0.944444444444444</v>
      </c>
      <c r="G40" s="37" t="n">
        <f aca="false">IFERROR(IF(ISNUMBER(F40),F40-E40,"n/a"),"n/a")</f>
        <v>0.000444444444444359</v>
      </c>
      <c r="H40" s="41" t="n">
        <v>0.000500001</v>
      </c>
      <c r="I40" s="39" t="str">
        <f aca="false">IFERROR(IF(ISNUMBER(F40),IF(ABS(F40-E40)&lt;=H40,"PASS","FAIL"),"FAIL"),"FAIL")</f>
        <v>PASS</v>
      </c>
    </row>
    <row r="41" customFormat="false" ht="15" hidden="false" customHeight="false" outlineLevel="0" collapsed="false">
      <c r="B41" s="40" t="n">
        <v>32</v>
      </c>
      <c r="C41" s="9" t="s">
        <v>378</v>
      </c>
      <c r="D41" s="9" t="s">
        <v>418</v>
      </c>
      <c r="E41" s="13" t="n">
        <v>4</v>
      </c>
      <c r="F41" s="19" t="n">
        <f aca="false">Assumptions!$C$17</f>
        <v>4</v>
      </c>
      <c r="G41" s="37" t="n">
        <f aca="false">IFERROR(IF(ISNUMBER(F41),F41-E41,"n/a"),"n/a")</f>
        <v>0</v>
      </c>
      <c r="H41" s="41" t="n">
        <v>0.500000001</v>
      </c>
      <c r="I41" s="39" t="str">
        <f aca="false">IFERROR(IF(ISNUMBER(F41),IF(ABS(F41-E41)&lt;=H41,"PASS","FAIL"),"FAIL"),"FAIL")</f>
        <v>PASS</v>
      </c>
    </row>
    <row r="42" customFormat="false" ht="15" hidden="false" customHeight="false" outlineLevel="0" collapsed="false">
      <c r="B42" s="40" t="n">
        <v>33</v>
      </c>
      <c r="C42" s="9" t="s">
        <v>378</v>
      </c>
      <c r="D42" s="9" t="s">
        <v>419</v>
      </c>
      <c r="E42" s="13" t="n">
        <v>24</v>
      </c>
      <c r="F42" s="19" t="n">
        <f aca="false">Assumptions!$C$21</f>
        <v>24</v>
      </c>
      <c r="G42" s="37" t="n">
        <f aca="false">IFERROR(IF(ISNUMBER(F42),F42-E42,"n/a"),"n/a")</f>
        <v>0</v>
      </c>
      <c r="H42" s="41" t="n">
        <v>0.500000001</v>
      </c>
      <c r="I42" s="39" t="str">
        <f aca="false">IFERROR(IF(ISNUMBER(F42),IF(ABS(F42-E42)&lt;=H42,"PASS","FAIL"),"FAIL"),"FAIL")</f>
        <v>PASS</v>
      </c>
    </row>
    <row r="43" customFormat="false" ht="15" hidden="false" customHeight="false" outlineLevel="0" collapsed="false">
      <c r="B43" s="40" t="n">
        <v>34</v>
      </c>
      <c r="C43" s="9" t="s">
        <v>378</v>
      </c>
      <c r="D43" s="9" t="s">
        <v>420</v>
      </c>
      <c r="E43" s="13" t="n">
        <v>700</v>
      </c>
      <c r="F43" s="19" t="n">
        <f aca="false">Assumptions!$D$21</f>
        <v>700</v>
      </c>
      <c r="G43" s="37" t="n">
        <f aca="false">IFERROR(IF(ISNUMBER(F43),F43-E43,"n/a"),"n/a")</f>
        <v>0</v>
      </c>
      <c r="H43" s="41" t="n">
        <v>0.500000001</v>
      </c>
      <c r="I43" s="39" t="str">
        <f aca="false">IFERROR(IF(ISNUMBER(F43),IF(ABS(F43-E43)&lt;=H43,"PASS","FAIL"),"FAIL"),"FAIL")</f>
        <v>PASS</v>
      </c>
    </row>
    <row r="44" customFormat="false" ht="15" hidden="false" customHeight="false" outlineLevel="0" collapsed="false">
      <c r="B44" s="40" t="n">
        <v>35</v>
      </c>
      <c r="C44" s="9" t="s">
        <v>378</v>
      </c>
      <c r="D44" s="9" t="s">
        <v>421</v>
      </c>
      <c r="E44" s="13" t="n">
        <v>1180</v>
      </c>
      <c r="F44" s="19" t="n">
        <f aca="false">Assumptions!$E$21</f>
        <v>1180</v>
      </c>
      <c r="G44" s="37" t="n">
        <f aca="false">IFERROR(IF(ISNUMBER(F44),F44-E44,"n/a"),"n/a")</f>
        <v>0</v>
      </c>
      <c r="H44" s="41" t="n">
        <v>0.500000001</v>
      </c>
      <c r="I44" s="39" t="str">
        <f aca="false">IFERROR(IF(ISNUMBER(F44),IF(ABS(F44-E44)&lt;=H44,"PASS","FAIL"),"FAIL"),"FAIL")</f>
        <v>PASS</v>
      </c>
    </row>
    <row r="45" customFormat="false" ht="15" hidden="false" customHeight="false" outlineLevel="0" collapsed="false">
      <c r="B45" s="40" t="n">
        <v>36</v>
      </c>
      <c r="C45" s="9" t="s">
        <v>378</v>
      </c>
      <c r="D45" s="9" t="s">
        <v>422</v>
      </c>
      <c r="E45" s="13" t="n">
        <v>1135</v>
      </c>
      <c r="F45" s="19" t="n">
        <f aca="false">Assumptions!$F$21</f>
        <v>1135</v>
      </c>
      <c r="G45" s="37" t="n">
        <f aca="false">IFERROR(IF(ISNUMBER(F45),F45-E45,"n/a"),"n/a")</f>
        <v>0</v>
      </c>
      <c r="H45" s="41" t="n">
        <v>0.500000001</v>
      </c>
      <c r="I45" s="39" t="str">
        <f aca="false">IFERROR(IF(ISNUMBER(F45),IF(ABS(F45-E45)&lt;=H45,"PASS","FAIL"),"FAIL"),"FAIL")</f>
        <v>PASS</v>
      </c>
    </row>
    <row r="46" customFormat="false" ht="15" hidden="false" customHeight="false" outlineLevel="0" collapsed="false">
      <c r="B46" s="40" t="n">
        <v>37</v>
      </c>
      <c r="C46" s="9" t="s">
        <v>378</v>
      </c>
      <c r="D46" s="9" t="s">
        <v>423</v>
      </c>
      <c r="E46" s="13" t="n">
        <v>45</v>
      </c>
      <c r="F46" s="19" t="n">
        <f aca="false">Assumptions!$G$21</f>
        <v>45</v>
      </c>
      <c r="G46" s="37" t="n">
        <f aca="false">IFERROR(IF(ISNUMBER(F46),F46-E46,"n/a"),"n/a")</f>
        <v>0</v>
      </c>
      <c r="H46" s="41" t="n">
        <v>0.500000001</v>
      </c>
      <c r="I46" s="39" t="str">
        <f aca="false">IFERROR(IF(ISNUMBER(F46),IF(ABS(F46-E46)&lt;=H46,"PASS","FAIL"),"FAIL"),"FAIL")</f>
        <v>PASS</v>
      </c>
    </row>
    <row r="47" customFormat="false" ht="15" hidden="false" customHeight="false" outlineLevel="0" collapsed="false">
      <c r="B47" s="40" t="n">
        <v>38</v>
      </c>
      <c r="C47" s="9" t="s">
        <v>378</v>
      </c>
      <c r="D47" s="9" t="s">
        <v>424</v>
      </c>
      <c r="E47" s="13" t="n">
        <v>339840</v>
      </c>
      <c r="F47" s="19" t="n">
        <f aca="false">Assumptions!$H$21</f>
        <v>339840</v>
      </c>
      <c r="G47" s="37" t="n">
        <f aca="false">IFERROR(IF(ISNUMBER(F47),F47-E47,"n/a"),"n/a")</f>
        <v>0</v>
      </c>
      <c r="H47" s="41" t="n">
        <v>0.500000001</v>
      </c>
      <c r="I47" s="39" t="str">
        <f aca="false">IFERROR(IF(ISNUMBER(F47),IF(ABS(F47-E47)&lt;=H47,"PASS","FAIL"),"FAIL"),"FAIL")</f>
        <v>PASS</v>
      </c>
    </row>
    <row r="48" customFormat="false" ht="15" hidden="false" customHeight="false" outlineLevel="0" collapsed="false">
      <c r="B48" s="40" t="n">
        <v>39</v>
      </c>
      <c r="C48" s="9" t="s">
        <v>378</v>
      </c>
      <c r="D48" s="9" t="s">
        <v>425</v>
      </c>
      <c r="E48" s="13" t="n">
        <v>326880</v>
      </c>
      <c r="F48" s="19" t="n">
        <f aca="false">Assumptions!$I$21</f>
        <v>326880</v>
      </c>
      <c r="G48" s="37" t="n">
        <f aca="false">IFERROR(IF(ISNUMBER(F48),F48-E48,"n/a"),"n/a")</f>
        <v>0</v>
      </c>
      <c r="H48" s="41" t="n">
        <v>0.500000001</v>
      </c>
      <c r="I48" s="39" t="str">
        <f aca="false">IFERROR(IF(ISNUMBER(F48),IF(ABS(F48-E48)&lt;=H48,"PASS","FAIL"),"FAIL"),"FAIL")</f>
        <v>PASS</v>
      </c>
    </row>
    <row r="49" customFormat="false" ht="15" hidden="false" customHeight="false" outlineLevel="0" collapsed="false">
      <c r="B49" s="40" t="n">
        <v>40</v>
      </c>
      <c r="C49" s="9" t="s">
        <v>378</v>
      </c>
      <c r="D49" s="9" t="s">
        <v>426</v>
      </c>
      <c r="E49" s="12" t="n">
        <v>1.69</v>
      </c>
      <c r="F49" s="45" t="n">
        <f aca="false">Assumptions!$J$21</f>
        <v>1.68571428571429</v>
      </c>
      <c r="G49" s="37" t="n">
        <f aca="false">IFERROR(IF(ISNUMBER(F49),F49-E49,"n/a"),"n/a")</f>
        <v>-0.00428571428571423</v>
      </c>
      <c r="H49" s="41" t="n">
        <v>0.005000001</v>
      </c>
      <c r="I49" s="39" t="str">
        <f aca="false">IFERROR(IF(ISNUMBER(F49),IF(ABS(F49-E49)&lt;=H49,"PASS","FAIL"),"FAIL"),"FAIL")</f>
        <v>PASS</v>
      </c>
    </row>
    <row r="50" customFormat="false" ht="15" hidden="false" customHeight="false" outlineLevel="0" collapsed="false">
      <c r="B50" s="40" t="n">
        <v>41</v>
      </c>
      <c r="C50" s="9" t="s">
        <v>378</v>
      </c>
      <c r="D50" s="9" t="s">
        <v>427</v>
      </c>
      <c r="E50" s="13" t="n">
        <v>40</v>
      </c>
      <c r="F50" s="19" t="n">
        <f aca="false">Assumptions!$C$22</f>
        <v>40</v>
      </c>
      <c r="G50" s="37" t="n">
        <f aca="false">IFERROR(IF(ISNUMBER(F50),F50-E50,"n/a"),"n/a")</f>
        <v>0</v>
      </c>
      <c r="H50" s="41" t="n">
        <v>0.500000001</v>
      </c>
      <c r="I50" s="39" t="str">
        <f aca="false">IFERROR(IF(ISNUMBER(F50),IF(ABS(F50-E50)&lt;=H50,"PASS","FAIL"),"FAIL"),"FAIL")</f>
        <v>PASS</v>
      </c>
    </row>
    <row r="51" customFormat="false" ht="15" hidden="false" customHeight="false" outlineLevel="0" collapsed="false">
      <c r="B51" s="40" t="n">
        <v>42</v>
      </c>
      <c r="C51" s="9" t="s">
        <v>378</v>
      </c>
      <c r="D51" s="9" t="s">
        <v>428</v>
      </c>
      <c r="E51" s="13" t="n">
        <v>950</v>
      </c>
      <c r="F51" s="19" t="n">
        <f aca="false">Assumptions!$D$22</f>
        <v>950</v>
      </c>
      <c r="G51" s="37" t="n">
        <f aca="false">IFERROR(IF(ISNUMBER(F51),F51-E51,"n/a"),"n/a")</f>
        <v>0</v>
      </c>
      <c r="H51" s="41" t="n">
        <v>0.500000001</v>
      </c>
      <c r="I51" s="39" t="str">
        <f aca="false">IFERROR(IF(ISNUMBER(F51),IF(ABS(F51-E51)&lt;=H51,"PASS","FAIL"),"FAIL"),"FAIL")</f>
        <v>PASS</v>
      </c>
    </row>
    <row r="52" customFormat="false" ht="15" hidden="false" customHeight="false" outlineLevel="0" collapsed="false">
      <c r="B52" s="40" t="n">
        <v>43</v>
      </c>
      <c r="C52" s="9" t="s">
        <v>378</v>
      </c>
      <c r="D52" s="9" t="s">
        <v>429</v>
      </c>
      <c r="E52" s="13" t="n">
        <v>1420</v>
      </c>
      <c r="F52" s="19" t="n">
        <f aca="false">Assumptions!$E$22</f>
        <v>1420</v>
      </c>
      <c r="G52" s="37" t="n">
        <f aca="false">IFERROR(IF(ISNUMBER(F52),F52-E52,"n/a"),"n/a")</f>
        <v>0</v>
      </c>
      <c r="H52" s="41" t="n">
        <v>0.500000001</v>
      </c>
      <c r="I52" s="39" t="str">
        <f aca="false">IFERROR(IF(ISNUMBER(F52),IF(ABS(F52-E52)&lt;=H52,"PASS","FAIL"),"FAIL"),"FAIL")</f>
        <v>PASS</v>
      </c>
    </row>
    <row r="53" customFormat="false" ht="15" hidden="false" customHeight="false" outlineLevel="0" collapsed="false">
      <c r="B53" s="40" t="n">
        <v>44</v>
      </c>
      <c r="C53" s="9" t="s">
        <v>378</v>
      </c>
      <c r="D53" s="9" t="s">
        <v>430</v>
      </c>
      <c r="E53" s="13" t="n">
        <v>1370</v>
      </c>
      <c r="F53" s="19" t="n">
        <f aca="false">Assumptions!$F$22</f>
        <v>1370</v>
      </c>
      <c r="G53" s="37" t="n">
        <f aca="false">IFERROR(IF(ISNUMBER(F53),F53-E53,"n/a"),"n/a")</f>
        <v>0</v>
      </c>
      <c r="H53" s="41" t="n">
        <v>0.500000001</v>
      </c>
      <c r="I53" s="39" t="str">
        <f aca="false">IFERROR(IF(ISNUMBER(F53),IF(ABS(F53-E53)&lt;=H53,"PASS","FAIL"),"FAIL"),"FAIL")</f>
        <v>PASS</v>
      </c>
    </row>
    <row r="54" customFormat="false" ht="15" hidden="false" customHeight="false" outlineLevel="0" collapsed="false">
      <c r="B54" s="40" t="n">
        <v>45</v>
      </c>
      <c r="C54" s="9" t="s">
        <v>378</v>
      </c>
      <c r="D54" s="9" t="s">
        <v>431</v>
      </c>
      <c r="E54" s="13" t="n">
        <v>50</v>
      </c>
      <c r="F54" s="19" t="n">
        <f aca="false">Assumptions!$G$22</f>
        <v>50</v>
      </c>
      <c r="G54" s="37" t="n">
        <f aca="false">IFERROR(IF(ISNUMBER(F54),F54-E54,"n/a"),"n/a")</f>
        <v>0</v>
      </c>
      <c r="H54" s="41" t="n">
        <v>0.500000001</v>
      </c>
      <c r="I54" s="39" t="str">
        <f aca="false">IFERROR(IF(ISNUMBER(F54),IF(ABS(F54-E54)&lt;=H54,"PASS","FAIL"),"FAIL"),"FAIL")</f>
        <v>PASS</v>
      </c>
    </row>
    <row r="55" customFormat="false" ht="15" hidden="false" customHeight="false" outlineLevel="0" collapsed="false">
      <c r="B55" s="40" t="n">
        <v>46</v>
      </c>
      <c r="C55" s="9" t="s">
        <v>378</v>
      </c>
      <c r="D55" s="9" t="s">
        <v>432</v>
      </c>
      <c r="E55" s="13" t="n">
        <v>681600</v>
      </c>
      <c r="F55" s="19" t="n">
        <f aca="false">Assumptions!$H$22</f>
        <v>681600</v>
      </c>
      <c r="G55" s="37" t="n">
        <f aca="false">IFERROR(IF(ISNUMBER(F55),F55-E55,"n/a"),"n/a")</f>
        <v>0</v>
      </c>
      <c r="H55" s="41" t="n">
        <v>0.500000001</v>
      </c>
      <c r="I55" s="39" t="str">
        <f aca="false">IFERROR(IF(ISNUMBER(F55),IF(ABS(F55-E55)&lt;=H55,"PASS","FAIL"),"FAIL"),"FAIL")</f>
        <v>PASS</v>
      </c>
    </row>
    <row r="56" customFormat="false" ht="15" hidden="false" customHeight="false" outlineLevel="0" collapsed="false">
      <c r="B56" s="40" t="n">
        <v>47</v>
      </c>
      <c r="C56" s="9" t="s">
        <v>378</v>
      </c>
      <c r="D56" s="9" t="s">
        <v>433</v>
      </c>
      <c r="E56" s="13" t="n">
        <v>657600</v>
      </c>
      <c r="F56" s="19" t="n">
        <f aca="false">Assumptions!$I$22</f>
        <v>657600</v>
      </c>
      <c r="G56" s="37" t="n">
        <f aca="false">IFERROR(IF(ISNUMBER(F56),F56-E56,"n/a"),"n/a")</f>
        <v>0</v>
      </c>
      <c r="H56" s="41" t="n">
        <v>0.500000001</v>
      </c>
      <c r="I56" s="39" t="str">
        <f aca="false">IFERROR(IF(ISNUMBER(F56),IF(ABS(F56-E56)&lt;=H56,"PASS","FAIL"),"FAIL"),"FAIL")</f>
        <v>PASS</v>
      </c>
    </row>
    <row r="57" customFormat="false" ht="15" hidden="false" customHeight="false" outlineLevel="0" collapsed="false">
      <c r="B57" s="40" t="n">
        <v>48</v>
      </c>
      <c r="C57" s="9" t="s">
        <v>378</v>
      </c>
      <c r="D57" s="9" t="s">
        <v>434</v>
      </c>
      <c r="E57" s="12" t="n">
        <v>1.49</v>
      </c>
      <c r="F57" s="45" t="n">
        <f aca="false">Assumptions!$J$22</f>
        <v>1.49473684210526</v>
      </c>
      <c r="G57" s="37" t="n">
        <f aca="false">IFERROR(IF(ISNUMBER(F57),F57-E57,"n/a"),"n/a")</f>
        <v>0.00473684210526315</v>
      </c>
      <c r="H57" s="41" t="n">
        <v>0.005000001</v>
      </c>
      <c r="I57" s="39" t="str">
        <f aca="false">IFERROR(IF(ISNUMBER(F57),IF(ABS(F57-E57)&lt;=H57,"PASS","FAIL"),"FAIL"),"FAIL")</f>
        <v>PASS</v>
      </c>
    </row>
    <row r="58" customFormat="false" ht="15" hidden="false" customHeight="false" outlineLevel="0" collapsed="false">
      <c r="B58" s="40" t="n">
        <v>49</v>
      </c>
      <c r="C58" s="9" t="s">
        <v>378</v>
      </c>
      <c r="D58" s="9" t="s">
        <v>435</v>
      </c>
      <c r="E58" s="13" t="n">
        <v>8</v>
      </c>
      <c r="F58" s="19" t="n">
        <f aca="false">Assumptions!$C$23</f>
        <v>8</v>
      </c>
      <c r="G58" s="37" t="n">
        <f aca="false">IFERROR(IF(ISNUMBER(F58),F58-E58,"n/a"),"n/a")</f>
        <v>0</v>
      </c>
      <c r="H58" s="41" t="n">
        <v>0.500000001</v>
      </c>
      <c r="I58" s="39" t="str">
        <f aca="false">IFERROR(IF(ISNUMBER(F58),IF(ABS(F58-E58)&lt;=H58,"PASS","FAIL"),"FAIL"),"FAIL")</f>
        <v>PASS</v>
      </c>
    </row>
    <row r="59" customFormat="false" ht="15" hidden="false" customHeight="false" outlineLevel="0" collapsed="false">
      <c r="B59" s="40" t="n">
        <v>50</v>
      </c>
      <c r="C59" s="9" t="s">
        <v>378</v>
      </c>
      <c r="D59" s="9" t="s">
        <v>436</v>
      </c>
      <c r="E59" s="13" t="n">
        <v>1150</v>
      </c>
      <c r="F59" s="19" t="n">
        <f aca="false">Assumptions!$D$23</f>
        <v>1150</v>
      </c>
      <c r="G59" s="37" t="n">
        <f aca="false">IFERROR(IF(ISNUMBER(F59),F59-E59,"n/a"),"n/a")</f>
        <v>0</v>
      </c>
      <c r="H59" s="41" t="n">
        <v>0.500000001</v>
      </c>
      <c r="I59" s="39" t="str">
        <f aca="false">IFERROR(IF(ISNUMBER(F59),IF(ABS(F59-E59)&lt;=H59,"PASS","FAIL"),"FAIL"),"FAIL")</f>
        <v>PASS</v>
      </c>
    </row>
    <row r="60" customFormat="false" ht="15" hidden="false" customHeight="false" outlineLevel="0" collapsed="false">
      <c r="B60" s="40" t="n">
        <v>51</v>
      </c>
      <c r="C60" s="9" t="s">
        <v>378</v>
      </c>
      <c r="D60" s="9" t="s">
        <v>437</v>
      </c>
      <c r="E60" s="13" t="n">
        <v>1690</v>
      </c>
      <c r="F60" s="19" t="n">
        <f aca="false">Assumptions!$E$23</f>
        <v>1690</v>
      </c>
      <c r="G60" s="37" t="n">
        <f aca="false">IFERROR(IF(ISNUMBER(F60),F60-E60,"n/a"),"n/a")</f>
        <v>0</v>
      </c>
      <c r="H60" s="41" t="n">
        <v>0.500000001</v>
      </c>
      <c r="I60" s="39" t="str">
        <f aca="false">IFERROR(IF(ISNUMBER(F60),IF(ABS(F60-E60)&lt;=H60,"PASS","FAIL"),"FAIL"),"FAIL")</f>
        <v>PASS</v>
      </c>
    </row>
    <row r="61" customFormat="false" ht="15" hidden="false" customHeight="false" outlineLevel="0" collapsed="false">
      <c r="B61" s="40" t="n">
        <v>52</v>
      </c>
      <c r="C61" s="9" t="s">
        <v>378</v>
      </c>
      <c r="D61" s="9" t="s">
        <v>438</v>
      </c>
      <c r="E61" s="13" t="n">
        <v>1640</v>
      </c>
      <c r="F61" s="19" t="n">
        <f aca="false">Assumptions!$F$23</f>
        <v>1640</v>
      </c>
      <c r="G61" s="37" t="n">
        <f aca="false">IFERROR(IF(ISNUMBER(F61),F61-E61,"n/a"),"n/a")</f>
        <v>0</v>
      </c>
      <c r="H61" s="41" t="n">
        <v>0.500000001</v>
      </c>
      <c r="I61" s="39" t="str">
        <f aca="false">IFERROR(IF(ISNUMBER(F61),IF(ABS(F61-E61)&lt;=H61,"PASS","FAIL"),"FAIL"),"FAIL")</f>
        <v>PASS</v>
      </c>
    </row>
    <row r="62" customFormat="false" ht="15" hidden="false" customHeight="false" outlineLevel="0" collapsed="false">
      <c r="B62" s="40" t="n">
        <v>53</v>
      </c>
      <c r="C62" s="9" t="s">
        <v>378</v>
      </c>
      <c r="D62" s="9" t="s">
        <v>439</v>
      </c>
      <c r="E62" s="13" t="n">
        <v>50</v>
      </c>
      <c r="F62" s="19" t="n">
        <f aca="false">Assumptions!$G$23</f>
        <v>50</v>
      </c>
      <c r="G62" s="37" t="n">
        <f aca="false">IFERROR(IF(ISNUMBER(F62),F62-E62,"n/a"),"n/a")</f>
        <v>0</v>
      </c>
      <c r="H62" s="41" t="n">
        <v>0.500000001</v>
      </c>
      <c r="I62" s="39" t="str">
        <f aca="false">IFERROR(IF(ISNUMBER(F62),IF(ABS(F62-E62)&lt;=H62,"PASS","FAIL"),"FAIL"),"FAIL")</f>
        <v>PASS</v>
      </c>
    </row>
    <row r="63" customFormat="false" ht="15" hidden="false" customHeight="false" outlineLevel="0" collapsed="false">
      <c r="B63" s="40" t="n">
        <v>54</v>
      </c>
      <c r="C63" s="9" t="s">
        <v>378</v>
      </c>
      <c r="D63" s="9" t="s">
        <v>440</v>
      </c>
      <c r="E63" s="13" t="n">
        <v>162240</v>
      </c>
      <c r="F63" s="19" t="n">
        <f aca="false">Assumptions!$H$23</f>
        <v>162240</v>
      </c>
      <c r="G63" s="37" t="n">
        <f aca="false">IFERROR(IF(ISNUMBER(F63),F63-E63,"n/a"),"n/a")</f>
        <v>0</v>
      </c>
      <c r="H63" s="41" t="n">
        <v>0.500000001</v>
      </c>
      <c r="I63" s="39" t="str">
        <f aca="false">IFERROR(IF(ISNUMBER(F63),IF(ABS(F63-E63)&lt;=H63,"PASS","FAIL"),"FAIL"),"FAIL")</f>
        <v>PASS</v>
      </c>
    </row>
    <row r="64" customFormat="false" ht="15" hidden="false" customHeight="false" outlineLevel="0" collapsed="false">
      <c r="B64" s="40" t="n">
        <v>55</v>
      </c>
      <c r="C64" s="9" t="s">
        <v>378</v>
      </c>
      <c r="D64" s="9" t="s">
        <v>441</v>
      </c>
      <c r="E64" s="13" t="n">
        <v>157440</v>
      </c>
      <c r="F64" s="19" t="n">
        <f aca="false">Assumptions!$I$23</f>
        <v>157440</v>
      </c>
      <c r="G64" s="37" t="n">
        <f aca="false">IFERROR(IF(ISNUMBER(F64),F64-E64,"n/a"),"n/a")</f>
        <v>0</v>
      </c>
      <c r="H64" s="41" t="n">
        <v>0.500000001</v>
      </c>
      <c r="I64" s="39" t="str">
        <f aca="false">IFERROR(IF(ISNUMBER(F64),IF(ABS(F64-E64)&lt;=H64,"PASS","FAIL"),"FAIL"),"FAIL")</f>
        <v>PASS</v>
      </c>
    </row>
    <row r="65" customFormat="false" ht="15" hidden="false" customHeight="false" outlineLevel="0" collapsed="false">
      <c r="B65" s="40" t="n">
        <v>56</v>
      </c>
      <c r="C65" s="9" t="s">
        <v>378</v>
      </c>
      <c r="D65" s="9" t="s">
        <v>442</v>
      </c>
      <c r="E65" s="12" t="n">
        <v>1.47</v>
      </c>
      <c r="F65" s="45" t="n">
        <f aca="false">Assumptions!$J$23</f>
        <v>1.4695652173913</v>
      </c>
      <c r="G65" s="37" t="n">
        <f aca="false">IFERROR(IF(ISNUMBER(F65),F65-E65,"n/a"),"n/a")</f>
        <v>-0.000434782608695672</v>
      </c>
      <c r="H65" s="41" t="n">
        <v>0.005000001</v>
      </c>
      <c r="I65" s="39" t="str">
        <f aca="false">IFERROR(IF(ISNUMBER(F65),IF(ABS(F65-E65)&lt;=H65,"PASS","FAIL"),"FAIL"),"FAIL")</f>
        <v>PASS</v>
      </c>
    </row>
    <row r="66" customFormat="false" ht="15" hidden="false" customHeight="false" outlineLevel="0" collapsed="false">
      <c r="B66" s="40" t="n">
        <v>57</v>
      </c>
      <c r="C66" s="9" t="s">
        <v>378</v>
      </c>
      <c r="D66" s="9" t="s">
        <v>443</v>
      </c>
      <c r="E66" s="13" t="n">
        <v>1183680</v>
      </c>
      <c r="F66" s="19" t="n">
        <f aca="false">Assumptions!$H$24</f>
        <v>1183680</v>
      </c>
      <c r="G66" s="37" t="n">
        <f aca="false">IFERROR(IF(ISNUMBER(F66),F66-E66,"n/a"),"n/a")</f>
        <v>0</v>
      </c>
      <c r="H66" s="41" t="n">
        <v>0.500000001</v>
      </c>
      <c r="I66" s="39" t="str">
        <f aca="false">IFERROR(IF(ISNUMBER(F66),IF(ABS(F66-E66)&lt;=H66,"PASS","FAIL"),"FAIL"),"FAIL")</f>
        <v>PASS</v>
      </c>
    </row>
    <row r="67" customFormat="false" ht="15" hidden="false" customHeight="false" outlineLevel="0" collapsed="false">
      <c r="B67" s="40" t="n">
        <v>58</v>
      </c>
      <c r="C67" s="9" t="s">
        <v>378</v>
      </c>
      <c r="D67" s="9" t="s">
        <v>444</v>
      </c>
      <c r="E67" s="13" t="n">
        <v>1141920</v>
      </c>
      <c r="F67" s="19" t="n">
        <f aca="false">Assumptions!$I$24</f>
        <v>1141920</v>
      </c>
      <c r="G67" s="37" t="n">
        <f aca="false">IFERROR(IF(ISNUMBER(F67),F67-E67,"n/a"),"n/a")</f>
        <v>0</v>
      </c>
      <c r="H67" s="41" t="n">
        <v>0.500000001</v>
      </c>
      <c r="I67" s="39" t="str">
        <f aca="false">IFERROR(IF(ISNUMBER(F67),IF(ABS(F67-E67)&lt;=H67,"PASS","FAIL"),"FAIL"),"FAIL")</f>
        <v>PASS</v>
      </c>
    </row>
    <row r="68" customFormat="false" ht="15" hidden="false" customHeight="false" outlineLevel="0" collapsed="false">
      <c r="B68" s="40" t="n">
        <v>59</v>
      </c>
      <c r="C68" s="9" t="s">
        <v>378</v>
      </c>
      <c r="D68" s="9" t="s">
        <v>445</v>
      </c>
      <c r="E68" s="13" t="n">
        <v>64000</v>
      </c>
      <c r="F68" s="19" t="n">
        <f aca="false">Assumptions!$C$26</f>
        <v>64000</v>
      </c>
      <c r="G68" s="37" t="n">
        <f aca="false">IFERROR(IF(ISNUMBER(F68),F68-E68,"n/a"),"n/a")</f>
        <v>0</v>
      </c>
      <c r="H68" s="41" t="n">
        <v>0.500000001</v>
      </c>
      <c r="I68" s="39" t="str">
        <f aca="false">IFERROR(IF(ISNUMBER(F68),IF(ABS(F68-E68)&lt;=H68,"PASS","FAIL"),"FAIL"),"FAIL")</f>
        <v>PASS</v>
      </c>
    </row>
    <row r="69" customFormat="false" ht="15" hidden="false" customHeight="false" outlineLevel="0" collapsed="false">
      <c r="B69" s="40" t="n">
        <v>60</v>
      </c>
      <c r="C69" s="9" t="s">
        <v>378</v>
      </c>
      <c r="D69" s="9" t="s">
        <v>446</v>
      </c>
      <c r="E69" s="13" t="n">
        <v>889</v>
      </c>
      <c r="F69" s="19" t="n">
        <f aca="false">Assumptions!$C$27</f>
        <v>888.888888888889</v>
      </c>
      <c r="G69" s="37" t="n">
        <f aca="false">IFERROR(IF(ISNUMBER(F69),F69-E69,"n/a"),"n/a")</f>
        <v>-0.111111111111086</v>
      </c>
      <c r="H69" s="41" t="n">
        <v>0.500000001</v>
      </c>
      <c r="I69" s="39" t="str">
        <f aca="false">IFERROR(IF(ISNUMBER(F69),IF(ABS(F69-E69)&lt;=H69,"PASS","FAIL"),"FAIL"),"FAIL")</f>
        <v>PASS</v>
      </c>
    </row>
    <row r="70" customFormat="false" ht="15" hidden="false" customHeight="false" outlineLevel="0" collapsed="false">
      <c r="B70" s="40" t="n">
        <v>61</v>
      </c>
      <c r="C70" s="9" t="s">
        <v>378</v>
      </c>
      <c r="D70" s="9" t="s">
        <v>447</v>
      </c>
      <c r="E70" s="13" t="n">
        <v>41760</v>
      </c>
      <c r="F70" s="19" t="n">
        <f aca="false">Assumptions!$C$28</f>
        <v>41760</v>
      </c>
      <c r="G70" s="37" t="n">
        <f aca="false">IFERROR(IF(ISNUMBER(F70),F70-E70,"n/a"),"n/a")</f>
        <v>0</v>
      </c>
      <c r="H70" s="41" t="n">
        <v>0.500000001</v>
      </c>
      <c r="I70" s="39" t="str">
        <f aca="false">IFERROR(IF(ISNUMBER(F70),IF(ABS(F70-E70)&lt;=H70,"PASS","FAIL"),"FAIL"),"FAIL")</f>
        <v>PASS</v>
      </c>
    </row>
    <row r="71" customFormat="false" ht="15" hidden="false" customHeight="false" outlineLevel="0" collapsed="false">
      <c r="B71" s="40" t="n">
        <v>62</v>
      </c>
      <c r="C71" s="9" t="s">
        <v>378</v>
      </c>
      <c r="D71" s="9" t="s">
        <v>448</v>
      </c>
      <c r="E71" s="29" t="n">
        <v>0.035</v>
      </c>
      <c r="F71" s="36" t="n">
        <f aca="false">Assumptions!$C$29</f>
        <v>0.0352798053527981</v>
      </c>
      <c r="G71" s="37" t="n">
        <f aca="false">IFERROR(IF(ISNUMBER(F71),F71-E71,"n/a"),"n/a")</f>
        <v>0.000279805352798049</v>
      </c>
      <c r="H71" s="41" t="n">
        <v>0.000500001</v>
      </c>
      <c r="I71" s="39" t="str">
        <f aca="false">IFERROR(IF(ISNUMBER(F71),IF(ABS(F71-E71)&lt;=H71,"PASS","FAIL"),"FAIL"),"FAIL")</f>
        <v>PASS</v>
      </c>
    </row>
    <row r="72" customFormat="false" ht="15" hidden="false" customHeight="false" outlineLevel="0" collapsed="false">
      <c r="B72" s="40" t="n">
        <v>63</v>
      </c>
      <c r="C72" s="9" t="s">
        <v>378</v>
      </c>
      <c r="D72" s="9" t="s">
        <v>449</v>
      </c>
      <c r="E72" s="13" t="n">
        <v>1370</v>
      </c>
      <c r="F72" s="19" t="n">
        <f aca="false">Assumptions!$C$30</f>
        <v>1370</v>
      </c>
      <c r="G72" s="37" t="n">
        <f aca="false">IFERROR(IF(ISNUMBER(F72),F72-E72,"n/a"),"n/a")</f>
        <v>0</v>
      </c>
      <c r="H72" s="41" t="n">
        <v>0.500000001</v>
      </c>
      <c r="I72" s="39" t="str">
        <f aca="false">IFERROR(IF(ISNUMBER(F72),IF(ABS(F72-E72)&lt;=H72,"PASS","FAIL"),"FAIL"),"FAIL")</f>
        <v>PASS</v>
      </c>
    </row>
    <row r="73" customFormat="false" ht="15" hidden="false" customHeight="false" outlineLevel="0" collapsed="false">
      <c r="B73" s="40" t="n">
        <v>64</v>
      </c>
      <c r="C73" s="9" t="s">
        <v>378</v>
      </c>
      <c r="D73" s="9" t="s">
        <v>450</v>
      </c>
      <c r="E73" s="13" t="n">
        <v>1322</v>
      </c>
      <c r="F73" s="19" t="n">
        <f aca="false">Assumptions!$C$31</f>
        <v>1321.66666666667</v>
      </c>
      <c r="G73" s="37" t="n">
        <f aca="false">IFERROR(IF(ISNUMBER(F73),F73-E73,"n/a"),"n/a")</f>
        <v>-0.333333333333258</v>
      </c>
      <c r="H73" s="41" t="n">
        <v>0.500000001</v>
      </c>
      <c r="I73" s="39" t="str">
        <f aca="false">IFERROR(IF(ISNUMBER(F73),IF(ABS(F73-E73)&lt;=H73,"PASS","FAIL"),"FAIL"),"FAIL")</f>
        <v>PASS</v>
      </c>
    </row>
    <row r="74" customFormat="false" ht="15" hidden="false" customHeight="false" outlineLevel="0" collapsed="false">
      <c r="B74" s="40" t="n">
        <v>65</v>
      </c>
      <c r="C74" s="9" t="s">
        <v>378</v>
      </c>
      <c r="D74" s="9" t="s">
        <v>451</v>
      </c>
      <c r="E74" s="12" t="n">
        <v>1.54</v>
      </c>
      <c r="F74" s="45" t="n">
        <f aca="false">Assumptions!$C$32</f>
        <v>1.54125</v>
      </c>
      <c r="G74" s="37" t="n">
        <f aca="false">IFERROR(IF(ISNUMBER(F74),F74-E74,"n/a"),"n/a")</f>
        <v>0.00124999999999997</v>
      </c>
      <c r="H74" s="41" t="n">
        <v>0.005000001</v>
      </c>
      <c r="I74" s="39" t="str">
        <f aca="false">IFERROR(IF(ISNUMBER(F74),IF(ABS(F74-E74)&lt;=H74,"PASS","FAIL"),"FAIL"),"FAIL")</f>
        <v>PASS</v>
      </c>
    </row>
    <row r="75" customFormat="false" ht="15" hidden="false" customHeight="false" outlineLevel="0" collapsed="false">
      <c r="B75" s="40" t="n">
        <v>66</v>
      </c>
      <c r="C75" s="9" t="s">
        <v>378</v>
      </c>
      <c r="D75" s="9" t="s">
        <v>452</v>
      </c>
      <c r="E75" s="13" t="n">
        <v>40</v>
      </c>
      <c r="F75" s="19" t="n">
        <f aca="false">Assumptions!$C$33</f>
        <v>40</v>
      </c>
      <c r="G75" s="37" t="n">
        <f aca="false">IFERROR(IF(ISNUMBER(F75),F75-E75,"n/a"),"n/a")</f>
        <v>0</v>
      </c>
      <c r="H75" s="41" t="n">
        <v>0.500000001</v>
      </c>
      <c r="I75" s="39" t="str">
        <f aca="false">IFERROR(IF(ISNUMBER(F75),IF(ABS(F75-E75)&lt;=H75,"PASS","FAIL"),"FAIL"),"FAIL")</f>
        <v>PASS</v>
      </c>
    </row>
    <row r="76" customFormat="false" ht="15" hidden="false" customHeight="false" outlineLevel="0" collapsed="false">
      <c r="B76" s="40" t="n">
        <v>67</v>
      </c>
      <c r="C76" s="9" t="s">
        <v>378</v>
      </c>
      <c r="D76" s="9" t="s">
        <v>453</v>
      </c>
      <c r="E76" s="13" t="n">
        <v>34560</v>
      </c>
      <c r="F76" s="19" t="n">
        <f aca="false">Assumptions!$C$34</f>
        <v>34560</v>
      </c>
      <c r="G76" s="37" t="n">
        <f aca="false">IFERROR(IF(ISNUMBER(F76),F76-E76,"n/a"),"n/a")</f>
        <v>0</v>
      </c>
      <c r="H76" s="41" t="n">
        <v>0.500000001</v>
      </c>
      <c r="I76" s="39" t="str">
        <f aca="false">IFERROR(IF(ISNUMBER(F76),IF(ABS(F76-E76)&lt;=H76,"PASS","FAIL"),"FAIL"),"FAIL")</f>
        <v>PASS</v>
      </c>
    </row>
    <row r="77" customFormat="false" ht="15" hidden="false" customHeight="false" outlineLevel="0" collapsed="false">
      <c r="B77" s="40" t="n">
        <v>68</v>
      </c>
      <c r="C77" s="9" t="s">
        <v>378</v>
      </c>
      <c r="D77" s="9" t="s">
        <v>454</v>
      </c>
      <c r="E77" s="13" t="n">
        <v>150000</v>
      </c>
      <c r="F77" s="19" t="n">
        <f aca="false">Assumptions!$C$35</f>
        <v>150000</v>
      </c>
      <c r="G77" s="37" t="n">
        <f aca="false">IFERROR(IF(ISNUMBER(F77),F77-E77,"n/a"),"n/a")</f>
        <v>0</v>
      </c>
      <c r="H77" s="41" t="n">
        <v>0.500000001</v>
      </c>
      <c r="I77" s="39" t="str">
        <f aca="false">IFERROR(IF(ISNUMBER(F77),IF(ABS(F77-E77)&lt;=H77,"PASS","FAIL"),"FAIL"),"FAIL")</f>
        <v>PASS</v>
      </c>
    </row>
    <row r="78" customFormat="false" ht="15" hidden="false" customHeight="false" outlineLevel="0" collapsed="false">
      <c r="B78" s="40" t="n">
        <v>69</v>
      </c>
      <c r="C78" s="9" t="s">
        <v>378</v>
      </c>
      <c r="D78" s="9" t="s">
        <v>455</v>
      </c>
      <c r="E78" s="13" t="n">
        <v>2083</v>
      </c>
      <c r="F78" s="19" t="n">
        <f aca="false">Assumptions!$C$36</f>
        <v>2083.33333333333</v>
      </c>
      <c r="G78" s="37" t="n">
        <f aca="false">IFERROR(IF(ISNUMBER(F78),F78-E78,"n/a"),"n/a")</f>
        <v>0.333333333333485</v>
      </c>
      <c r="H78" s="41" t="n">
        <v>0.500000001</v>
      </c>
      <c r="I78" s="39" t="str">
        <f aca="false">IFERROR(IF(ISNUMBER(F78),IF(ABS(F78-E78)&lt;=H78,"PASS","FAIL"),"FAIL"),"FAIL")</f>
        <v>PASS</v>
      </c>
    </row>
    <row r="79" customFormat="false" ht="15" hidden="false" customHeight="false" outlineLevel="0" collapsed="false">
      <c r="B79" s="40" t="n">
        <v>70</v>
      </c>
      <c r="C79" s="9" t="s">
        <v>378</v>
      </c>
      <c r="D79" s="9" t="s">
        <v>456</v>
      </c>
      <c r="E79" s="13" t="n">
        <v>705</v>
      </c>
      <c r="F79" s="19" t="n">
        <f aca="false">Assumptions!$E$41</f>
        <v>705</v>
      </c>
      <c r="G79" s="37" t="n">
        <f aca="false">IFERROR(IF(ISNUMBER(F79),F79-E79,"n/a"),"n/a")</f>
        <v>0</v>
      </c>
      <c r="H79" s="41" t="n">
        <v>0.500000001</v>
      </c>
      <c r="I79" s="39" t="str">
        <f aca="false">IFERROR(IF(ISNUMBER(F79),IF(ABS(F79-E79)&lt;=H79,"PASS","FAIL"),"FAIL"),"FAIL")</f>
        <v>PASS</v>
      </c>
    </row>
    <row r="80" customFormat="false" ht="15" hidden="false" customHeight="false" outlineLevel="0" collapsed="false">
      <c r="B80" s="40" t="n">
        <v>71</v>
      </c>
      <c r="C80" s="9" t="s">
        <v>378</v>
      </c>
      <c r="D80" s="9" t="s">
        <v>457</v>
      </c>
      <c r="E80" s="13" t="n">
        <v>1210</v>
      </c>
      <c r="F80" s="19" t="n">
        <f aca="false">Assumptions!$F$41</f>
        <v>1210</v>
      </c>
      <c r="G80" s="37" t="n">
        <f aca="false">IFERROR(IF(ISNUMBER(F80),F80-E80,"n/a"),"n/a")</f>
        <v>0</v>
      </c>
      <c r="H80" s="41" t="n">
        <v>0.500000001</v>
      </c>
      <c r="I80" s="39" t="str">
        <f aca="false">IFERROR(IF(ISNUMBER(F80),IF(ABS(F80-E80)&lt;=H80,"PASS","FAIL"),"FAIL"),"FAIL")</f>
        <v>PASS</v>
      </c>
    </row>
    <row r="81" customFormat="false" ht="15" hidden="false" customHeight="false" outlineLevel="0" collapsed="false">
      <c r="B81" s="40" t="n">
        <v>72</v>
      </c>
      <c r="C81" s="9" t="s">
        <v>378</v>
      </c>
      <c r="D81" s="9" t="s">
        <v>458</v>
      </c>
      <c r="E81" s="12" t="n">
        <v>1.72</v>
      </c>
      <c r="F81" s="45" t="n">
        <f aca="false">Assumptions!$G$41</f>
        <v>1.71631205673759</v>
      </c>
      <c r="G81" s="37" t="n">
        <f aca="false">IFERROR(IF(ISNUMBER(F81),F81-E81,"n/a"),"n/a")</f>
        <v>-0.00368794326241129</v>
      </c>
      <c r="H81" s="41" t="n">
        <v>0.005000001</v>
      </c>
      <c r="I81" s="39" t="str">
        <f aca="false">IFERROR(IF(ISNUMBER(F81),IF(ABS(F81-E81)&lt;=H81,"PASS","FAIL"),"FAIL"),"FAIL")</f>
        <v>PASS</v>
      </c>
    </row>
    <row r="82" customFormat="false" ht="15" hidden="false" customHeight="false" outlineLevel="0" collapsed="false">
      <c r="B82" s="40" t="n">
        <v>73</v>
      </c>
      <c r="C82" s="9" t="s">
        <v>378</v>
      </c>
      <c r="D82" s="9" t="s">
        <v>459</v>
      </c>
      <c r="E82" s="13" t="n">
        <v>690</v>
      </c>
      <c r="F82" s="19" t="n">
        <f aca="false">Assumptions!$E$42</f>
        <v>690</v>
      </c>
      <c r="G82" s="37" t="n">
        <f aca="false">IFERROR(IF(ISNUMBER(F82),F82-E82,"n/a"),"n/a")</f>
        <v>0</v>
      </c>
      <c r="H82" s="41" t="n">
        <v>0.500000001</v>
      </c>
      <c r="I82" s="39" t="str">
        <f aca="false">IFERROR(IF(ISNUMBER(F82),IF(ABS(F82-E82)&lt;=H82,"PASS","FAIL"),"FAIL"),"FAIL")</f>
        <v>PASS</v>
      </c>
    </row>
    <row r="83" customFormat="false" ht="15" hidden="false" customHeight="false" outlineLevel="0" collapsed="false">
      <c r="B83" s="40" t="n">
        <v>74</v>
      </c>
      <c r="C83" s="9" t="s">
        <v>378</v>
      </c>
      <c r="D83" s="9" t="s">
        <v>460</v>
      </c>
      <c r="E83" s="13" t="n">
        <v>1140</v>
      </c>
      <c r="F83" s="19" t="n">
        <f aca="false">Assumptions!$F$42</f>
        <v>1140</v>
      </c>
      <c r="G83" s="37" t="n">
        <f aca="false">IFERROR(IF(ISNUMBER(F83),F83-E83,"n/a"),"n/a")</f>
        <v>0</v>
      </c>
      <c r="H83" s="41" t="n">
        <v>0.500000001</v>
      </c>
      <c r="I83" s="39" t="str">
        <f aca="false">IFERROR(IF(ISNUMBER(F83),IF(ABS(F83-E83)&lt;=H83,"PASS","FAIL"),"FAIL"),"FAIL")</f>
        <v>PASS</v>
      </c>
    </row>
    <row r="84" customFormat="false" ht="15" hidden="false" customHeight="false" outlineLevel="0" collapsed="false">
      <c r="B84" s="40" t="n">
        <v>75</v>
      </c>
      <c r="C84" s="9" t="s">
        <v>378</v>
      </c>
      <c r="D84" s="9" t="s">
        <v>461</v>
      </c>
      <c r="E84" s="12" t="n">
        <v>1.65</v>
      </c>
      <c r="F84" s="45" t="n">
        <f aca="false">Assumptions!$G$42</f>
        <v>1.65217391304348</v>
      </c>
      <c r="G84" s="37" t="n">
        <f aca="false">IFERROR(IF(ISNUMBER(F84),F84-E84,"n/a"),"n/a")</f>
        <v>0.00217391304347836</v>
      </c>
      <c r="H84" s="41" t="n">
        <v>0.005000001</v>
      </c>
      <c r="I84" s="39" t="str">
        <f aca="false">IFERROR(IF(ISNUMBER(F84),IF(ABS(F84-E84)&lt;=H84,"PASS","FAIL"),"FAIL"),"FAIL")</f>
        <v>PASS</v>
      </c>
    </row>
    <row r="85" customFormat="false" ht="15" hidden="false" customHeight="false" outlineLevel="0" collapsed="false">
      <c r="B85" s="40" t="n">
        <v>76</v>
      </c>
      <c r="C85" s="9" t="s">
        <v>378</v>
      </c>
      <c r="D85" s="9" t="s">
        <v>462</v>
      </c>
      <c r="E85" s="13" t="n">
        <v>710</v>
      </c>
      <c r="F85" s="19" t="n">
        <f aca="false">Assumptions!$E$43</f>
        <v>710</v>
      </c>
      <c r="G85" s="37" t="n">
        <f aca="false">IFERROR(IF(ISNUMBER(F85),F85-E85,"n/a"),"n/a")</f>
        <v>0</v>
      </c>
      <c r="H85" s="41" t="n">
        <v>0.500000001</v>
      </c>
      <c r="I85" s="39" t="str">
        <f aca="false">IFERROR(IF(ISNUMBER(F85),IF(ABS(F85-E85)&lt;=H85,"PASS","FAIL"),"FAIL"),"FAIL")</f>
        <v>PASS</v>
      </c>
    </row>
    <row r="86" customFormat="false" ht="15" hidden="false" customHeight="false" outlineLevel="0" collapsed="false">
      <c r="B86" s="40" t="n">
        <v>77</v>
      </c>
      <c r="C86" s="9" t="s">
        <v>378</v>
      </c>
      <c r="D86" s="9" t="s">
        <v>463</v>
      </c>
      <c r="E86" s="13" t="n">
        <v>1195</v>
      </c>
      <c r="F86" s="19" t="n">
        <f aca="false">Assumptions!$F$43</f>
        <v>1195</v>
      </c>
      <c r="G86" s="37" t="n">
        <f aca="false">IFERROR(IF(ISNUMBER(F86),F86-E86,"n/a"),"n/a")</f>
        <v>0</v>
      </c>
      <c r="H86" s="41" t="n">
        <v>0.500000001</v>
      </c>
      <c r="I86" s="39" t="str">
        <f aca="false">IFERROR(IF(ISNUMBER(F86),IF(ABS(F86-E86)&lt;=H86,"PASS","FAIL"),"FAIL"),"FAIL")</f>
        <v>PASS</v>
      </c>
    </row>
    <row r="87" customFormat="false" ht="15" hidden="false" customHeight="false" outlineLevel="0" collapsed="false">
      <c r="B87" s="40" t="n">
        <v>78</v>
      </c>
      <c r="C87" s="9" t="s">
        <v>378</v>
      </c>
      <c r="D87" s="9" t="s">
        <v>464</v>
      </c>
      <c r="E87" s="12" t="n">
        <v>1.68</v>
      </c>
      <c r="F87" s="45" t="n">
        <f aca="false">Assumptions!$G$43</f>
        <v>1.6830985915493</v>
      </c>
      <c r="G87" s="37" t="n">
        <f aca="false">IFERROR(IF(ISNUMBER(F87),F87-E87,"n/a"),"n/a")</f>
        <v>0.00309859154929582</v>
      </c>
      <c r="H87" s="41" t="n">
        <v>0.005000001</v>
      </c>
      <c r="I87" s="39" t="str">
        <f aca="false">IFERROR(IF(ISNUMBER(F87),IF(ABS(F87-E87)&lt;=H87,"PASS","FAIL"),"FAIL"),"FAIL")</f>
        <v>PASS</v>
      </c>
    </row>
    <row r="88" customFormat="false" ht="15" hidden="false" customHeight="false" outlineLevel="0" collapsed="false">
      <c r="B88" s="40" t="n">
        <v>79</v>
      </c>
      <c r="C88" s="9" t="s">
        <v>378</v>
      </c>
      <c r="D88" s="9" t="s">
        <v>465</v>
      </c>
      <c r="E88" s="13" t="n">
        <v>960</v>
      </c>
      <c r="F88" s="19" t="n">
        <f aca="false">Assumptions!$E$44</f>
        <v>960</v>
      </c>
      <c r="G88" s="37" t="n">
        <f aca="false">IFERROR(IF(ISNUMBER(F88),F88-E88,"n/a"),"n/a")</f>
        <v>0</v>
      </c>
      <c r="H88" s="41" t="n">
        <v>0.500000001</v>
      </c>
      <c r="I88" s="39" t="str">
        <f aca="false">IFERROR(IF(ISNUMBER(F88),IF(ABS(F88-E88)&lt;=H88,"PASS","FAIL"),"FAIL"),"FAIL")</f>
        <v>PASS</v>
      </c>
    </row>
    <row r="89" customFormat="false" ht="15" hidden="false" customHeight="false" outlineLevel="0" collapsed="false">
      <c r="B89" s="40" t="n">
        <v>80</v>
      </c>
      <c r="C89" s="9" t="s">
        <v>378</v>
      </c>
      <c r="D89" s="9" t="s">
        <v>466</v>
      </c>
      <c r="E89" s="13" t="n">
        <v>1460</v>
      </c>
      <c r="F89" s="19" t="n">
        <f aca="false">Assumptions!$F$44</f>
        <v>1460</v>
      </c>
      <c r="G89" s="37" t="n">
        <f aca="false">IFERROR(IF(ISNUMBER(F89),F89-E89,"n/a"),"n/a")</f>
        <v>0</v>
      </c>
      <c r="H89" s="41" t="n">
        <v>0.500000001</v>
      </c>
      <c r="I89" s="39" t="str">
        <f aca="false">IFERROR(IF(ISNUMBER(F89),IF(ABS(F89-E89)&lt;=H89,"PASS","FAIL"),"FAIL"),"FAIL")</f>
        <v>PASS</v>
      </c>
    </row>
    <row r="90" customFormat="false" ht="15" hidden="false" customHeight="false" outlineLevel="0" collapsed="false">
      <c r="B90" s="40" t="n">
        <v>81</v>
      </c>
      <c r="C90" s="9" t="s">
        <v>378</v>
      </c>
      <c r="D90" s="9" t="s">
        <v>467</v>
      </c>
      <c r="E90" s="12" t="n">
        <v>1.52</v>
      </c>
      <c r="F90" s="45" t="n">
        <f aca="false">Assumptions!$G$44</f>
        <v>1.52083333333333</v>
      </c>
      <c r="G90" s="37" t="n">
        <f aca="false">IFERROR(IF(ISNUMBER(F90),F90-E90,"n/a"),"n/a")</f>
        <v>0.000833333333333242</v>
      </c>
      <c r="H90" s="41" t="n">
        <v>0.005000001</v>
      </c>
      <c r="I90" s="39" t="str">
        <f aca="false">IFERROR(IF(ISNUMBER(F90),IF(ABS(F90-E90)&lt;=H90,"PASS","FAIL"),"FAIL"),"FAIL")</f>
        <v>PASS</v>
      </c>
    </row>
    <row r="91" customFormat="false" ht="15" hidden="false" customHeight="false" outlineLevel="0" collapsed="false">
      <c r="B91" s="40" t="n">
        <v>82</v>
      </c>
      <c r="C91" s="9" t="s">
        <v>378</v>
      </c>
      <c r="D91" s="9" t="s">
        <v>468</v>
      </c>
      <c r="E91" s="13" t="n">
        <v>940</v>
      </c>
      <c r="F91" s="19" t="n">
        <f aca="false">Assumptions!$E$45</f>
        <v>940</v>
      </c>
      <c r="G91" s="37" t="n">
        <f aca="false">IFERROR(IF(ISNUMBER(F91),F91-E91,"n/a"),"n/a")</f>
        <v>0</v>
      </c>
      <c r="H91" s="41" t="n">
        <v>0.500000001</v>
      </c>
      <c r="I91" s="39" t="str">
        <f aca="false">IFERROR(IF(ISNUMBER(F91),IF(ABS(F91-E91)&lt;=H91,"PASS","FAIL"),"FAIL"),"FAIL")</f>
        <v>PASS</v>
      </c>
    </row>
    <row r="92" customFormat="false" ht="15" hidden="false" customHeight="false" outlineLevel="0" collapsed="false">
      <c r="B92" s="40" t="n">
        <v>83</v>
      </c>
      <c r="C92" s="9" t="s">
        <v>378</v>
      </c>
      <c r="D92" s="9" t="s">
        <v>469</v>
      </c>
      <c r="E92" s="13" t="n">
        <v>1375</v>
      </c>
      <c r="F92" s="19" t="n">
        <f aca="false">Assumptions!$F$45</f>
        <v>1375</v>
      </c>
      <c r="G92" s="37" t="n">
        <f aca="false">IFERROR(IF(ISNUMBER(F92),F92-E92,"n/a"),"n/a")</f>
        <v>0</v>
      </c>
      <c r="H92" s="41" t="n">
        <v>0.500000001</v>
      </c>
      <c r="I92" s="39" t="str">
        <f aca="false">IFERROR(IF(ISNUMBER(F92),IF(ABS(F92-E92)&lt;=H92,"PASS","FAIL"),"FAIL"),"FAIL")</f>
        <v>PASS</v>
      </c>
    </row>
    <row r="93" customFormat="false" ht="15" hidden="false" customHeight="false" outlineLevel="0" collapsed="false">
      <c r="B93" s="40" t="n">
        <v>84</v>
      </c>
      <c r="C93" s="9" t="s">
        <v>378</v>
      </c>
      <c r="D93" s="9" t="s">
        <v>470</v>
      </c>
      <c r="E93" s="12" t="n">
        <v>1.46</v>
      </c>
      <c r="F93" s="45" t="n">
        <f aca="false">Assumptions!$G$45</f>
        <v>1.46276595744681</v>
      </c>
      <c r="G93" s="37" t="n">
        <f aca="false">IFERROR(IF(ISNUMBER(F93),F93-E93,"n/a"),"n/a")</f>
        <v>0.00276595744680863</v>
      </c>
      <c r="H93" s="41" t="n">
        <v>0.005000001</v>
      </c>
      <c r="I93" s="39" t="str">
        <f aca="false">IFERROR(IF(ISNUMBER(F93),IF(ABS(F93-E93)&lt;=H93,"PASS","FAIL"),"FAIL"),"FAIL")</f>
        <v>PASS</v>
      </c>
    </row>
    <row r="94" customFormat="false" ht="15" hidden="false" customHeight="false" outlineLevel="0" collapsed="false">
      <c r="B94" s="40" t="n">
        <v>85</v>
      </c>
      <c r="C94" s="9" t="s">
        <v>378</v>
      </c>
      <c r="D94" s="9" t="s">
        <v>471</v>
      </c>
      <c r="E94" s="13" t="n">
        <v>945</v>
      </c>
      <c r="F94" s="19" t="n">
        <f aca="false">Assumptions!$E$46</f>
        <v>945</v>
      </c>
      <c r="G94" s="37" t="n">
        <f aca="false">IFERROR(IF(ISNUMBER(F94),F94-E94,"n/a"),"n/a")</f>
        <v>0</v>
      </c>
      <c r="H94" s="41" t="n">
        <v>0.500000001</v>
      </c>
      <c r="I94" s="39" t="str">
        <f aca="false">IFERROR(IF(ISNUMBER(F94),IF(ABS(F94-E94)&lt;=H94,"PASS","FAIL"),"FAIL"),"FAIL")</f>
        <v>PASS</v>
      </c>
    </row>
    <row r="95" customFormat="false" ht="15" hidden="false" customHeight="false" outlineLevel="0" collapsed="false">
      <c r="B95" s="40" t="n">
        <v>86</v>
      </c>
      <c r="C95" s="9" t="s">
        <v>378</v>
      </c>
      <c r="D95" s="9" t="s">
        <v>472</v>
      </c>
      <c r="E95" s="13" t="n">
        <v>1425</v>
      </c>
      <c r="F95" s="19" t="n">
        <f aca="false">Assumptions!$F$46</f>
        <v>1425</v>
      </c>
      <c r="G95" s="37" t="n">
        <f aca="false">IFERROR(IF(ISNUMBER(F95),F95-E95,"n/a"),"n/a")</f>
        <v>0</v>
      </c>
      <c r="H95" s="41" t="n">
        <v>0.500000001</v>
      </c>
      <c r="I95" s="39" t="str">
        <f aca="false">IFERROR(IF(ISNUMBER(F95),IF(ABS(F95-E95)&lt;=H95,"PASS","FAIL"),"FAIL"),"FAIL")</f>
        <v>PASS</v>
      </c>
    </row>
    <row r="96" customFormat="false" ht="15" hidden="false" customHeight="false" outlineLevel="0" collapsed="false">
      <c r="B96" s="40" t="n">
        <v>87</v>
      </c>
      <c r="C96" s="9" t="s">
        <v>378</v>
      </c>
      <c r="D96" s="9" t="s">
        <v>473</v>
      </c>
      <c r="E96" s="12" t="n">
        <v>1.51</v>
      </c>
      <c r="F96" s="45" t="n">
        <f aca="false">Assumptions!$G$46</f>
        <v>1.50793650793651</v>
      </c>
      <c r="G96" s="37" t="n">
        <f aca="false">IFERROR(IF(ISNUMBER(F96),F96-E96,"n/a"),"n/a")</f>
        <v>-0.0020634920634921</v>
      </c>
      <c r="H96" s="41" t="n">
        <v>0.005000001</v>
      </c>
      <c r="I96" s="39" t="str">
        <f aca="false">IFERROR(IF(ISNUMBER(F96),IF(ABS(F96-E96)&lt;=H96,"PASS","FAIL"),"FAIL"),"FAIL")</f>
        <v>PASS</v>
      </c>
    </row>
    <row r="97" customFormat="false" ht="15" hidden="false" customHeight="false" outlineLevel="0" collapsed="false">
      <c r="B97" s="40" t="n">
        <v>88</v>
      </c>
      <c r="C97" s="9" t="s">
        <v>378</v>
      </c>
      <c r="D97" s="9" t="s">
        <v>474</v>
      </c>
      <c r="E97" s="13" t="n">
        <v>950</v>
      </c>
      <c r="F97" s="19" t="n">
        <f aca="false">Assumptions!$E$47</f>
        <v>950</v>
      </c>
      <c r="G97" s="37" t="n">
        <f aca="false">IFERROR(IF(ISNUMBER(F97),F97-E97,"n/a"),"n/a")</f>
        <v>0</v>
      </c>
      <c r="H97" s="41" t="n">
        <v>0.500000001</v>
      </c>
      <c r="I97" s="39" t="str">
        <f aca="false">IFERROR(IF(ISNUMBER(F97),IF(ABS(F97-E97)&lt;=H97,"PASS","FAIL"),"FAIL"),"FAIL")</f>
        <v>PASS</v>
      </c>
    </row>
    <row r="98" customFormat="false" ht="15" hidden="false" customHeight="false" outlineLevel="0" collapsed="false">
      <c r="B98" s="40" t="n">
        <v>89</v>
      </c>
      <c r="C98" s="9" t="s">
        <v>378</v>
      </c>
      <c r="D98" s="9" t="s">
        <v>475</v>
      </c>
      <c r="E98" s="13" t="n">
        <v>1510</v>
      </c>
      <c r="F98" s="19" t="n">
        <f aca="false">Assumptions!$F$47</f>
        <v>1510</v>
      </c>
      <c r="G98" s="37" t="n">
        <f aca="false">IFERROR(IF(ISNUMBER(F98),F98-E98,"n/a"),"n/a")</f>
        <v>0</v>
      </c>
      <c r="H98" s="41" t="n">
        <v>0.500000001</v>
      </c>
      <c r="I98" s="39" t="str">
        <f aca="false">IFERROR(IF(ISNUMBER(F98),IF(ABS(F98-E98)&lt;=H98,"PASS","FAIL"),"FAIL"),"FAIL")</f>
        <v>PASS</v>
      </c>
    </row>
    <row r="99" customFormat="false" ht="15" hidden="false" customHeight="false" outlineLevel="0" collapsed="false">
      <c r="B99" s="40" t="n">
        <v>90</v>
      </c>
      <c r="C99" s="9" t="s">
        <v>378</v>
      </c>
      <c r="D99" s="9" t="s">
        <v>476</v>
      </c>
      <c r="E99" s="12" t="n">
        <v>1.59</v>
      </c>
      <c r="F99" s="45" t="n">
        <f aca="false">Assumptions!$G$47</f>
        <v>1.58947368421053</v>
      </c>
      <c r="G99" s="37" t="n">
        <f aca="false">IFERROR(IF(ISNUMBER(F99),F99-E99,"n/a"),"n/a")</f>
        <v>-0.000526315789473708</v>
      </c>
      <c r="H99" s="41" t="n">
        <v>0.005000001</v>
      </c>
      <c r="I99" s="39" t="str">
        <f aca="false">IFERROR(IF(ISNUMBER(F99),IF(ABS(F99-E99)&lt;=H99,"PASS","FAIL"),"FAIL"),"FAIL")</f>
        <v>PASS</v>
      </c>
    </row>
    <row r="100" customFormat="false" ht="15" hidden="false" customHeight="false" outlineLevel="0" collapsed="false">
      <c r="B100" s="40" t="n">
        <v>91</v>
      </c>
      <c r="C100" s="9" t="s">
        <v>378</v>
      </c>
      <c r="D100" s="9" t="s">
        <v>477</v>
      </c>
      <c r="E100" s="13" t="n">
        <v>1160</v>
      </c>
      <c r="F100" s="19" t="n">
        <f aca="false">Assumptions!$E$48</f>
        <v>1160</v>
      </c>
      <c r="G100" s="37" t="n">
        <f aca="false">IFERROR(IF(ISNUMBER(F100),F100-E100,"n/a"),"n/a")</f>
        <v>0</v>
      </c>
      <c r="H100" s="41" t="n">
        <v>0.500000001</v>
      </c>
      <c r="I100" s="39" t="str">
        <f aca="false">IFERROR(IF(ISNUMBER(F100),IF(ABS(F100-E100)&lt;=H100,"PASS","FAIL"),"FAIL"),"FAIL")</f>
        <v>PASS</v>
      </c>
    </row>
    <row r="101" customFormat="false" ht="15" hidden="false" customHeight="false" outlineLevel="0" collapsed="false">
      <c r="B101" s="40" t="n">
        <v>92</v>
      </c>
      <c r="C101" s="9" t="s">
        <v>378</v>
      </c>
      <c r="D101" s="9" t="s">
        <v>478</v>
      </c>
      <c r="E101" s="13" t="n">
        <v>1740</v>
      </c>
      <c r="F101" s="19" t="n">
        <f aca="false">Assumptions!$F$48</f>
        <v>1740</v>
      </c>
      <c r="G101" s="37" t="n">
        <f aca="false">IFERROR(IF(ISNUMBER(F101),F101-E101,"n/a"),"n/a")</f>
        <v>0</v>
      </c>
      <c r="H101" s="41" t="n">
        <v>0.500000001</v>
      </c>
      <c r="I101" s="39" t="str">
        <f aca="false">IFERROR(IF(ISNUMBER(F101),IF(ABS(F101-E101)&lt;=H101,"PASS","FAIL"),"FAIL"),"FAIL")</f>
        <v>PASS</v>
      </c>
    </row>
    <row r="102" customFormat="false" ht="15" hidden="false" customHeight="false" outlineLevel="0" collapsed="false">
      <c r="B102" s="40" t="n">
        <v>93</v>
      </c>
      <c r="C102" s="9" t="s">
        <v>378</v>
      </c>
      <c r="D102" s="9" t="s">
        <v>479</v>
      </c>
      <c r="E102" s="12" t="n">
        <v>1.5</v>
      </c>
      <c r="F102" s="45" t="n">
        <f aca="false">Assumptions!$G$48</f>
        <v>1.5</v>
      </c>
      <c r="G102" s="37" t="n">
        <f aca="false">IFERROR(IF(ISNUMBER(F102),F102-E102,"n/a"),"n/a")</f>
        <v>0</v>
      </c>
      <c r="H102" s="41" t="n">
        <v>0.005000001</v>
      </c>
      <c r="I102" s="39" t="str">
        <f aca="false">IFERROR(IF(ISNUMBER(F102),IF(ABS(F102-E102)&lt;=H102,"PASS","FAIL"),"FAIL"),"FAIL")</f>
        <v>PASS</v>
      </c>
    </row>
    <row r="103" customFormat="false" ht="15" hidden="false" customHeight="false" outlineLevel="0" collapsed="false">
      <c r="B103" s="40" t="n">
        <v>94</v>
      </c>
      <c r="C103" s="9" t="s">
        <v>378</v>
      </c>
      <c r="D103" s="9" t="s">
        <v>480</v>
      </c>
      <c r="E103" s="13" t="n">
        <v>1140</v>
      </c>
      <c r="F103" s="19" t="n">
        <f aca="false">Assumptions!$E$49</f>
        <v>1140</v>
      </c>
      <c r="G103" s="37" t="n">
        <f aca="false">IFERROR(IF(ISNUMBER(F103),F103-E103,"n/a"),"n/a")</f>
        <v>0</v>
      </c>
      <c r="H103" s="41" t="n">
        <v>0.500000001</v>
      </c>
      <c r="I103" s="39" t="str">
        <f aca="false">IFERROR(IF(ISNUMBER(F103),IF(ABS(F103-E103)&lt;=H103,"PASS","FAIL"),"FAIL"),"FAIL")</f>
        <v>PASS</v>
      </c>
    </row>
    <row r="104" customFormat="false" ht="15" hidden="false" customHeight="false" outlineLevel="0" collapsed="false">
      <c r="B104" s="40" t="n">
        <v>95</v>
      </c>
      <c r="C104" s="9" t="s">
        <v>378</v>
      </c>
      <c r="D104" s="9" t="s">
        <v>481</v>
      </c>
      <c r="E104" s="13" t="n">
        <v>1650</v>
      </c>
      <c r="F104" s="19" t="n">
        <f aca="false">Assumptions!$F$49</f>
        <v>1650</v>
      </c>
      <c r="G104" s="37" t="n">
        <f aca="false">IFERROR(IF(ISNUMBER(F104),F104-E104,"n/a"),"n/a")</f>
        <v>0</v>
      </c>
      <c r="H104" s="41" t="n">
        <v>0.500000001</v>
      </c>
      <c r="I104" s="39" t="str">
        <f aca="false">IFERROR(IF(ISNUMBER(F104),IF(ABS(F104-E104)&lt;=H104,"PASS","FAIL"),"FAIL"),"FAIL")</f>
        <v>PASS</v>
      </c>
    </row>
    <row r="105" customFormat="false" ht="15" hidden="false" customHeight="false" outlineLevel="0" collapsed="false">
      <c r="B105" s="40" t="n">
        <v>96</v>
      </c>
      <c r="C105" s="9" t="s">
        <v>378</v>
      </c>
      <c r="D105" s="9" t="s">
        <v>482</v>
      </c>
      <c r="E105" s="12" t="n">
        <v>1.45</v>
      </c>
      <c r="F105" s="45" t="n">
        <f aca="false">Assumptions!$G$49</f>
        <v>1.44736842105263</v>
      </c>
      <c r="G105" s="37" t="n">
        <f aca="false">IFERROR(IF(ISNUMBER(F105),F105-E105,"n/a"),"n/a")</f>
        <v>-0.00263157894736832</v>
      </c>
      <c r="H105" s="41" t="n">
        <v>0.005000001</v>
      </c>
      <c r="I105" s="39" t="str">
        <f aca="false">IFERROR(IF(ISNUMBER(F105),IF(ABS(F105-E105)&lt;=H105,"PASS","FAIL"),"FAIL"),"FAIL")</f>
        <v>PASS</v>
      </c>
    </row>
    <row r="106" customFormat="false" ht="15" hidden="false" customHeight="false" outlineLevel="0" collapsed="false">
      <c r="B106" s="40" t="n">
        <v>97</v>
      </c>
      <c r="C106" s="9" t="s">
        <v>378</v>
      </c>
      <c r="D106" s="9" t="s">
        <v>483</v>
      </c>
      <c r="E106" s="13" t="n">
        <v>1150</v>
      </c>
      <c r="F106" s="19" t="n">
        <f aca="false">Assumptions!$E$50</f>
        <v>1150</v>
      </c>
      <c r="G106" s="37" t="n">
        <f aca="false">IFERROR(IF(ISNUMBER(F106),F106-E106,"n/a"),"n/a")</f>
        <v>0</v>
      </c>
      <c r="H106" s="41" t="n">
        <v>0.500000001</v>
      </c>
      <c r="I106" s="39" t="str">
        <f aca="false">IFERROR(IF(ISNUMBER(F106),IF(ABS(F106-E106)&lt;=H106,"PASS","FAIL"),"FAIL"),"FAIL")</f>
        <v>PASS</v>
      </c>
    </row>
    <row r="107" customFormat="false" ht="15" hidden="false" customHeight="false" outlineLevel="0" collapsed="false">
      <c r="B107" s="40" t="n">
        <v>98</v>
      </c>
      <c r="C107" s="9" t="s">
        <v>378</v>
      </c>
      <c r="D107" s="9" t="s">
        <v>484</v>
      </c>
      <c r="E107" s="13" t="n">
        <v>1695</v>
      </c>
      <c r="F107" s="19" t="n">
        <f aca="false">Assumptions!$F$50</f>
        <v>1695</v>
      </c>
      <c r="G107" s="37" t="n">
        <f aca="false">IFERROR(IF(ISNUMBER(F107),F107-E107,"n/a"),"n/a")</f>
        <v>0</v>
      </c>
      <c r="H107" s="41" t="n">
        <v>0.500000001</v>
      </c>
      <c r="I107" s="39" t="str">
        <f aca="false">IFERROR(IF(ISNUMBER(F107),IF(ABS(F107-E107)&lt;=H107,"PASS","FAIL"),"FAIL"),"FAIL")</f>
        <v>PASS</v>
      </c>
    </row>
    <row r="108" customFormat="false" ht="15" hidden="false" customHeight="false" outlineLevel="0" collapsed="false">
      <c r="B108" s="40" t="n">
        <v>99</v>
      </c>
      <c r="C108" s="9" t="s">
        <v>378</v>
      </c>
      <c r="D108" s="9" t="s">
        <v>485</v>
      </c>
      <c r="E108" s="12" t="n">
        <v>1.47</v>
      </c>
      <c r="F108" s="45" t="n">
        <f aca="false">Assumptions!$G$50</f>
        <v>1.47391304347826</v>
      </c>
      <c r="G108" s="37" t="n">
        <f aca="false">IFERROR(IF(ISNUMBER(F108),F108-E108,"n/a"),"n/a")</f>
        <v>0.00391304347826083</v>
      </c>
      <c r="H108" s="41" t="n">
        <v>0.005000001</v>
      </c>
      <c r="I108" s="39" t="str">
        <f aca="false">IFERROR(IF(ISNUMBER(F108),IF(ABS(F108-E108)&lt;=H108,"PASS","FAIL"),"FAIL"),"FAIL")</f>
        <v>PASS</v>
      </c>
    </row>
    <row r="109" customFormat="false" ht="15" hidden="false" customHeight="false" outlineLevel="0" collapsed="false">
      <c r="B109" s="40" t="n">
        <v>100</v>
      </c>
      <c r="C109" s="9" t="s">
        <v>378</v>
      </c>
      <c r="D109" s="9" t="s">
        <v>486</v>
      </c>
      <c r="E109" s="13" t="n">
        <v>1140</v>
      </c>
      <c r="F109" s="19" t="n">
        <f aca="false">Assumptions!$C$52</f>
        <v>1140</v>
      </c>
      <c r="G109" s="37" t="n">
        <f aca="false">IFERROR(IF(ISNUMBER(F109),F109-E109,"n/a"),"n/a")</f>
        <v>0</v>
      </c>
      <c r="H109" s="41" t="n">
        <v>0.500000001</v>
      </c>
      <c r="I109" s="39" t="str">
        <f aca="false">IFERROR(IF(ISNUMBER(F109),IF(ABS(F109-E109)&lt;=H109,"PASS","FAIL"),"FAIL"),"FAIL")</f>
        <v>PASS</v>
      </c>
    </row>
    <row r="110" customFormat="false" ht="15" hidden="false" customHeight="false" outlineLevel="0" collapsed="false">
      <c r="B110" s="40" t="n">
        <v>101</v>
      </c>
      <c r="C110" s="9" t="s">
        <v>378</v>
      </c>
      <c r="D110" s="9" t="s">
        <v>487</v>
      </c>
      <c r="E110" s="13" t="n">
        <v>1210</v>
      </c>
      <c r="F110" s="19" t="n">
        <f aca="false">Assumptions!$C$53</f>
        <v>1210</v>
      </c>
      <c r="G110" s="37" t="n">
        <f aca="false">IFERROR(IF(ISNUMBER(F110),F110-E110,"n/a"),"n/a")</f>
        <v>0</v>
      </c>
      <c r="H110" s="41" t="n">
        <v>0.500000001</v>
      </c>
      <c r="I110" s="39" t="str">
        <f aca="false">IFERROR(IF(ISNUMBER(F110),IF(ABS(F110-E110)&lt;=H110,"PASS","FAIL"),"FAIL"),"FAIL")</f>
        <v>PASS</v>
      </c>
    </row>
    <row r="111" customFormat="false" ht="15" hidden="false" customHeight="false" outlineLevel="0" collapsed="false">
      <c r="B111" s="40" t="n">
        <v>102</v>
      </c>
      <c r="C111" s="9" t="s">
        <v>378</v>
      </c>
      <c r="D111" s="9" t="s">
        <v>488</v>
      </c>
      <c r="E111" s="13" t="n">
        <v>1375</v>
      </c>
      <c r="F111" s="19" t="n">
        <f aca="false">Assumptions!$C$54</f>
        <v>1375</v>
      </c>
      <c r="G111" s="37" t="n">
        <f aca="false">IFERROR(IF(ISNUMBER(F111),F111-E111,"n/a"),"n/a")</f>
        <v>0</v>
      </c>
      <c r="H111" s="41" t="n">
        <v>0.500000001</v>
      </c>
      <c r="I111" s="39" t="str">
        <f aca="false">IFERROR(IF(ISNUMBER(F111),IF(ABS(F111-E111)&lt;=H111,"PASS","FAIL"),"FAIL"),"FAIL")</f>
        <v>PASS</v>
      </c>
    </row>
    <row r="112" customFormat="false" ht="15" hidden="false" customHeight="false" outlineLevel="0" collapsed="false">
      <c r="B112" s="40" t="n">
        <v>103</v>
      </c>
      <c r="C112" s="9" t="s">
        <v>378</v>
      </c>
      <c r="D112" s="9" t="s">
        <v>489</v>
      </c>
      <c r="E112" s="13" t="n">
        <v>1510</v>
      </c>
      <c r="F112" s="19" t="n">
        <f aca="false">Assumptions!$C$55</f>
        <v>1510</v>
      </c>
      <c r="G112" s="37" t="n">
        <f aca="false">IFERROR(IF(ISNUMBER(F112),F112-E112,"n/a"),"n/a")</f>
        <v>0</v>
      </c>
      <c r="H112" s="41" t="n">
        <v>0.500000001</v>
      </c>
      <c r="I112" s="39" t="str">
        <f aca="false">IFERROR(IF(ISNUMBER(F112),IF(ABS(F112-E112)&lt;=H112,"PASS","FAIL"),"FAIL"),"FAIL")</f>
        <v>PASS</v>
      </c>
    </row>
    <row r="113" customFormat="false" ht="15" hidden="false" customHeight="false" outlineLevel="0" collapsed="false">
      <c r="B113" s="40" t="n">
        <v>104</v>
      </c>
      <c r="C113" s="9" t="s">
        <v>378</v>
      </c>
      <c r="D113" s="9" t="s">
        <v>490</v>
      </c>
      <c r="E113" s="13" t="n">
        <v>1650</v>
      </c>
      <c r="F113" s="19" t="n">
        <f aca="false">Assumptions!$C$56</f>
        <v>1650</v>
      </c>
      <c r="G113" s="37" t="n">
        <f aca="false">IFERROR(IF(ISNUMBER(F113),F113-E113,"n/a"),"n/a")</f>
        <v>0</v>
      </c>
      <c r="H113" s="41" t="n">
        <v>0.500000001</v>
      </c>
      <c r="I113" s="39" t="str">
        <f aca="false">IFERROR(IF(ISNUMBER(F113),IF(ABS(F113-E113)&lt;=H113,"PASS","FAIL"),"FAIL"),"FAIL")</f>
        <v>PASS</v>
      </c>
    </row>
    <row r="114" customFormat="false" ht="15" hidden="false" customHeight="false" outlineLevel="0" collapsed="false">
      <c r="B114" s="40" t="n">
        <v>105</v>
      </c>
      <c r="C114" s="9" t="s">
        <v>378</v>
      </c>
      <c r="D114" s="9" t="s">
        <v>491</v>
      </c>
      <c r="E114" s="13" t="n">
        <v>1740</v>
      </c>
      <c r="F114" s="19" t="n">
        <f aca="false">Assumptions!$C$57</f>
        <v>1740</v>
      </c>
      <c r="G114" s="37" t="n">
        <f aca="false">IFERROR(IF(ISNUMBER(F114),F114-E114,"n/a"),"n/a")</f>
        <v>0</v>
      </c>
      <c r="H114" s="41" t="n">
        <v>0.500000001</v>
      </c>
      <c r="I114" s="39" t="str">
        <f aca="false">IFERROR(IF(ISNUMBER(F114),IF(ABS(F114-E114)&lt;=H114,"PASS","FAIL"),"FAIL"),"FAIL")</f>
        <v>PASS</v>
      </c>
    </row>
    <row r="115" customFormat="false" ht="15" hidden="false" customHeight="false" outlineLevel="0" collapsed="false">
      <c r="B115" s="40" t="n">
        <v>106</v>
      </c>
      <c r="C115" s="9" t="s">
        <v>378</v>
      </c>
      <c r="D115" s="9" t="s">
        <v>492</v>
      </c>
      <c r="E115" s="29" t="n">
        <v>0.04</v>
      </c>
      <c r="F115" s="36" t="n">
        <f aca="false">Assumptions!$C$60</f>
        <v>0.04</v>
      </c>
      <c r="G115" s="37" t="n">
        <f aca="false">IFERROR(IF(ISNUMBER(F115),F115-E115,"n/a"),"n/a")</f>
        <v>0</v>
      </c>
      <c r="H115" s="41" t="n">
        <v>0.000500001</v>
      </c>
      <c r="I115" s="39" t="str">
        <f aca="false">IFERROR(IF(ISNUMBER(F115),IF(ABS(F115-E115)&lt;=H115,"PASS","FAIL"),"FAIL"),"FAIL")</f>
        <v>PASS</v>
      </c>
    </row>
    <row r="116" customFormat="false" ht="15" hidden="false" customHeight="false" outlineLevel="0" collapsed="false">
      <c r="B116" s="40" t="n">
        <v>107</v>
      </c>
      <c r="C116" s="9" t="s">
        <v>378</v>
      </c>
      <c r="D116" s="9" t="s">
        <v>493</v>
      </c>
      <c r="E116" s="29" t="n">
        <v>0.01</v>
      </c>
      <c r="F116" s="36" t="n">
        <f aca="false">Assumptions!$C$61</f>
        <v>0.01</v>
      </c>
      <c r="G116" s="37" t="n">
        <f aca="false">IFERROR(IF(ISNUMBER(F116),F116-E116,"n/a"),"n/a")</f>
        <v>0</v>
      </c>
      <c r="H116" s="41" t="n">
        <v>0.000500001</v>
      </c>
      <c r="I116" s="39" t="str">
        <f aca="false">IFERROR(IF(ISNUMBER(F116),IF(ABS(F116-E116)&lt;=H116,"PASS","FAIL"),"FAIL"),"FAIL")</f>
        <v>PASS</v>
      </c>
    </row>
    <row r="117" customFormat="false" ht="15" hidden="false" customHeight="false" outlineLevel="0" collapsed="false">
      <c r="B117" s="40" t="n">
        <v>108</v>
      </c>
      <c r="C117" s="9" t="s">
        <v>378</v>
      </c>
      <c r="D117" s="9" t="s">
        <v>494</v>
      </c>
      <c r="E117" s="29" t="n">
        <v>0.05</v>
      </c>
      <c r="F117" s="36" t="n">
        <f aca="false">Assumptions!$C$62</f>
        <v>0.05</v>
      </c>
      <c r="G117" s="37" t="n">
        <f aca="false">IFERROR(IF(ISNUMBER(F117),F117-E117,"n/a"),"n/a")</f>
        <v>0</v>
      </c>
      <c r="H117" s="41" t="n">
        <v>0.000500001</v>
      </c>
      <c r="I117" s="39" t="str">
        <f aca="false">IFERROR(IF(ISNUMBER(F117),IF(ABS(F117-E117)&lt;=H117,"PASS","FAIL"),"FAIL"),"FAIL")</f>
        <v>PASS</v>
      </c>
    </row>
    <row r="118" customFormat="false" ht="15" hidden="false" customHeight="false" outlineLevel="0" collapsed="false">
      <c r="B118" s="40" t="n">
        <v>109</v>
      </c>
      <c r="C118" s="9" t="s">
        <v>378</v>
      </c>
      <c r="D118" s="9" t="s">
        <v>495</v>
      </c>
      <c r="E118" s="13" t="n">
        <v>42000</v>
      </c>
      <c r="F118" s="19" t="n">
        <f aca="false">Assumptions!$C$63</f>
        <v>42000</v>
      </c>
      <c r="G118" s="37" t="n">
        <f aca="false">IFERROR(IF(ISNUMBER(F118),F118-E118,"n/a"),"n/a")</f>
        <v>0</v>
      </c>
      <c r="H118" s="41" t="n">
        <v>0.500000001</v>
      </c>
      <c r="I118" s="39" t="str">
        <f aca="false">IFERROR(IF(ISNUMBER(F118),IF(ABS(F118-E118)&lt;=H118,"PASS","FAIL"),"FAIL"),"FAIL")</f>
        <v>PASS</v>
      </c>
    </row>
    <row r="119" customFormat="false" ht="15" hidden="false" customHeight="false" outlineLevel="0" collapsed="false">
      <c r="B119" s="40" t="n">
        <v>110</v>
      </c>
      <c r="C119" s="9" t="s">
        <v>378</v>
      </c>
      <c r="D119" s="9" t="s">
        <v>496</v>
      </c>
      <c r="E119" s="29" t="n">
        <v>0.03</v>
      </c>
      <c r="F119" s="36" t="n">
        <f aca="false">Assumptions!$C$66</f>
        <v>0.03</v>
      </c>
      <c r="G119" s="37" t="n">
        <f aca="false">IFERROR(IF(ISNUMBER(F119),F119-E119,"n/a"),"n/a")</f>
        <v>0</v>
      </c>
      <c r="H119" s="41" t="n">
        <v>0.000500001</v>
      </c>
      <c r="I119" s="39" t="str">
        <f aca="false">IFERROR(IF(ISNUMBER(F119),IF(ABS(F119-E119)&lt;=H119,"PASS","FAIL"),"FAIL"),"FAIL")</f>
        <v>PASS</v>
      </c>
    </row>
    <row r="120" customFormat="false" ht="15" hidden="false" customHeight="false" outlineLevel="0" collapsed="false">
      <c r="B120" s="40" t="n">
        <v>111</v>
      </c>
      <c r="C120" s="9" t="s">
        <v>378</v>
      </c>
      <c r="D120" s="9" t="s">
        <v>497</v>
      </c>
      <c r="E120" s="25" t="n">
        <v>0.85</v>
      </c>
      <c r="F120" s="33" t="n">
        <f aca="false">Assumptions!$C$67</f>
        <v>0.85</v>
      </c>
      <c r="G120" s="37" t="n">
        <f aca="false">IFERROR(IF(ISNUMBER(F120),F120-E120,"n/a"),"n/a")</f>
        <v>0</v>
      </c>
      <c r="H120" s="41" t="n">
        <v>0.005000001</v>
      </c>
      <c r="I120" s="39" t="str">
        <f aca="false">IFERROR(IF(ISNUMBER(F120),IF(ABS(F120-E120)&lt;=H120,"PASS","FAIL"),"FAIL"),"FAIL")</f>
        <v>PASS</v>
      </c>
    </row>
    <row r="121" customFormat="false" ht="15" hidden="false" customHeight="false" outlineLevel="0" collapsed="false">
      <c r="B121" s="40" t="n">
        <v>112</v>
      </c>
      <c r="C121" s="9" t="s">
        <v>378</v>
      </c>
      <c r="D121" s="9" t="s">
        <v>498</v>
      </c>
      <c r="E121" s="30" t="n">
        <v>0.01015</v>
      </c>
      <c r="F121" s="46" t="n">
        <f aca="false">Assumptions!$C$68</f>
        <v>0.01015</v>
      </c>
      <c r="G121" s="37" t="n">
        <f aca="false">IFERROR(IF(ISNUMBER(F121),F121-E121,"n/a"),"n/a")</f>
        <v>0</v>
      </c>
      <c r="H121" s="41" t="n">
        <v>5.001E-006</v>
      </c>
      <c r="I121" s="39" t="str">
        <f aca="false">IFERROR(IF(ISNUMBER(F121),IF(ABS(F121-E121)&lt;=H121,"PASS","FAIL"),"FAIL"),"FAIL")</f>
        <v>PASS</v>
      </c>
    </row>
    <row r="122" customFormat="false" ht="15" hidden="false" customHeight="false" outlineLevel="0" collapsed="false">
      <c r="B122" s="40" t="n">
        <v>113</v>
      </c>
      <c r="C122" s="9" t="s">
        <v>378</v>
      </c>
      <c r="D122" s="9" t="s">
        <v>499</v>
      </c>
      <c r="E122" s="13" t="n">
        <v>96400</v>
      </c>
      <c r="F122" s="19" t="n">
        <f aca="false">Assumptions!$C$72</f>
        <v>96400</v>
      </c>
      <c r="G122" s="37" t="n">
        <f aca="false">IFERROR(IF(ISNUMBER(F122),F122-E122,"n/a"),"n/a")</f>
        <v>0</v>
      </c>
      <c r="H122" s="41" t="n">
        <v>0.500000001</v>
      </c>
      <c r="I122" s="39" t="str">
        <f aca="false">IFERROR(IF(ISNUMBER(F122),IF(ABS(F122-E122)&lt;=H122,"PASS","FAIL"),"FAIL"),"FAIL")</f>
        <v>PASS</v>
      </c>
    </row>
    <row r="123" customFormat="false" ht="15" hidden="false" customHeight="false" outlineLevel="0" collapsed="false">
      <c r="B123" s="40" t="n">
        <v>114</v>
      </c>
      <c r="C123" s="9" t="s">
        <v>378</v>
      </c>
      <c r="D123" s="9" t="s">
        <v>500</v>
      </c>
      <c r="E123" s="13" t="n">
        <v>1450</v>
      </c>
      <c r="F123" s="19" t="n">
        <f aca="false">Assumptions!$D$72</f>
        <v>1450</v>
      </c>
      <c r="G123" s="37" t="n">
        <f aca="false">IFERROR(IF(ISNUMBER(F123),F123-E123,"n/a"),"n/a")</f>
        <v>0</v>
      </c>
      <c r="H123" s="41" t="n">
        <v>0.500000001</v>
      </c>
      <c r="I123" s="39" t="str">
        <f aca="false">IFERROR(IF(ISNUMBER(F123),IF(ABS(F123-E123)&lt;=H123,"PASS","FAIL"),"FAIL"),"FAIL")</f>
        <v>PASS</v>
      </c>
    </row>
    <row r="124" customFormat="false" ht="15" hidden="false" customHeight="false" outlineLevel="0" collapsed="false">
      <c r="B124" s="40" t="n">
        <v>115</v>
      </c>
      <c r="C124" s="9" t="s">
        <v>378</v>
      </c>
      <c r="D124" s="9" t="s">
        <v>501</v>
      </c>
      <c r="E124" s="13" t="n">
        <v>1450</v>
      </c>
      <c r="F124" s="19" t="n">
        <f aca="false">Assumptions!$E$72</f>
        <v>1450</v>
      </c>
      <c r="G124" s="37" t="n">
        <f aca="false">IFERROR(IF(ISNUMBER(F124),F124-E124,"n/a"),"n/a")</f>
        <v>0</v>
      </c>
      <c r="H124" s="41" t="n">
        <v>0.500000001</v>
      </c>
      <c r="I124" s="39" t="str">
        <f aca="false">IFERROR(IF(ISNUMBER(F124),IF(ABS(F124-E124)&lt;=H124,"PASS","FAIL"),"FAIL"),"FAIL")</f>
        <v>PASS</v>
      </c>
    </row>
    <row r="125" customFormat="false" ht="15" hidden="false" customHeight="false" outlineLevel="0" collapsed="false">
      <c r="B125" s="40" t="n">
        <v>116</v>
      </c>
      <c r="C125" s="9" t="s">
        <v>378</v>
      </c>
      <c r="D125" s="9" t="s">
        <v>502</v>
      </c>
      <c r="E125" s="13" t="n">
        <v>39600</v>
      </c>
      <c r="F125" s="19" t="n">
        <f aca="false">Assumptions!$C$73</f>
        <v>39600</v>
      </c>
      <c r="G125" s="37" t="n">
        <f aca="false">IFERROR(IF(ISNUMBER(F125),F125-E125,"n/a"),"n/a")</f>
        <v>0</v>
      </c>
      <c r="H125" s="41" t="n">
        <v>0.500000001</v>
      </c>
      <c r="I125" s="39" t="str">
        <f aca="false">IFERROR(IF(ISNUMBER(F125),IF(ABS(F125-E125)&lt;=H125,"PASS","FAIL"),"FAIL"),"FAIL")</f>
        <v>PASS</v>
      </c>
    </row>
    <row r="126" customFormat="false" ht="15" hidden="false" customHeight="false" outlineLevel="0" collapsed="false">
      <c r="B126" s="40" t="n">
        <v>117</v>
      </c>
      <c r="C126" s="9" t="s">
        <v>378</v>
      </c>
      <c r="D126" s="9" t="s">
        <v>503</v>
      </c>
      <c r="E126" s="13" t="n">
        <v>650</v>
      </c>
      <c r="F126" s="19" t="n">
        <f aca="false">Assumptions!$D$73</f>
        <v>650</v>
      </c>
      <c r="G126" s="37" t="n">
        <f aca="false">IFERROR(IF(ISNUMBER(F126),F126-E126,"n/a"),"n/a")</f>
        <v>0</v>
      </c>
      <c r="H126" s="41" t="n">
        <v>0.500000001</v>
      </c>
      <c r="I126" s="39" t="str">
        <f aca="false">IFERROR(IF(ISNUMBER(F126),IF(ABS(F126-E126)&lt;=H126,"PASS","FAIL"),"FAIL"),"FAIL")</f>
        <v>PASS</v>
      </c>
    </row>
    <row r="127" customFormat="false" ht="15" hidden="false" customHeight="false" outlineLevel="0" collapsed="false">
      <c r="B127" s="40" t="n">
        <v>118</v>
      </c>
      <c r="C127" s="9" t="s">
        <v>378</v>
      </c>
      <c r="D127" s="9" t="s">
        <v>504</v>
      </c>
      <c r="E127" s="13" t="n">
        <v>600</v>
      </c>
      <c r="F127" s="19" t="n">
        <f aca="false">Assumptions!$E$73</f>
        <v>600</v>
      </c>
      <c r="G127" s="37" t="n">
        <f aca="false">IFERROR(IF(ISNUMBER(F127),F127-E127,"n/a"),"n/a")</f>
        <v>0</v>
      </c>
      <c r="H127" s="41" t="n">
        <v>0.500000001</v>
      </c>
      <c r="I127" s="39" t="str">
        <f aca="false">IFERROR(IF(ISNUMBER(F127),IF(ABS(F127-E127)&lt;=H127,"PASS","FAIL"),"FAIL"),"FAIL")</f>
        <v>PASS</v>
      </c>
    </row>
    <row r="128" customFormat="false" ht="15" hidden="false" customHeight="false" outlineLevel="0" collapsed="false">
      <c r="B128" s="40" t="n">
        <v>119</v>
      </c>
      <c r="C128" s="9" t="s">
        <v>378</v>
      </c>
      <c r="D128" s="9" t="s">
        <v>505</v>
      </c>
      <c r="E128" s="13" t="n">
        <v>61200</v>
      </c>
      <c r="F128" s="19" t="n">
        <f aca="false">Assumptions!$C$74</f>
        <v>61200</v>
      </c>
      <c r="G128" s="37" t="n">
        <f aca="false">IFERROR(IF(ISNUMBER(F128),F128-E128,"n/a"),"n/a")</f>
        <v>0</v>
      </c>
      <c r="H128" s="41" t="n">
        <v>0.500000001</v>
      </c>
      <c r="I128" s="39" t="str">
        <f aca="false">IFERROR(IF(ISNUMBER(F128),IF(ABS(F128-E128)&lt;=H128,"PASS","FAIL"),"FAIL"),"FAIL")</f>
        <v>PASS</v>
      </c>
    </row>
    <row r="129" customFormat="false" ht="15" hidden="false" customHeight="false" outlineLevel="0" collapsed="false">
      <c r="B129" s="40" t="n">
        <v>120</v>
      </c>
      <c r="C129" s="9" t="s">
        <v>378</v>
      </c>
      <c r="D129" s="9" t="s">
        <v>506</v>
      </c>
      <c r="E129" s="13" t="n">
        <v>850</v>
      </c>
      <c r="F129" s="19" t="n">
        <f aca="false">Assumptions!$D$74</f>
        <v>850</v>
      </c>
      <c r="G129" s="37" t="n">
        <f aca="false">IFERROR(IF(ISNUMBER(F129),F129-E129,"n/a"),"n/a")</f>
        <v>0</v>
      </c>
      <c r="H129" s="41" t="n">
        <v>0.500000001</v>
      </c>
      <c r="I129" s="39" t="str">
        <f aca="false">IFERROR(IF(ISNUMBER(F129),IF(ABS(F129-E129)&lt;=H129,"PASS","FAIL"),"FAIL"),"FAIL")</f>
        <v>PASS</v>
      </c>
    </row>
    <row r="130" customFormat="false" ht="15" hidden="false" customHeight="false" outlineLevel="0" collapsed="false">
      <c r="B130" s="40" t="n">
        <v>121</v>
      </c>
      <c r="C130" s="9" t="s">
        <v>378</v>
      </c>
      <c r="D130" s="9" t="s">
        <v>507</v>
      </c>
      <c r="E130" s="13" t="n">
        <v>850</v>
      </c>
      <c r="F130" s="19" t="n">
        <f aca="false">Assumptions!$E$74</f>
        <v>850</v>
      </c>
      <c r="G130" s="37" t="n">
        <f aca="false">IFERROR(IF(ISNUMBER(F130),F130-E130,"n/a"),"n/a")</f>
        <v>0</v>
      </c>
      <c r="H130" s="41" t="n">
        <v>0.500000001</v>
      </c>
      <c r="I130" s="39" t="str">
        <f aca="false">IFERROR(IF(ISNUMBER(F130),IF(ABS(F130-E130)&lt;=H130,"PASS","FAIL"),"FAIL"),"FAIL")</f>
        <v>PASS</v>
      </c>
    </row>
    <row r="131" customFormat="false" ht="15" hidden="false" customHeight="false" outlineLevel="0" collapsed="false">
      <c r="B131" s="40" t="n">
        <v>122</v>
      </c>
      <c r="C131" s="9" t="s">
        <v>378</v>
      </c>
      <c r="D131" s="9" t="s">
        <v>508</v>
      </c>
      <c r="E131" s="13" t="n">
        <v>43200</v>
      </c>
      <c r="F131" s="19" t="n">
        <f aca="false">Assumptions!$C$75</f>
        <v>43200</v>
      </c>
      <c r="G131" s="37" t="n">
        <f aca="false">IFERROR(IF(ISNUMBER(F131),F131-E131,"n/a"),"n/a")</f>
        <v>0</v>
      </c>
      <c r="H131" s="41" t="n">
        <v>0.500000001</v>
      </c>
      <c r="I131" s="39" t="str">
        <f aca="false">IFERROR(IF(ISNUMBER(F131),IF(ABS(F131-E131)&lt;=H131,"PASS","FAIL"),"FAIL"),"FAIL")</f>
        <v>PASS</v>
      </c>
    </row>
    <row r="132" customFormat="false" ht="15" hidden="false" customHeight="false" outlineLevel="0" collapsed="false">
      <c r="B132" s="40" t="n">
        <v>123</v>
      </c>
      <c r="C132" s="9" t="s">
        <v>378</v>
      </c>
      <c r="D132" s="9" t="s">
        <v>509</v>
      </c>
      <c r="E132" s="13" t="n">
        <v>750</v>
      </c>
      <c r="F132" s="19" t="n">
        <f aca="false">Assumptions!$D$75</f>
        <v>750</v>
      </c>
      <c r="G132" s="37" t="n">
        <f aca="false">IFERROR(IF(ISNUMBER(F132),F132-E132,"n/a"),"n/a")</f>
        <v>0</v>
      </c>
      <c r="H132" s="41" t="n">
        <v>0.500000001</v>
      </c>
      <c r="I132" s="39" t="str">
        <f aca="false">IFERROR(IF(ISNUMBER(F132),IF(ABS(F132-E132)&lt;=H132,"PASS","FAIL"),"FAIL"),"FAIL")</f>
        <v>PASS</v>
      </c>
    </row>
    <row r="133" customFormat="false" ht="15" hidden="false" customHeight="false" outlineLevel="0" collapsed="false">
      <c r="B133" s="40" t="n">
        <v>124</v>
      </c>
      <c r="C133" s="9" t="s">
        <v>378</v>
      </c>
      <c r="D133" s="9" t="s">
        <v>510</v>
      </c>
      <c r="E133" s="13" t="n">
        <v>750</v>
      </c>
      <c r="F133" s="19" t="n">
        <f aca="false">Assumptions!$E$75</f>
        <v>750</v>
      </c>
      <c r="G133" s="37" t="n">
        <f aca="false">IFERROR(IF(ISNUMBER(F133),F133-E133,"n/a"),"n/a")</f>
        <v>0</v>
      </c>
      <c r="H133" s="41" t="n">
        <v>0.500000001</v>
      </c>
      <c r="I133" s="39" t="str">
        <f aca="false">IFERROR(IF(ISNUMBER(F133),IF(ABS(F133-E133)&lt;=H133,"PASS","FAIL"),"FAIL"),"FAIL")</f>
        <v>PASS</v>
      </c>
    </row>
    <row r="134" customFormat="false" ht="15" hidden="false" customHeight="false" outlineLevel="0" collapsed="false">
      <c r="B134" s="40" t="n">
        <v>125</v>
      </c>
      <c r="C134" s="9" t="s">
        <v>378</v>
      </c>
      <c r="D134" s="9" t="s">
        <v>511</v>
      </c>
      <c r="E134" s="13" t="n">
        <v>82800</v>
      </c>
      <c r="F134" s="19" t="n">
        <f aca="false">Assumptions!$C$76</f>
        <v>82800</v>
      </c>
      <c r="G134" s="37" t="n">
        <f aca="false">IFERROR(IF(ISNUMBER(F134),F134-E134,"n/a"),"n/a")</f>
        <v>0</v>
      </c>
      <c r="H134" s="41" t="n">
        <v>0.500000001</v>
      </c>
      <c r="I134" s="39" t="str">
        <f aca="false">IFERROR(IF(ISNUMBER(F134),IF(ABS(F134-E134)&lt;=H134,"PASS","FAIL"),"FAIL"),"FAIL")</f>
        <v>PASS</v>
      </c>
    </row>
    <row r="135" customFormat="false" ht="15" hidden="false" customHeight="false" outlineLevel="0" collapsed="false">
      <c r="B135" s="40" t="n">
        <v>126</v>
      </c>
      <c r="C135" s="9" t="s">
        <v>378</v>
      </c>
      <c r="D135" s="9" t="s">
        <v>512</v>
      </c>
      <c r="E135" s="13" t="n">
        <v>1200</v>
      </c>
      <c r="F135" s="19" t="n">
        <f aca="false">Assumptions!$D$76</f>
        <v>1200</v>
      </c>
      <c r="G135" s="37" t="n">
        <f aca="false">IFERROR(IF(ISNUMBER(F135),F135-E135,"n/a"),"n/a")</f>
        <v>0</v>
      </c>
      <c r="H135" s="41" t="n">
        <v>0.500000001</v>
      </c>
      <c r="I135" s="39" t="str">
        <f aca="false">IFERROR(IF(ISNUMBER(F135),IF(ABS(F135-E135)&lt;=H135,"PASS","FAIL"),"FAIL"),"FAIL")</f>
        <v>PASS</v>
      </c>
    </row>
    <row r="136" customFormat="false" ht="15" hidden="false" customHeight="false" outlineLevel="0" collapsed="false">
      <c r="B136" s="40" t="n">
        <v>127</v>
      </c>
      <c r="C136" s="9" t="s">
        <v>378</v>
      </c>
      <c r="D136" s="9" t="s">
        <v>513</v>
      </c>
      <c r="E136" s="13" t="n">
        <v>1200</v>
      </c>
      <c r="F136" s="19" t="n">
        <f aca="false">Assumptions!$E$76</f>
        <v>1200</v>
      </c>
      <c r="G136" s="37" t="n">
        <f aca="false">IFERROR(IF(ISNUMBER(F136),F136-E136,"n/a"),"n/a")</f>
        <v>0</v>
      </c>
      <c r="H136" s="41" t="n">
        <v>0.500000001</v>
      </c>
      <c r="I136" s="39" t="str">
        <f aca="false">IFERROR(IF(ISNUMBER(F136),IF(ABS(F136-E136)&lt;=H136,"PASS","FAIL"),"FAIL"),"FAIL")</f>
        <v>PASS</v>
      </c>
    </row>
    <row r="137" customFormat="false" ht="15" hidden="false" customHeight="false" outlineLevel="0" collapsed="false">
      <c r="B137" s="40" t="n">
        <v>128</v>
      </c>
      <c r="C137" s="9" t="s">
        <v>378</v>
      </c>
      <c r="D137" s="9" t="s">
        <v>514</v>
      </c>
      <c r="E137" s="13" t="n">
        <v>18000</v>
      </c>
      <c r="F137" s="19" t="n">
        <f aca="false">Assumptions!$C$77</f>
        <v>18000</v>
      </c>
      <c r="G137" s="37" t="n">
        <f aca="false">IFERROR(IF(ISNUMBER(F137),F137-E137,"n/a"),"n/a")</f>
        <v>0</v>
      </c>
      <c r="H137" s="41" t="n">
        <v>0.500000001</v>
      </c>
      <c r="I137" s="39" t="str">
        <f aca="false">IFERROR(IF(ISNUMBER(F137),IF(ABS(F137-E137)&lt;=H137,"PASS","FAIL"),"FAIL"),"FAIL")</f>
        <v>PASS</v>
      </c>
    </row>
    <row r="138" customFormat="false" ht="15" hidden="false" customHeight="false" outlineLevel="0" collapsed="false">
      <c r="B138" s="40" t="n">
        <v>129</v>
      </c>
      <c r="C138" s="9" t="s">
        <v>378</v>
      </c>
      <c r="D138" s="9" t="s">
        <v>515</v>
      </c>
      <c r="E138" s="13" t="n">
        <v>300</v>
      </c>
      <c r="F138" s="19" t="n">
        <f aca="false">Assumptions!$D$77</f>
        <v>300</v>
      </c>
      <c r="G138" s="37" t="n">
        <f aca="false">IFERROR(IF(ISNUMBER(F138),F138-E138,"n/a"),"n/a")</f>
        <v>0</v>
      </c>
      <c r="H138" s="41" t="n">
        <v>0.500000001</v>
      </c>
      <c r="I138" s="39" t="str">
        <f aca="false">IFERROR(IF(ISNUMBER(F138),IF(ABS(F138-E138)&lt;=H138,"PASS","FAIL"),"FAIL"),"FAIL")</f>
        <v>PASS</v>
      </c>
    </row>
    <row r="139" customFormat="false" ht="15" hidden="false" customHeight="false" outlineLevel="0" collapsed="false">
      <c r="B139" s="40" t="n">
        <v>130</v>
      </c>
      <c r="C139" s="9" t="s">
        <v>378</v>
      </c>
      <c r="D139" s="9" t="s">
        <v>516</v>
      </c>
      <c r="E139" s="13" t="n">
        <v>300</v>
      </c>
      <c r="F139" s="19" t="n">
        <f aca="false">Assumptions!$E$77</f>
        <v>300</v>
      </c>
      <c r="G139" s="37" t="n">
        <f aca="false">IFERROR(IF(ISNUMBER(F139),F139-E139,"n/a"),"n/a")</f>
        <v>0</v>
      </c>
      <c r="H139" s="41" t="n">
        <v>0.500000001</v>
      </c>
      <c r="I139" s="39" t="str">
        <f aca="false">IFERROR(IF(ISNUMBER(F139),IF(ABS(F139-E139)&lt;=H139,"PASS","FAIL"),"FAIL"),"FAIL")</f>
        <v>PASS</v>
      </c>
    </row>
    <row r="140" customFormat="false" ht="15" hidden="false" customHeight="false" outlineLevel="0" collapsed="false">
      <c r="B140" s="40" t="n">
        <v>131</v>
      </c>
      <c r="C140" s="9" t="s">
        <v>378</v>
      </c>
      <c r="D140" s="9" t="s">
        <v>517</v>
      </c>
      <c r="E140" s="13" t="n">
        <v>14400</v>
      </c>
      <c r="F140" s="19" t="n">
        <f aca="false">Assumptions!$C$78</f>
        <v>14400</v>
      </c>
      <c r="G140" s="37" t="n">
        <f aca="false">IFERROR(IF(ISNUMBER(F140),F140-E140,"n/a"),"n/a")</f>
        <v>0</v>
      </c>
      <c r="H140" s="41" t="n">
        <v>0.500000001</v>
      </c>
      <c r="I140" s="39" t="str">
        <f aca="false">IFERROR(IF(ISNUMBER(F140),IF(ABS(F140-E140)&lt;=H140,"PASS","FAIL"),"FAIL"),"FAIL")</f>
        <v>PASS</v>
      </c>
    </row>
    <row r="141" customFormat="false" ht="15" hidden="false" customHeight="false" outlineLevel="0" collapsed="false">
      <c r="B141" s="40" t="n">
        <v>132</v>
      </c>
      <c r="C141" s="9" t="s">
        <v>378</v>
      </c>
      <c r="D141" s="9" t="s">
        <v>518</v>
      </c>
      <c r="E141" s="13" t="n">
        <v>250</v>
      </c>
      <c r="F141" s="19" t="n">
        <f aca="false">Assumptions!$D$78</f>
        <v>250</v>
      </c>
      <c r="G141" s="37" t="n">
        <f aca="false">IFERROR(IF(ISNUMBER(F141),F141-E141,"n/a"),"n/a")</f>
        <v>0</v>
      </c>
      <c r="H141" s="41" t="n">
        <v>0.500000001</v>
      </c>
      <c r="I141" s="39" t="str">
        <f aca="false">IFERROR(IF(ISNUMBER(F141),IF(ABS(F141-E141)&lt;=H141,"PASS","FAIL"),"FAIL"),"FAIL")</f>
        <v>PASS</v>
      </c>
    </row>
    <row r="142" customFormat="false" ht="15" hidden="false" customHeight="false" outlineLevel="0" collapsed="false">
      <c r="B142" s="40" t="n">
        <v>133</v>
      </c>
      <c r="C142" s="9" t="s">
        <v>378</v>
      </c>
      <c r="D142" s="9" t="s">
        <v>519</v>
      </c>
      <c r="E142" s="13" t="n">
        <v>250</v>
      </c>
      <c r="F142" s="19" t="n">
        <f aca="false">Assumptions!$E$78</f>
        <v>250</v>
      </c>
      <c r="G142" s="37" t="n">
        <f aca="false">IFERROR(IF(ISNUMBER(F142),F142-E142,"n/a"),"n/a")</f>
        <v>0</v>
      </c>
      <c r="H142" s="41" t="n">
        <v>0.500000001</v>
      </c>
      <c r="I142" s="39" t="str">
        <f aca="false">IFERROR(IF(ISNUMBER(F142),IF(ABS(F142-E142)&lt;=H142,"PASS","FAIL"),"FAIL"),"FAIL")</f>
        <v>PASS</v>
      </c>
    </row>
    <row r="143" customFormat="false" ht="15" hidden="false" customHeight="false" outlineLevel="0" collapsed="false">
      <c r="B143" s="40" t="n">
        <v>134</v>
      </c>
      <c r="C143" s="9" t="s">
        <v>378</v>
      </c>
      <c r="D143" s="9" t="s">
        <v>520</v>
      </c>
      <c r="E143" s="13" t="n">
        <v>0</v>
      </c>
      <c r="F143" s="19" t="n">
        <f aca="false">Assumptions!$C$79</f>
        <v>0</v>
      </c>
      <c r="G143" s="37" t="n">
        <f aca="false">IFERROR(IF(ISNUMBER(F143),F143-E143,"n/a"),"n/a")</f>
        <v>0</v>
      </c>
      <c r="H143" s="41" t="n">
        <v>0.500000001</v>
      </c>
      <c r="I143" s="39" t="str">
        <f aca="false">IFERROR(IF(ISNUMBER(F143),IF(ABS(F143-E143)&lt;=H143,"PASS","FAIL"),"FAIL"),"FAIL")</f>
        <v>PASS</v>
      </c>
    </row>
    <row r="144" customFormat="false" ht="15" hidden="false" customHeight="false" outlineLevel="0" collapsed="false">
      <c r="B144" s="40" t="n">
        <v>135</v>
      </c>
      <c r="C144" s="9" t="s">
        <v>378</v>
      </c>
      <c r="D144" s="9" t="s">
        <v>521</v>
      </c>
      <c r="E144" s="13" t="n">
        <v>300</v>
      </c>
      <c r="F144" s="19" t="n">
        <f aca="false">Assumptions!$D$79</f>
        <v>300</v>
      </c>
      <c r="G144" s="37" t="n">
        <f aca="false">IFERROR(IF(ISNUMBER(F144),F144-E144,"n/a"),"n/a")</f>
        <v>0</v>
      </c>
      <c r="H144" s="41" t="n">
        <v>0.500000001</v>
      </c>
      <c r="I144" s="39" t="str">
        <f aca="false">IFERROR(IF(ISNUMBER(F144),IF(ABS(F144-E144)&lt;=H144,"PASS","FAIL"),"FAIL"),"FAIL")</f>
        <v>PASS</v>
      </c>
    </row>
    <row r="145" customFormat="false" ht="15" hidden="false" customHeight="false" outlineLevel="0" collapsed="false">
      <c r="B145" s="40" t="n">
        <v>136</v>
      </c>
      <c r="C145" s="9" t="s">
        <v>378</v>
      </c>
      <c r="D145" s="9" t="s">
        <v>522</v>
      </c>
      <c r="E145" s="13" t="n">
        <v>300</v>
      </c>
      <c r="F145" s="19" t="n">
        <f aca="false">Assumptions!$E$79</f>
        <v>300</v>
      </c>
      <c r="G145" s="37" t="n">
        <f aca="false">IFERROR(IF(ISNUMBER(F145),F145-E145,"n/a"),"n/a")</f>
        <v>0</v>
      </c>
      <c r="H145" s="41" t="n">
        <v>0.500000001</v>
      </c>
      <c r="I145" s="39" t="str">
        <f aca="false">IFERROR(IF(ISNUMBER(F145),IF(ABS(F145-E145)&lt;=H145,"PASS","FAIL"),"FAIL"),"FAIL")</f>
        <v>PASS</v>
      </c>
    </row>
    <row r="146" customFormat="false" ht="15" hidden="false" customHeight="false" outlineLevel="0" collapsed="false">
      <c r="B146" s="40" t="n">
        <v>137</v>
      </c>
      <c r="C146" s="9" t="s">
        <v>378</v>
      </c>
      <c r="D146" s="9" t="s">
        <v>523</v>
      </c>
      <c r="E146" s="31" t="n">
        <v>0.0775</v>
      </c>
      <c r="F146" s="47" t="n">
        <f aca="false">Assumptions!$C$82</f>
        <v>0.0775</v>
      </c>
      <c r="G146" s="37" t="n">
        <f aca="false">IFERROR(IF(ISNUMBER(F146),F146-E146,"n/a"),"n/a")</f>
        <v>0</v>
      </c>
      <c r="H146" s="41" t="n">
        <v>5.0001E-005</v>
      </c>
      <c r="I146" s="39" t="str">
        <f aca="false">IFERROR(IF(ISNUMBER(F146),IF(ABS(F146-E146)&lt;=H146,"PASS","FAIL"),"FAIL"),"FAIL")</f>
        <v>PASS</v>
      </c>
    </row>
    <row r="147" customFormat="false" ht="15" hidden="false" customHeight="false" outlineLevel="0" collapsed="false">
      <c r="B147" s="40" t="n">
        <v>138</v>
      </c>
      <c r="C147" s="9" t="s">
        <v>378</v>
      </c>
      <c r="D147" s="9" t="s">
        <v>524</v>
      </c>
      <c r="E147" s="31" t="n">
        <v>0.0625</v>
      </c>
      <c r="F147" s="47" t="n">
        <f aca="false">Assumptions!$C$83</f>
        <v>0.0625</v>
      </c>
      <c r="G147" s="37" t="n">
        <f aca="false">IFERROR(IF(ISNUMBER(F147),F147-E147,"n/a"),"n/a")</f>
        <v>0</v>
      </c>
      <c r="H147" s="41" t="n">
        <v>5.0001E-005</v>
      </c>
      <c r="I147" s="39" t="str">
        <f aca="false">IFERROR(IF(ISNUMBER(F147),IF(ABS(F147-E147)&lt;=H147,"PASS","FAIL"),"FAIL"),"FAIL")</f>
        <v>PASS</v>
      </c>
    </row>
    <row r="148" customFormat="false" ht="15" hidden="false" customHeight="false" outlineLevel="0" collapsed="false">
      <c r="B148" s="40" t="n">
        <v>139</v>
      </c>
      <c r="C148" s="9" t="s">
        <v>378</v>
      </c>
      <c r="D148" s="9" t="s">
        <v>525</v>
      </c>
      <c r="E148" s="29" t="n">
        <v>0.02</v>
      </c>
      <c r="F148" s="36" t="n">
        <f aca="false">Assumptions!$C$84</f>
        <v>0.02</v>
      </c>
      <c r="G148" s="37" t="n">
        <f aca="false">IFERROR(IF(ISNUMBER(F148),F148-E148,"n/a"),"n/a")</f>
        <v>0</v>
      </c>
      <c r="H148" s="41" t="n">
        <v>0.000500001</v>
      </c>
      <c r="I148" s="39" t="str">
        <f aca="false">IFERROR(IF(ISNUMBER(F148),IF(ABS(F148-E148)&lt;=H148,"PASS","FAIL"),"FAIL"),"FAIL")</f>
        <v>PASS</v>
      </c>
    </row>
    <row r="149" customFormat="false" ht="15" hidden="false" customHeight="false" outlineLevel="0" collapsed="false">
      <c r="B149" s="40" t="n">
        <v>140</v>
      </c>
      <c r="C149" s="9" t="s">
        <v>378</v>
      </c>
      <c r="D149" s="9" t="s">
        <v>526</v>
      </c>
      <c r="E149" s="29" t="n">
        <v>0.03</v>
      </c>
      <c r="F149" s="36" t="n">
        <f aca="false">Assumptions!$C$85</f>
        <v>0.03</v>
      </c>
      <c r="G149" s="37" t="n">
        <f aca="false">IFERROR(IF(ISNUMBER(F149),F149-E149,"n/a"),"n/a")</f>
        <v>0</v>
      </c>
      <c r="H149" s="41" t="n">
        <v>0.000500001</v>
      </c>
      <c r="I149" s="39" t="str">
        <f aca="false">IFERROR(IF(ISNUMBER(F149),IF(ABS(F149-E149)&lt;=H149,"PASS","FAIL"),"FAIL"),"FAIL")</f>
        <v>PASS</v>
      </c>
    </row>
    <row r="150" customFormat="false" ht="15" hidden="false" customHeight="false" outlineLevel="0" collapsed="false">
      <c r="B150" s="40" t="n">
        <v>141</v>
      </c>
      <c r="C150" s="9" t="s">
        <v>378</v>
      </c>
      <c r="D150" s="9" t="s">
        <v>527</v>
      </c>
      <c r="E150" s="13" t="n">
        <v>10</v>
      </c>
      <c r="F150" s="19" t="n">
        <f aca="false">Assumptions!$C$87</f>
        <v>10</v>
      </c>
      <c r="G150" s="37" t="n">
        <f aca="false">IFERROR(IF(ISNUMBER(F150),F150-E150,"n/a"),"n/a")</f>
        <v>0</v>
      </c>
      <c r="H150" s="41" t="n">
        <v>0.500000001</v>
      </c>
      <c r="I150" s="39" t="str">
        <f aca="false">IFERROR(IF(ISNUMBER(F150),IF(ABS(F150-E150)&lt;=H150,"PASS","FAIL"),"FAIL"),"FAIL")</f>
        <v>PASS</v>
      </c>
    </row>
    <row r="151" customFormat="false" ht="15" hidden="false" customHeight="false" outlineLevel="0" collapsed="false">
      <c r="B151" s="40" t="n">
        <v>142</v>
      </c>
      <c r="C151" s="9" t="s">
        <v>378</v>
      </c>
      <c r="D151" s="9" t="s">
        <v>528</v>
      </c>
      <c r="E151" s="13" t="n">
        <v>12100000</v>
      </c>
      <c r="F151" s="19" t="n">
        <f aca="false">Assumptions!$C$90</f>
        <v>12100000</v>
      </c>
      <c r="G151" s="37" t="n">
        <f aca="false">IFERROR(IF(ISNUMBER(F151),F151-E151,"n/a"),"n/a")</f>
        <v>0</v>
      </c>
      <c r="H151" s="41" t="n">
        <v>0.500000001</v>
      </c>
      <c r="I151" s="39" t="str">
        <f aca="false">IFERROR(IF(ISNUMBER(F151),IF(ABS(F151-E151)&lt;=H151,"PASS","FAIL"),"FAIL"),"FAIL")</f>
        <v>PASS</v>
      </c>
    </row>
    <row r="152" customFormat="false" ht="15" hidden="false" customHeight="false" outlineLevel="0" collapsed="false">
      <c r="B152" s="40" t="n">
        <v>143</v>
      </c>
      <c r="C152" s="9" t="s">
        <v>378</v>
      </c>
      <c r="D152" s="9" t="s">
        <v>529</v>
      </c>
      <c r="E152" s="13" t="n">
        <v>12850000</v>
      </c>
      <c r="F152" s="19" t="n">
        <f aca="false">Assumptions!$C$91</f>
        <v>12850000</v>
      </c>
      <c r="G152" s="37" t="n">
        <f aca="false">IFERROR(IF(ISNUMBER(F152),F152-E152,"n/a"),"n/a")</f>
        <v>0</v>
      </c>
      <c r="H152" s="41" t="n">
        <v>0.500000001</v>
      </c>
      <c r="I152" s="39" t="str">
        <f aca="false">IFERROR(IF(ISNUMBER(F152),IF(ABS(F152-E152)&lt;=H152,"PASS","FAIL"),"FAIL"),"FAIL")</f>
        <v>PASS</v>
      </c>
    </row>
    <row r="153" customFormat="false" ht="15" hidden="false" customHeight="false" outlineLevel="0" collapsed="false">
      <c r="B153" s="40" t="n">
        <v>144</v>
      </c>
      <c r="C153" s="9" t="s">
        <v>383</v>
      </c>
      <c r="D153" s="9" t="s">
        <v>530</v>
      </c>
      <c r="E153" s="13" t="n">
        <v>18400</v>
      </c>
      <c r="F153" s="19" t="n">
        <f aca="false">Market_Analysis!$C$6</f>
        <v>18400</v>
      </c>
      <c r="G153" s="37" t="n">
        <f aca="false">IFERROR(IF(ISNUMBER(F153),F153-E153,"n/a"),"n/a")</f>
        <v>0</v>
      </c>
      <c r="H153" s="41" t="n">
        <v>0.500000001</v>
      </c>
      <c r="I153" s="39" t="str">
        <f aca="false">IFERROR(IF(ISNUMBER(F153),IF(ABS(F153-E153)&lt;=H153,"PASS","FAIL"),"FAIL"),"FAIL")</f>
        <v>PASS</v>
      </c>
    </row>
    <row r="154" customFormat="false" ht="15" hidden="false" customHeight="false" outlineLevel="0" collapsed="false">
      <c r="B154" s="40" t="n">
        <v>145</v>
      </c>
      <c r="C154" s="9" t="s">
        <v>383</v>
      </c>
      <c r="D154" s="9" t="s">
        <v>531</v>
      </c>
      <c r="E154" s="29" t="n">
        <v>0.946</v>
      </c>
      <c r="F154" s="36" t="n">
        <f aca="false">Market_Analysis!$C$7</f>
        <v>0.946</v>
      </c>
      <c r="G154" s="37" t="n">
        <f aca="false">IFERROR(IF(ISNUMBER(F154),F154-E154,"n/a"),"n/a")</f>
        <v>0</v>
      </c>
      <c r="H154" s="41" t="n">
        <v>0.000500001</v>
      </c>
      <c r="I154" s="39" t="str">
        <f aca="false">IFERROR(IF(ISNUMBER(F154),IF(ABS(F154-E154)&lt;=H154,"PASS","FAIL"),"FAIL"),"FAIL")</f>
        <v>PASS</v>
      </c>
    </row>
    <row r="155" customFormat="false" ht="15" hidden="false" customHeight="false" outlineLevel="0" collapsed="false">
      <c r="B155" s="40" t="n">
        <v>146</v>
      </c>
      <c r="C155" s="9" t="s">
        <v>383</v>
      </c>
      <c r="D155" s="9" t="s">
        <v>532</v>
      </c>
      <c r="E155" s="13" t="n">
        <v>17406</v>
      </c>
      <c r="F155" s="19" t="n">
        <f aca="false">Market_Analysis!$C$8</f>
        <v>17406.4</v>
      </c>
      <c r="G155" s="37" t="n">
        <f aca="false">IFERROR(IF(ISNUMBER(F155),F155-E155,"n/a"),"n/a")</f>
        <v>0.399999999997817</v>
      </c>
      <c r="H155" s="41" t="n">
        <v>0.500000001</v>
      </c>
      <c r="I155" s="39" t="str">
        <f aca="false">IFERROR(IF(ISNUMBER(F155),IF(ABS(F155-E155)&lt;=H155,"PASS","FAIL"),"FAIL"),"FAIL")</f>
        <v>PASS</v>
      </c>
    </row>
    <row r="156" customFormat="false" ht="15" hidden="false" customHeight="false" outlineLevel="0" collapsed="false">
      <c r="B156" s="40" t="n">
        <v>147</v>
      </c>
      <c r="C156" s="9" t="s">
        <v>383</v>
      </c>
      <c r="D156" s="9" t="s">
        <v>533</v>
      </c>
      <c r="E156" s="13" t="n">
        <v>520</v>
      </c>
      <c r="F156" s="19" t="n">
        <f aca="false">Market_Analysis!$C$9</f>
        <v>520</v>
      </c>
      <c r="G156" s="37" t="n">
        <f aca="false">IFERROR(IF(ISNUMBER(F156),F156-E156,"n/a"),"n/a")</f>
        <v>0</v>
      </c>
      <c r="H156" s="41" t="n">
        <v>0.500000001</v>
      </c>
      <c r="I156" s="39" t="str">
        <f aca="false">IFERROR(IF(ISNUMBER(F156),IF(ABS(F156-E156)&lt;=H156,"PASS","FAIL"),"FAIL"),"FAIL")</f>
        <v>PASS</v>
      </c>
    </row>
    <row r="157" customFormat="false" ht="15" hidden="false" customHeight="false" outlineLevel="0" collapsed="false">
      <c r="B157" s="40" t="n">
        <v>148</v>
      </c>
      <c r="C157" s="9" t="s">
        <v>383</v>
      </c>
      <c r="D157" s="9" t="s">
        <v>534</v>
      </c>
      <c r="E157" s="13" t="n">
        <v>610</v>
      </c>
      <c r="F157" s="19" t="n">
        <f aca="false">Market_Analysis!$C$10</f>
        <v>610</v>
      </c>
      <c r="G157" s="37" t="n">
        <f aca="false">IFERROR(IF(ISNUMBER(F157),F157-E157,"n/a"),"n/a")</f>
        <v>0</v>
      </c>
      <c r="H157" s="41" t="n">
        <v>0.500000001</v>
      </c>
      <c r="I157" s="39" t="str">
        <f aca="false">IFERROR(IF(ISNUMBER(F157),IF(ABS(F157-E157)&lt;=H157,"PASS","FAIL"),"FAIL"),"FAIL")</f>
        <v>PASS</v>
      </c>
    </row>
    <row r="158" customFormat="false" ht="15" hidden="false" customHeight="false" outlineLevel="0" collapsed="false">
      <c r="B158" s="40" t="n">
        <v>149</v>
      </c>
      <c r="C158" s="9" t="s">
        <v>383</v>
      </c>
      <c r="D158" s="9" t="s">
        <v>535</v>
      </c>
      <c r="E158" s="13" t="n">
        <v>480</v>
      </c>
      <c r="F158" s="19" t="n">
        <f aca="false">Market_Analysis!$C$11</f>
        <v>480</v>
      </c>
      <c r="G158" s="37" t="n">
        <f aca="false">IFERROR(IF(ISNUMBER(F158),F158-E158,"n/a"),"n/a")</f>
        <v>0</v>
      </c>
      <c r="H158" s="41" t="n">
        <v>0.500000001</v>
      </c>
      <c r="I158" s="39" t="str">
        <f aca="false">IFERROR(IF(ISNUMBER(F158),IF(ABS(F158-E158)&lt;=H158,"PASS","FAIL"),"FAIL"),"FAIL")</f>
        <v>PASS</v>
      </c>
    </row>
    <row r="159" customFormat="false" ht="15" hidden="false" customHeight="false" outlineLevel="0" collapsed="false">
      <c r="B159" s="40" t="n">
        <v>150</v>
      </c>
      <c r="C159" s="9" t="s">
        <v>383</v>
      </c>
      <c r="D159" s="9" t="s">
        <v>536</v>
      </c>
      <c r="E159" s="13" t="n">
        <v>537</v>
      </c>
      <c r="F159" s="19" t="n">
        <f aca="false">Market_Analysis!$C$12</f>
        <v>536.666666666667</v>
      </c>
      <c r="G159" s="37" t="n">
        <f aca="false">IFERROR(IF(ISNUMBER(F159),F159-E159,"n/a"),"n/a")</f>
        <v>-0.333333333333371</v>
      </c>
      <c r="H159" s="41" t="n">
        <v>0.500000001</v>
      </c>
      <c r="I159" s="39" t="str">
        <f aca="false">IFERROR(IF(ISNUMBER(F159),IF(ABS(F159-E159)&lt;=H159,"PASS","FAIL"),"FAIL"),"FAIL")</f>
        <v>PASS</v>
      </c>
    </row>
    <row r="160" customFormat="false" ht="15" hidden="false" customHeight="false" outlineLevel="0" collapsed="false">
      <c r="B160" s="40" t="n">
        <v>151</v>
      </c>
      <c r="C160" s="9" t="s">
        <v>383</v>
      </c>
      <c r="D160" s="9" t="s">
        <v>537</v>
      </c>
      <c r="E160" s="13" t="n">
        <v>480</v>
      </c>
      <c r="F160" s="19" t="n">
        <f aca="false">Market_Analysis!$C$13</f>
        <v>480</v>
      </c>
      <c r="G160" s="37" t="n">
        <f aca="false">IFERROR(IF(ISNUMBER(F160),F160-E160,"n/a"),"n/a")</f>
        <v>0</v>
      </c>
      <c r="H160" s="41" t="n">
        <v>0.500000001</v>
      </c>
      <c r="I160" s="39" t="str">
        <f aca="false">IFERROR(IF(ISNUMBER(F160),IF(ABS(F160-E160)&lt;=H160,"PASS","FAIL"),"FAIL"),"FAIL")</f>
        <v>PASS</v>
      </c>
    </row>
    <row r="161" customFormat="false" ht="15" hidden="false" customHeight="false" outlineLevel="0" collapsed="false">
      <c r="B161" s="40" t="n">
        <v>152</v>
      </c>
      <c r="C161" s="9" t="s">
        <v>383</v>
      </c>
      <c r="D161" s="9" t="s">
        <v>538</v>
      </c>
      <c r="E161" s="29" t="n">
        <v>0.05</v>
      </c>
      <c r="F161" s="36" t="n">
        <f aca="false">Market_Analysis!$C$14</f>
        <v>0.05</v>
      </c>
      <c r="G161" s="37" t="n">
        <f aca="false">IFERROR(IF(ISNUMBER(F161),F161-E161,"n/a"),"n/a")</f>
        <v>0</v>
      </c>
      <c r="H161" s="41" t="n">
        <v>0.000500001</v>
      </c>
      <c r="I161" s="39" t="str">
        <f aca="false">IFERROR(IF(ISNUMBER(F161),IF(ABS(F161-E161)&lt;=H161,"PASS","FAIL"),"FAIL"),"FAIL")</f>
        <v>PASS</v>
      </c>
    </row>
    <row r="162" customFormat="false" ht="15" hidden="false" customHeight="false" outlineLevel="0" collapsed="false">
      <c r="B162" s="40" t="n">
        <v>153</v>
      </c>
      <c r="C162" s="9" t="s">
        <v>383</v>
      </c>
      <c r="D162" s="9" t="s">
        <v>539</v>
      </c>
      <c r="E162" s="29" t="n">
        <v>0.035</v>
      </c>
      <c r="F162" s="36" t="n">
        <f aca="false">Market_Analysis!$C$15</f>
        <v>0.035</v>
      </c>
      <c r="G162" s="37" t="n">
        <f aca="false">IFERROR(IF(ISNUMBER(F162),F162-E162,"n/a"),"n/a")</f>
        <v>0</v>
      </c>
      <c r="H162" s="41" t="n">
        <v>0.000500001</v>
      </c>
      <c r="I162" s="39" t="str">
        <f aca="false">IFERROR(IF(ISNUMBER(F162),IF(ABS(F162-E162)&lt;=H162,"PASS","FAIL"),"FAIL"),"FAIL")</f>
        <v>PASS</v>
      </c>
    </row>
    <row r="163" customFormat="false" ht="15" hidden="false" customHeight="false" outlineLevel="0" collapsed="false">
      <c r="B163" s="40" t="n">
        <v>154</v>
      </c>
      <c r="C163" s="9" t="s">
        <v>383</v>
      </c>
      <c r="D163" s="9" t="s">
        <v>540</v>
      </c>
      <c r="E163" s="12" t="n">
        <v>0.5</v>
      </c>
      <c r="F163" s="45" t="n">
        <f aca="false">Market_Analysis!$C$16</f>
        <v>0.5</v>
      </c>
      <c r="G163" s="37" t="n">
        <f aca="false">IFERROR(IF(ISNUMBER(F163),F163-E163,"n/a"),"n/a")</f>
        <v>0</v>
      </c>
      <c r="H163" s="41" t="n">
        <v>0.005000001</v>
      </c>
      <c r="I163" s="39" t="str">
        <f aca="false">IFERROR(IF(ISNUMBER(F163),IF(ABS(F163-E163)&lt;=H163,"PASS","FAIL"),"FAIL"),"FAIL")</f>
        <v>PASS</v>
      </c>
    </row>
    <row r="164" customFormat="false" ht="15" hidden="false" customHeight="false" outlineLevel="0" collapsed="false">
      <c r="B164" s="40" t="n">
        <v>155</v>
      </c>
      <c r="C164" s="9" t="s">
        <v>383</v>
      </c>
      <c r="D164" s="9" t="s">
        <v>541</v>
      </c>
      <c r="E164" s="29" t="n">
        <v>0.025</v>
      </c>
      <c r="F164" s="36" t="n">
        <f aca="false">Market_Analysis!$C$17</f>
        <v>0.025</v>
      </c>
      <c r="G164" s="37" t="n">
        <f aca="false">IFERROR(IF(ISNUMBER(F164),F164-E164,"n/a"),"n/a")</f>
        <v>0</v>
      </c>
      <c r="H164" s="41" t="n">
        <v>0.000500001</v>
      </c>
      <c r="I164" s="39" t="str">
        <f aca="false">IFERROR(IF(ISNUMBER(F164),IF(ABS(F164-E164)&lt;=H164,"PASS","FAIL"),"FAIL"),"FAIL")</f>
        <v>PASS</v>
      </c>
    </row>
    <row r="165" customFormat="false" ht="15" hidden="false" customHeight="false" outlineLevel="0" collapsed="false">
      <c r="B165" s="40" t="n">
        <v>156</v>
      </c>
      <c r="C165" s="9" t="s">
        <v>383</v>
      </c>
      <c r="D165" s="9" t="s">
        <v>542</v>
      </c>
      <c r="E165" s="29" t="n">
        <v>0.054</v>
      </c>
      <c r="F165" s="36" t="n">
        <f aca="false">Market_Analysis!$C$25</f>
        <v>0.0540000000000002</v>
      </c>
      <c r="G165" s="37" t="n">
        <f aca="false">IFERROR(IF(ISNUMBER(F165),F165-E165,"n/a"),"n/a")</f>
        <v>0</v>
      </c>
      <c r="H165" s="41" t="n">
        <v>0.000500001</v>
      </c>
      <c r="I165" s="39" t="str">
        <f aca="false">IFERROR(IF(ISNUMBER(F165),IF(ABS(F165-E165)&lt;=H165,"PASS","FAIL"),"FAIL"),"FAIL")</f>
        <v>PASS</v>
      </c>
    </row>
    <row r="166" customFormat="false" ht="15" hidden="false" customHeight="false" outlineLevel="0" collapsed="false">
      <c r="B166" s="40" t="n">
        <v>157</v>
      </c>
      <c r="C166" s="9" t="s">
        <v>383</v>
      </c>
      <c r="D166" s="9" t="s">
        <v>543</v>
      </c>
      <c r="E166" s="13" t="n">
        <v>700</v>
      </c>
      <c r="F166" s="19" t="n">
        <f aca="false">Market_Analysis!$D$21</f>
        <v>700</v>
      </c>
      <c r="G166" s="37" t="n">
        <f aca="false">IFERROR(IF(ISNUMBER(F166),F166-E166,"n/a"),"n/a")</f>
        <v>0</v>
      </c>
      <c r="H166" s="41" t="n">
        <v>0.500000001</v>
      </c>
      <c r="I166" s="39" t="str">
        <f aca="false">IFERROR(IF(ISNUMBER(F166),IF(ABS(F166-E166)&lt;=H166,"PASS","FAIL"),"FAIL"),"FAIL")</f>
        <v>PASS</v>
      </c>
    </row>
    <row r="167" customFormat="false" ht="15" hidden="false" customHeight="false" outlineLevel="0" collapsed="false">
      <c r="B167" s="40" t="n">
        <v>158</v>
      </c>
      <c r="C167" s="9" t="s">
        <v>383</v>
      </c>
      <c r="D167" s="9" t="s">
        <v>544</v>
      </c>
      <c r="E167" s="31" t="n">
        <v>0.0282</v>
      </c>
      <c r="F167" s="47" t="n">
        <f aca="false">Market_Analysis!$D$26</f>
        <v>0.0282303664921466</v>
      </c>
      <c r="G167" s="37" t="n">
        <f aca="false">IFERROR(IF(ISNUMBER(F167),F167-E167,"n/a"),"n/a")</f>
        <v>3.036649214656E-005</v>
      </c>
      <c r="H167" s="41" t="n">
        <v>5.0001E-005</v>
      </c>
      <c r="I167" s="39" t="str">
        <f aca="false">IFERROR(IF(ISNUMBER(F167),IF(ABS(F167-E167)&lt;=H167,"PASS","FAIL"),"FAIL"),"FAIL")</f>
        <v>PASS</v>
      </c>
    </row>
    <row r="168" customFormat="false" ht="15" hidden="false" customHeight="false" outlineLevel="0" collapsed="false">
      <c r="B168" s="40" t="n">
        <v>159</v>
      </c>
      <c r="C168" s="9" t="s">
        <v>383</v>
      </c>
      <c r="D168" s="9" t="s">
        <v>545</v>
      </c>
      <c r="E168" s="29" t="n">
        <v>0.064</v>
      </c>
      <c r="F168" s="36" t="n">
        <f aca="false">Market_Analysis!$D$25</f>
        <v>0.0635392670157069</v>
      </c>
      <c r="G168" s="37" t="n">
        <f aca="false">IFERROR(IF(ISNUMBER(F168),F168-E168,"n/a"),"n/a")</f>
        <v>-0.000460732984293111</v>
      </c>
      <c r="H168" s="41" t="n">
        <v>0.000500001</v>
      </c>
      <c r="I168" s="39" t="str">
        <f aca="false">IFERROR(IF(ISNUMBER(F168),IF(ABS(F168-E168)&lt;=H168,"PASS","FAIL"),"FAIL"),"FAIL")</f>
        <v>PASS</v>
      </c>
    </row>
    <row r="169" customFormat="false" ht="15" hidden="false" customHeight="false" outlineLevel="0" collapsed="false">
      <c r="B169" s="40" t="n">
        <v>160</v>
      </c>
      <c r="C169" s="9" t="s">
        <v>383</v>
      </c>
      <c r="D169" s="9" t="s">
        <v>546</v>
      </c>
      <c r="E169" s="13" t="n">
        <v>550</v>
      </c>
      <c r="F169" s="19" t="n">
        <f aca="false">Market_Analysis!$E$21</f>
        <v>550</v>
      </c>
      <c r="G169" s="37" t="n">
        <f aca="false">IFERROR(IF(ISNUMBER(F169),F169-E169,"n/a"),"n/a")</f>
        <v>0</v>
      </c>
      <c r="H169" s="41" t="n">
        <v>0.500000001</v>
      </c>
      <c r="I169" s="39" t="str">
        <f aca="false">IFERROR(IF(ISNUMBER(F169),IF(ABS(F169-E169)&lt;=H169,"PASS","FAIL"),"FAIL"),"FAIL")</f>
        <v>PASS</v>
      </c>
    </row>
    <row r="170" customFormat="false" ht="15" hidden="false" customHeight="false" outlineLevel="0" collapsed="false">
      <c r="B170" s="40" t="n">
        <v>161</v>
      </c>
      <c r="C170" s="9" t="s">
        <v>383</v>
      </c>
      <c r="D170" s="9" t="s">
        <v>547</v>
      </c>
      <c r="E170" s="31" t="n">
        <v>0.0273</v>
      </c>
      <c r="F170" s="47" t="n">
        <f aca="false">Market_Analysis!$E$26</f>
        <v>0.0273384223918575</v>
      </c>
      <c r="G170" s="37" t="n">
        <f aca="false">IFERROR(IF(ISNUMBER(F170),F170-E170,"n/a"),"n/a")</f>
        <v>3.84223918574698E-005</v>
      </c>
      <c r="H170" s="41" t="n">
        <v>5.0001E-005</v>
      </c>
      <c r="I170" s="39" t="str">
        <f aca="false">IFERROR(IF(ISNUMBER(F170),IF(ABS(F170-E170)&lt;=H170,"PASS","FAIL"),"FAIL"),"FAIL")</f>
        <v>PASS</v>
      </c>
    </row>
    <row r="171" customFormat="false" ht="15" hidden="false" customHeight="false" outlineLevel="0" collapsed="false">
      <c r="B171" s="40" t="n">
        <v>162</v>
      </c>
      <c r="C171" s="9" t="s">
        <v>383</v>
      </c>
      <c r="D171" s="9" t="s">
        <v>548</v>
      </c>
      <c r="E171" s="29" t="n">
        <v>0.065</v>
      </c>
      <c r="F171" s="36" t="n">
        <f aca="false">Market_Analysis!$E$25</f>
        <v>0.0653231552162851</v>
      </c>
      <c r="G171" s="37" t="n">
        <f aca="false">IFERROR(IF(ISNUMBER(F171),F171-E171,"n/a"),"n/a")</f>
        <v>0.000323155216285065</v>
      </c>
      <c r="H171" s="41" t="n">
        <v>0.000500001</v>
      </c>
      <c r="I171" s="39" t="str">
        <f aca="false">IFERROR(IF(ISNUMBER(F171),IF(ABS(F171-E171)&lt;=H171,"PASS","FAIL"),"FAIL"),"FAIL")</f>
        <v>PASS</v>
      </c>
    </row>
    <row r="172" customFormat="false" ht="15" hidden="false" customHeight="false" outlineLevel="0" collapsed="false">
      <c r="B172" s="40" t="n">
        <v>163</v>
      </c>
      <c r="C172" s="9" t="s">
        <v>383</v>
      </c>
      <c r="D172" s="9" t="s">
        <v>549</v>
      </c>
      <c r="E172" s="13" t="n">
        <v>350</v>
      </c>
      <c r="F172" s="19" t="n">
        <f aca="false">Market_Analysis!$F$21</f>
        <v>350</v>
      </c>
      <c r="G172" s="37" t="n">
        <f aca="false">IFERROR(IF(ISNUMBER(F172),F172-E172,"n/a"),"n/a")</f>
        <v>0</v>
      </c>
      <c r="H172" s="41" t="n">
        <v>0.500000001</v>
      </c>
      <c r="I172" s="39" t="str">
        <f aca="false">IFERROR(IF(ISNUMBER(F172),IF(ABS(F172-E172)&lt;=H172,"PASS","FAIL"),"FAIL"),"FAIL")</f>
        <v>PASS</v>
      </c>
    </row>
    <row r="173" customFormat="false" ht="15" hidden="false" customHeight="false" outlineLevel="0" collapsed="false">
      <c r="B173" s="40" t="n">
        <v>164</v>
      </c>
      <c r="C173" s="9" t="s">
        <v>383</v>
      </c>
      <c r="D173" s="9" t="s">
        <v>550</v>
      </c>
      <c r="E173" s="31" t="n">
        <v>0.0312</v>
      </c>
      <c r="F173" s="47" t="n">
        <f aca="false">Market_Analysis!$F$26</f>
        <v>0.03116</v>
      </c>
      <c r="G173" s="37" t="n">
        <f aca="false">IFERROR(IF(ISNUMBER(F173),F173-E173,"n/a"),"n/a")</f>
        <v>-4.00000000000261E-005</v>
      </c>
      <c r="H173" s="41" t="n">
        <v>5.0001E-005</v>
      </c>
      <c r="I173" s="39" t="str">
        <f aca="false">IFERROR(IF(ISNUMBER(F173),IF(ABS(F173-E173)&lt;=H173,"PASS","FAIL"),"FAIL"),"FAIL")</f>
        <v>PASS</v>
      </c>
    </row>
    <row r="174" customFormat="false" ht="15" hidden="false" customHeight="false" outlineLevel="0" collapsed="false">
      <c r="B174" s="40" t="n">
        <v>165</v>
      </c>
      <c r="C174" s="9" t="s">
        <v>383</v>
      </c>
      <c r="D174" s="9" t="s">
        <v>551</v>
      </c>
      <c r="E174" s="29" t="n">
        <v>0.058</v>
      </c>
      <c r="F174" s="36" t="n">
        <f aca="false">Market_Analysis!$F$25</f>
        <v>0.0576800000000001</v>
      </c>
      <c r="G174" s="37" t="n">
        <f aca="false">IFERROR(IF(ISNUMBER(F174),F174-E174,"n/a"),"n/a")</f>
        <v>-0.000319999999999938</v>
      </c>
      <c r="H174" s="41" t="n">
        <v>0.000500001</v>
      </c>
      <c r="I174" s="39" t="str">
        <f aca="false">IFERROR(IF(ISNUMBER(F174),IF(ABS(F174-E174)&lt;=H174,"PASS","FAIL"),"FAIL"),"FAIL")</f>
        <v>PASS</v>
      </c>
    </row>
    <row r="175" customFormat="false" ht="15" hidden="false" customHeight="false" outlineLevel="0" collapsed="false">
      <c r="B175" s="40" t="n">
        <v>166</v>
      </c>
      <c r="C175" s="9" t="s">
        <v>383</v>
      </c>
      <c r="D175" s="9" t="s">
        <v>552</v>
      </c>
      <c r="E175" s="13" t="n">
        <v>400</v>
      </c>
      <c r="F175" s="19" t="n">
        <f aca="false">Market_Analysis!$G$21</f>
        <v>400</v>
      </c>
      <c r="G175" s="37" t="n">
        <f aca="false">IFERROR(IF(ISNUMBER(F175),F175-E175,"n/a"),"n/a")</f>
        <v>0</v>
      </c>
      <c r="H175" s="41" t="n">
        <v>0.500000001</v>
      </c>
      <c r="I175" s="39" t="str">
        <f aca="false">IFERROR(IF(ISNUMBER(F175),IF(ABS(F175-E175)&lt;=H175,"PASS","FAIL"),"FAIL"),"FAIL")</f>
        <v>PASS</v>
      </c>
    </row>
    <row r="176" customFormat="false" ht="15" hidden="false" customHeight="false" outlineLevel="0" collapsed="false">
      <c r="B176" s="40" t="n">
        <v>167</v>
      </c>
      <c r="C176" s="9" t="s">
        <v>383</v>
      </c>
      <c r="D176" s="9" t="s">
        <v>553</v>
      </c>
      <c r="E176" s="31" t="n">
        <v>0.0337</v>
      </c>
      <c r="F176" s="47" t="n">
        <f aca="false">Market_Analysis!$G$26</f>
        <v>0.0336862745098039</v>
      </c>
      <c r="G176" s="37" t="n">
        <f aca="false">IFERROR(IF(ISNUMBER(F176),F176-E176,"n/a"),"n/a")</f>
        <v>-1.3725490196112E-005</v>
      </c>
      <c r="H176" s="41" t="n">
        <v>5.0001E-005</v>
      </c>
      <c r="I176" s="39" t="str">
        <f aca="false">IFERROR(IF(ISNUMBER(F176),IF(ABS(F176-E176)&lt;=H176,"PASS","FAIL"),"FAIL"),"FAIL")</f>
        <v>PASS</v>
      </c>
    </row>
    <row r="177" customFormat="false" ht="15" hidden="false" customHeight="false" outlineLevel="0" collapsed="false">
      <c r="B177" s="40" t="n">
        <v>168</v>
      </c>
      <c r="C177" s="9" t="s">
        <v>383</v>
      </c>
      <c r="D177" s="9" t="s">
        <v>554</v>
      </c>
      <c r="E177" s="29" t="n">
        <v>0.053</v>
      </c>
      <c r="F177" s="36" t="n">
        <f aca="false">Market_Analysis!$G$25</f>
        <v>0.0526274509803922</v>
      </c>
      <c r="G177" s="37" t="n">
        <f aca="false">IFERROR(IF(ISNUMBER(F177),F177-E177,"n/a"),"n/a")</f>
        <v>-0.000372549019607767</v>
      </c>
      <c r="H177" s="41" t="n">
        <v>0.000500001</v>
      </c>
      <c r="I177" s="39" t="str">
        <f aca="false">IFERROR(IF(ISNUMBER(F177),IF(ABS(F177-E177)&lt;=H177,"PASS","FAIL"),"FAIL"),"FAIL")</f>
        <v>PASS</v>
      </c>
    </row>
    <row r="178" customFormat="false" ht="15" hidden="false" customHeight="false" outlineLevel="0" collapsed="false">
      <c r="B178" s="40" t="n">
        <v>169</v>
      </c>
      <c r="C178" s="9" t="s">
        <v>383</v>
      </c>
      <c r="D178" s="9" t="s">
        <v>555</v>
      </c>
      <c r="E178" s="13" t="n">
        <v>400</v>
      </c>
      <c r="F178" s="19" t="n">
        <f aca="false">Market_Analysis!$H$21</f>
        <v>400</v>
      </c>
      <c r="G178" s="37" t="n">
        <f aca="false">IFERROR(IF(ISNUMBER(F178),F178-E178,"n/a"),"n/a")</f>
        <v>0</v>
      </c>
      <c r="H178" s="41" t="n">
        <v>0.500000001</v>
      </c>
      <c r="I178" s="39" t="str">
        <f aca="false">IFERROR(IF(ISNUMBER(F178),IF(ABS(F178-E178)&lt;=H178,"PASS","FAIL"),"FAIL"),"FAIL")</f>
        <v>PASS</v>
      </c>
    </row>
    <row r="179" customFormat="false" ht="15" hidden="false" customHeight="false" outlineLevel="0" collapsed="false">
      <c r="B179" s="40" t="n">
        <v>170</v>
      </c>
      <c r="C179" s="9" t="s">
        <v>383</v>
      </c>
      <c r="D179" s="9" t="s">
        <v>556</v>
      </c>
      <c r="E179" s="31" t="n">
        <v>0.0361</v>
      </c>
      <c r="F179" s="47" t="n">
        <f aca="false">Market_Analysis!$H$26</f>
        <v>0.0361153846153846</v>
      </c>
      <c r="G179" s="37" t="n">
        <f aca="false">IFERROR(IF(ISNUMBER(F179),F179-E179,"n/a"),"n/a")</f>
        <v>1.5384615384556E-005</v>
      </c>
      <c r="H179" s="41" t="n">
        <v>5.0001E-005</v>
      </c>
      <c r="I179" s="39" t="str">
        <f aca="false">IFERROR(IF(ISNUMBER(F179),IF(ABS(F179-E179)&lt;=H179,"PASS","FAIL"),"FAIL"),"FAIL")</f>
        <v>PASS</v>
      </c>
    </row>
    <row r="180" customFormat="false" ht="15" hidden="false" customHeight="false" outlineLevel="0" collapsed="false">
      <c r="B180" s="40" t="n">
        <v>171</v>
      </c>
      <c r="C180" s="9" t="s">
        <v>383</v>
      </c>
      <c r="D180" s="9" t="s">
        <v>557</v>
      </c>
      <c r="E180" s="29" t="n">
        <v>0.048</v>
      </c>
      <c r="F180" s="36" t="n">
        <f aca="false">Market_Analysis!$H$25</f>
        <v>0.0477692307692309</v>
      </c>
      <c r="G180" s="37" t="n">
        <f aca="false">IFERROR(IF(ISNUMBER(F180),F180-E180,"n/a"),"n/a")</f>
        <v>-0.000230769230769104</v>
      </c>
      <c r="H180" s="41" t="n">
        <v>0.000500001</v>
      </c>
      <c r="I180" s="39" t="str">
        <f aca="false">IFERROR(IF(ISNUMBER(F180),IF(ABS(F180-E180)&lt;=H180,"PASS","FAIL"),"FAIL"),"FAIL")</f>
        <v>PASS</v>
      </c>
    </row>
    <row r="181" customFormat="false" ht="15" hidden="false" customHeight="false" outlineLevel="0" collapsed="false">
      <c r="B181" s="40" t="n">
        <v>172</v>
      </c>
      <c r="C181" s="9" t="s">
        <v>383</v>
      </c>
      <c r="D181" s="9" t="s">
        <v>558</v>
      </c>
      <c r="E181" s="13" t="n">
        <v>1250</v>
      </c>
      <c r="F181" s="19" t="n">
        <f aca="false">Market_Analysis!$C$28</f>
        <v>1250</v>
      </c>
      <c r="G181" s="37" t="n">
        <f aca="false">IFERROR(IF(ISNUMBER(F181),F181-E181,"n/a"),"n/a")</f>
        <v>0</v>
      </c>
      <c r="H181" s="41" t="n">
        <v>0.500000001</v>
      </c>
      <c r="I181" s="39" t="str">
        <f aca="false">IFERROR(IF(ISNUMBER(F181),IF(ABS(F181-E181)&lt;=H181,"PASS","FAIL"),"FAIL"),"FAIL")</f>
        <v>PASS</v>
      </c>
    </row>
    <row r="182" customFormat="false" ht="15" hidden="false" customHeight="false" outlineLevel="0" collapsed="false">
      <c r="B182" s="40" t="n">
        <v>173</v>
      </c>
      <c r="C182" s="9" t="s">
        <v>383</v>
      </c>
      <c r="D182" s="9" t="s">
        <v>559</v>
      </c>
      <c r="E182" s="13" t="n">
        <v>2400</v>
      </c>
      <c r="F182" s="19" t="n">
        <f aca="false">Market_Analysis!$C$29</f>
        <v>2400</v>
      </c>
      <c r="G182" s="37" t="n">
        <f aca="false">IFERROR(IF(ISNUMBER(F182),F182-E182,"n/a"),"n/a")</f>
        <v>0</v>
      </c>
      <c r="H182" s="41" t="n">
        <v>0.500000001</v>
      </c>
      <c r="I182" s="39" t="str">
        <f aca="false">IFERROR(IF(ISNUMBER(F182),IF(ABS(F182-E182)&lt;=H182,"PASS","FAIL"),"FAIL"),"FAIL")</f>
        <v>PASS</v>
      </c>
    </row>
    <row r="183" customFormat="false" ht="15" hidden="false" customHeight="false" outlineLevel="0" collapsed="false">
      <c r="B183" s="40" t="n">
        <v>174</v>
      </c>
      <c r="C183" s="9" t="s">
        <v>383</v>
      </c>
      <c r="D183" s="9" t="s">
        <v>560</v>
      </c>
      <c r="E183" s="13" t="n">
        <v>2400</v>
      </c>
      <c r="F183" s="19" t="n">
        <f aca="false">Market_Analysis!$C$30</f>
        <v>2400</v>
      </c>
      <c r="G183" s="37" t="n">
        <f aca="false">IFERROR(IF(ISNUMBER(F183),F183-E183,"n/a"),"n/a")</f>
        <v>0</v>
      </c>
      <c r="H183" s="41" t="n">
        <v>0.500000001</v>
      </c>
      <c r="I183" s="39" t="str">
        <f aca="false">IFERROR(IF(ISNUMBER(F183),IF(ABS(F183-E183)&lt;=H183,"PASS","FAIL"),"FAIL"),"FAIL")</f>
        <v>PASS</v>
      </c>
    </row>
    <row r="184" customFormat="false" ht="15" hidden="false" customHeight="false" outlineLevel="0" collapsed="false">
      <c r="B184" s="40" t="n">
        <v>175</v>
      </c>
      <c r="C184" s="9" t="s">
        <v>383</v>
      </c>
      <c r="D184" s="9" t="s">
        <v>561</v>
      </c>
      <c r="E184" s="29" t="n">
        <v>0.065</v>
      </c>
      <c r="F184" s="36" t="n">
        <f aca="false">Market_Analysis!$C$31</f>
        <v>0.0653231552162851</v>
      </c>
      <c r="G184" s="37" t="n">
        <f aca="false">IFERROR(IF(ISNUMBER(F184),F184-E184,"n/a"),"n/a")</f>
        <v>0.000323155216285065</v>
      </c>
      <c r="H184" s="41" t="n">
        <v>0.000500001</v>
      </c>
      <c r="I184" s="39" t="str">
        <f aca="false">IFERROR(IF(ISNUMBER(F184),IF(ABS(F184-E184)&lt;=H184,"PASS","FAIL"),"FAIL"),"FAIL")</f>
        <v>PASS</v>
      </c>
    </row>
    <row r="185" customFormat="false" ht="15" hidden="false" customHeight="false" outlineLevel="0" collapsed="false">
      <c r="B185" s="40" t="n">
        <v>176</v>
      </c>
      <c r="C185" s="9" t="s">
        <v>383</v>
      </c>
      <c r="D185" s="9" t="s">
        <v>562</v>
      </c>
      <c r="E185" s="31" t="n">
        <v>0.0313</v>
      </c>
      <c r="F185" s="47" t="n">
        <f aca="false">Market_Analysis!$C$32</f>
        <v>0.0313060896018385</v>
      </c>
      <c r="G185" s="37" t="n">
        <f aca="false">IFERROR(IF(ISNUMBER(F185),F185-E185,"n/a"),"n/a")</f>
        <v>6.08960183848956E-006</v>
      </c>
      <c r="H185" s="41" t="n">
        <v>5.0001E-005</v>
      </c>
      <c r="I185" s="39" t="str">
        <f aca="false">IFERROR(IF(ISNUMBER(F185),IF(ABS(F185-E185)&lt;=H185,"PASS","FAIL"),"FAIL"),"FAIL")</f>
        <v>PASS</v>
      </c>
    </row>
    <row r="186" customFormat="false" ht="15" hidden="false" customHeight="false" outlineLevel="0" collapsed="false">
      <c r="B186" s="40" t="n">
        <v>177</v>
      </c>
      <c r="C186" s="9" t="s">
        <v>386</v>
      </c>
      <c r="D186" s="9" t="s">
        <v>563</v>
      </c>
      <c r="E186" s="13" t="n">
        <v>1141920</v>
      </c>
      <c r="F186" s="19" t="n">
        <f aca="false">Operating_Statements!$D$6</f>
        <v>1141920</v>
      </c>
      <c r="G186" s="37" t="n">
        <f aca="false">IFERROR(IF(ISNUMBER(F186),F186-E186,"n/a"),"n/a")</f>
        <v>0</v>
      </c>
      <c r="H186" s="41" t="n">
        <v>0.500000001</v>
      </c>
      <c r="I186" s="39" t="str">
        <f aca="false">IFERROR(IF(ISNUMBER(F186),IF(ABS(F186-E186)&lt;=H186,"PASS","FAIL"),"FAIL"),"FAIL")</f>
        <v>PASS</v>
      </c>
    </row>
    <row r="187" customFormat="false" ht="15" hidden="false" customHeight="false" outlineLevel="0" collapsed="false">
      <c r="B187" s="40" t="n">
        <v>178</v>
      </c>
      <c r="C187" s="9" t="s">
        <v>386</v>
      </c>
      <c r="D187" s="9" t="s">
        <v>564</v>
      </c>
      <c r="E187" s="13" t="n">
        <v>1183680</v>
      </c>
      <c r="F187" s="19" t="n">
        <f aca="false">Operating_Statements!$F$6</f>
        <v>1183680</v>
      </c>
      <c r="G187" s="37" t="n">
        <f aca="false">IFERROR(IF(ISNUMBER(F187),F187-E187,"n/a"),"n/a")</f>
        <v>0</v>
      </c>
      <c r="H187" s="41" t="n">
        <v>0.500000001</v>
      </c>
      <c r="I187" s="39" t="str">
        <f aca="false">IFERROR(IF(ISNUMBER(F187),IF(ABS(F187-E187)&lt;=H187,"PASS","FAIL"),"FAIL"),"FAIL")</f>
        <v>PASS</v>
      </c>
    </row>
    <row r="188" customFormat="false" ht="15" hidden="false" customHeight="false" outlineLevel="0" collapsed="false">
      <c r="B188" s="40" t="n">
        <v>179</v>
      </c>
      <c r="C188" s="9" t="s">
        <v>386</v>
      </c>
      <c r="D188" s="9" t="s">
        <v>565</v>
      </c>
      <c r="E188" s="13" t="n">
        <v>1183680</v>
      </c>
      <c r="F188" s="19" t="n">
        <f aca="false">Operating_Statements!$H$6</f>
        <v>1183680</v>
      </c>
      <c r="G188" s="37" t="n">
        <f aca="false">IFERROR(IF(ISNUMBER(F188),F188-E188,"n/a"),"n/a")</f>
        <v>0</v>
      </c>
      <c r="H188" s="41" t="n">
        <v>0.500000001</v>
      </c>
      <c r="I188" s="39" t="str">
        <f aca="false">IFERROR(IF(ISNUMBER(F188),IF(ABS(F188-E188)&lt;=H188,"PASS","FAIL"),"FAIL"),"FAIL")</f>
        <v>PASS</v>
      </c>
    </row>
    <row r="189" customFormat="false" ht="15" hidden="false" customHeight="false" outlineLevel="0" collapsed="false">
      <c r="B189" s="40" t="n">
        <v>180</v>
      </c>
      <c r="C189" s="9" t="s">
        <v>386</v>
      </c>
      <c r="D189" s="9" t="s">
        <v>566</v>
      </c>
      <c r="E189" s="13" t="n">
        <v>34560</v>
      </c>
      <c r="F189" s="19" t="n">
        <f aca="false">Operating_Statements!$D$7</f>
        <v>34560</v>
      </c>
      <c r="G189" s="37" t="n">
        <f aca="false">IFERROR(IF(ISNUMBER(F189),F189-E189,"n/a"),"n/a")</f>
        <v>0</v>
      </c>
      <c r="H189" s="41" t="n">
        <v>0.500000001</v>
      </c>
      <c r="I189" s="39" t="str">
        <f aca="false">IFERROR(IF(ISNUMBER(F189),IF(ABS(F189-E189)&lt;=H189,"PASS","FAIL"),"FAIL"),"FAIL")</f>
        <v>PASS</v>
      </c>
    </row>
    <row r="190" customFormat="false" ht="15" hidden="false" customHeight="false" outlineLevel="0" collapsed="false">
      <c r="B190" s="40" t="n">
        <v>181</v>
      </c>
      <c r="C190" s="9" t="s">
        <v>386</v>
      </c>
      <c r="D190" s="9" t="s">
        <v>567</v>
      </c>
      <c r="E190" s="13" t="n">
        <v>34560</v>
      </c>
      <c r="F190" s="19" t="n">
        <f aca="false">Operating_Statements!$F$7</f>
        <v>34560</v>
      </c>
      <c r="G190" s="37" t="n">
        <f aca="false">IFERROR(IF(ISNUMBER(F190),F190-E190,"n/a"),"n/a")</f>
        <v>0</v>
      </c>
      <c r="H190" s="41" t="n">
        <v>0.500000001</v>
      </c>
      <c r="I190" s="39" t="str">
        <f aca="false">IFERROR(IF(ISNUMBER(F190),IF(ABS(F190-E190)&lt;=H190,"PASS","FAIL"),"FAIL"),"FAIL")</f>
        <v>PASS</v>
      </c>
    </row>
    <row r="191" customFormat="false" ht="15" hidden="false" customHeight="false" outlineLevel="0" collapsed="false">
      <c r="B191" s="40" t="n">
        <v>182</v>
      </c>
      <c r="C191" s="9" t="s">
        <v>386</v>
      </c>
      <c r="D191" s="9" t="s">
        <v>568</v>
      </c>
      <c r="E191" s="13" t="n">
        <v>34560</v>
      </c>
      <c r="F191" s="19" t="n">
        <f aca="false">Operating_Statements!$H$7</f>
        <v>34560</v>
      </c>
      <c r="G191" s="37" t="n">
        <f aca="false">IFERROR(IF(ISNUMBER(F191),F191-E191,"n/a"),"n/a")</f>
        <v>0</v>
      </c>
      <c r="H191" s="41" t="n">
        <v>0.500000001</v>
      </c>
      <c r="I191" s="39" t="str">
        <f aca="false">IFERROR(IF(ISNUMBER(F191),IF(ABS(F191-E191)&lt;=H191,"PASS","FAIL"),"FAIL"),"FAIL")</f>
        <v>PASS</v>
      </c>
    </row>
    <row r="192" customFormat="false" ht="15" hidden="false" customHeight="false" outlineLevel="0" collapsed="false">
      <c r="B192" s="40" t="n">
        <v>183</v>
      </c>
      <c r="C192" s="9" t="s">
        <v>386</v>
      </c>
      <c r="D192" s="9" t="s">
        <v>569</v>
      </c>
      <c r="E192" s="13" t="n">
        <v>1134480</v>
      </c>
      <c r="F192" s="19" t="n">
        <f aca="false">Operating_Statements!$D$9</f>
        <v>1134480</v>
      </c>
      <c r="G192" s="37" t="n">
        <f aca="false">IFERROR(IF(ISNUMBER(F192),F192-E192,"n/a"),"n/a")</f>
        <v>0</v>
      </c>
      <c r="H192" s="41" t="n">
        <v>0.500000001</v>
      </c>
      <c r="I192" s="39" t="str">
        <f aca="false">IFERROR(IF(ISNUMBER(F192),IF(ABS(F192-E192)&lt;=H192,"PASS","FAIL"),"FAIL"),"FAIL")</f>
        <v>PASS</v>
      </c>
    </row>
    <row r="193" customFormat="false" ht="15" hidden="false" customHeight="false" outlineLevel="0" collapsed="false">
      <c r="B193" s="40" t="n">
        <v>184</v>
      </c>
      <c r="C193" s="9" t="s">
        <v>386</v>
      </c>
      <c r="D193" s="9" t="s">
        <v>570</v>
      </c>
      <c r="E193" s="13" t="n">
        <v>1157328</v>
      </c>
      <c r="F193" s="19" t="n">
        <f aca="false">Operating_Statements!$F$9</f>
        <v>1157328</v>
      </c>
      <c r="G193" s="37" t="n">
        <f aca="false">IFERROR(IF(ISNUMBER(F193),F193-E193,"n/a"),"n/a")</f>
        <v>0</v>
      </c>
      <c r="H193" s="41" t="n">
        <v>0.500000001</v>
      </c>
      <c r="I193" s="39" t="str">
        <f aca="false">IFERROR(IF(ISNUMBER(F193),IF(ABS(F193-E193)&lt;=H193,"PASS","FAIL"),"FAIL"),"FAIL")</f>
        <v>PASS</v>
      </c>
    </row>
    <row r="194" customFormat="false" ht="15" hidden="false" customHeight="false" outlineLevel="0" collapsed="false">
      <c r="B194" s="40" t="n">
        <v>185</v>
      </c>
      <c r="C194" s="9" t="s">
        <v>386</v>
      </c>
      <c r="D194" s="9" t="s">
        <v>571</v>
      </c>
      <c r="E194" s="13" t="n">
        <v>1157328</v>
      </c>
      <c r="F194" s="19" t="n">
        <f aca="false">Operating_Statements!$H$9</f>
        <v>1157328</v>
      </c>
      <c r="G194" s="37" t="n">
        <f aca="false">IFERROR(IF(ISNUMBER(F194),F194-E194,"n/a"),"n/a")</f>
        <v>0</v>
      </c>
      <c r="H194" s="41" t="n">
        <v>0.500000001</v>
      </c>
      <c r="I194" s="39" t="str">
        <f aca="false">IFERROR(IF(ISNUMBER(F194),IF(ABS(F194-E194)&lt;=H194,"PASS","FAIL"),"FAIL"),"FAIL")</f>
        <v>PASS</v>
      </c>
    </row>
    <row r="195" customFormat="false" ht="15" hidden="false" customHeight="false" outlineLevel="0" collapsed="false">
      <c r="B195" s="40" t="n">
        <v>186</v>
      </c>
      <c r="C195" s="9" t="s">
        <v>386</v>
      </c>
      <c r="D195" s="9" t="s">
        <v>572</v>
      </c>
      <c r="E195" s="13" t="n">
        <v>1339</v>
      </c>
      <c r="F195" s="19" t="n">
        <f aca="false">Operating_Statements!$C$11</f>
        <v>1338.88888888889</v>
      </c>
      <c r="G195" s="37" t="n">
        <f aca="false">IFERROR(IF(ISNUMBER(F195),F195-E195,"n/a"),"n/a")</f>
        <v>-0.111111111111086</v>
      </c>
      <c r="H195" s="41" t="n">
        <v>0.500000001</v>
      </c>
      <c r="I195" s="39" t="str">
        <f aca="false">IFERROR(IF(ISNUMBER(F195),IF(ABS(F195-E195)&lt;=H195,"PASS","FAIL"),"FAIL"),"FAIL")</f>
        <v>PASS</v>
      </c>
    </row>
    <row r="196" customFormat="false" ht="15" hidden="false" customHeight="false" outlineLevel="0" collapsed="false">
      <c r="B196" s="40" t="n">
        <v>187</v>
      </c>
      <c r="C196" s="9" t="s">
        <v>386</v>
      </c>
      <c r="D196" s="9" t="s">
        <v>573</v>
      </c>
      <c r="E196" s="13" t="n">
        <v>104400</v>
      </c>
      <c r="F196" s="19" t="n">
        <f aca="false">Operating_Statements!$F$11</f>
        <v>104400</v>
      </c>
      <c r="G196" s="37" t="n">
        <f aca="false">IFERROR(IF(ISNUMBER(F196),F196-E196,"n/a"),"n/a")</f>
        <v>0</v>
      </c>
      <c r="H196" s="41" t="n">
        <v>0.500000001</v>
      </c>
      <c r="I196" s="39" t="str">
        <f aca="false">IFERROR(IF(ISNUMBER(F196),IF(ABS(F196-E196)&lt;=H196,"PASS","FAIL"),"FAIL"),"FAIL")</f>
        <v>PASS</v>
      </c>
    </row>
    <row r="197" customFormat="false" ht="15" hidden="false" customHeight="false" outlineLevel="0" collapsed="false">
      <c r="B197" s="40" t="n">
        <v>188</v>
      </c>
      <c r="C197" s="9" t="s">
        <v>386</v>
      </c>
      <c r="D197" s="9" t="s">
        <v>574</v>
      </c>
      <c r="E197" s="13" t="n">
        <v>104400</v>
      </c>
      <c r="F197" s="19" t="n">
        <f aca="false">Operating_Statements!$H$11</f>
        <v>104400</v>
      </c>
      <c r="G197" s="37" t="n">
        <f aca="false">IFERROR(IF(ISNUMBER(F197),F197-E197,"n/a"),"n/a")</f>
        <v>0</v>
      </c>
      <c r="H197" s="41" t="n">
        <v>0.500000001</v>
      </c>
      <c r="I197" s="39" t="str">
        <f aca="false">IFERROR(IF(ISNUMBER(F197),IF(ABS(F197-E197)&lt;=H197,"PASS","FAIL"),"FAIL"),"FAIL")</f>
        <v>PASS</v>
      </c>
    </row>
    <row r="198" customFormat="false" ht="15" hidden="false" customHeight="false" outlineLevel="0" collapsed="false">
      <c r="B198" s="40" t="n">
        <v>189</v>
      </c>
      <c r="C198" s="9" t="s">
        <v>386</v>
      </c>
      <c r="D198" s="9" t="s">
        <v>575</v>
      </c>
      <c r="E198" s="13" t="n">
        <v>550</v>
      </c>
      <c r="F198" s="19" t="n">
        <f aca="false">Operating_Statements!$C$12</f>
        <v>550</v>
      </c>
      <c r="G198" s="37" t="n">
        <f aca="false">IFERROR(IF(ISNUMBER(F198),F198-E198,"n/a"),"n/a")</f>
        <v>0</v>
      </c>
      <c r="H198" s="41" t="n">
        <v>0.500000001</v>
      </c>
      <c r="I198" s="39" t="str">
        <f aca="false">IFERROR(IF(ISNUMBER(F198),IF(ABS(F198-E198)&lt;=H198,"PASS","FAIL"),"FAIL"),"FAIL")</f>
        <v>PASS</v>
      </c>
    </row>
    <row r="199" customFormat="false" ht="15" hidden="false" customHeight="false" outlineLevel="0" collapsed="false">
      <c r="B199" s="40" t="n">
        <v>190</v>
      </c>
      <c r="C199" s="9" t="s">
        <v>386</v>
      </c>
      <c r="D199" s="9" t="s">
        <v>576</v>
      </c>
      <c r="E199" s="13" t="n">
        <v>46800</v>
      </c>
      <c r="F199" s="19" t="n">
        <f aca="false">Operating_Statements!$F$12</f>
        <v>46800</v>
      </c>
      <c r="G199" s="37" t="n">
        <f aca="false">IFERROR(IF(ISNUMBER(F199),F199-E199,"n/a"),"n/a")</f>
        <v>0</v>
      </c>
      <c r="H199" s="41" t="n">
        <v>0.500000001</v>
      </c>
      <c r="I199" s="39" t="str">
        <f aca="false">IFERROR(IF(ISNUMBER(F199),IF(ABS(F199-E199)&lt;=H199,"PASS","FAIL"),"FAIL"),"FAIL")</f>
        <v>PASS</v>
      </c>
    </row>
    <row r="200" customFormat="false" ht="15" hidden="false" customHeight="false" outlineLevel="0" collapsed="false">
      <c r="B200" s="40" t="n">
        <v>191</v>
      </c>
      <c r="C200" s="9" t="s">
        <v>386</v>
      </c>
      <c r="D200" s="9" t="s">
        <v>577</v>
      </c>
      <c r="E200" s="13" t="n">
        <v>43200</v>
      </c>
      <c r="F200" s="19" t="n">
        <f aca="false">Operating_Statements!$H$12</f>
        <v>43200</v>
      </c>
      <c r="G200" s="37" t="n">
        <f aca="false">IFERROR(IF(ISNUMBER(F200),F200-E200,"n/a"),"n/a")</f>
        <v>0</v>
      </c>
      <c r="H200" s="41" t="n">
        <v>0.500000001</v>
      </c>
      <c r="I200" s="39" t="str">
        <f aca="false">IFERROR(IF(ISNUMBER(F200),IF(ABS(F200-E200)&lt;=H200,"PASS","FAIL"),"FAIL"),"FAIL")</f>
        <v>PASS</v>
      </c>
    </row>
    <row r="201" customFormat="false" ht="15" hidden="false" customHeight="false" outlineLevel="0" collapsed="false">
      <c r="B201" s="40" t="n">
        <v>192</v>
      </c>
      <c r="C201" s="9" t="s">
        <v>386</v>
      </c>
      <c r="D201" s="9" t="s">
        <v>578</v>
      </c>
      <c r="E201" s="13" t="n">
        <v>850</v>
      </c>
      <c r="F201" s="19" t="n">
        <f aca="false">Operating_Statements!$C$13</f>
        <v>850</v>
      </c>
      <c r="G201" s="37" t="n">
        <f aca="false">IFERROR(IF(ISNUMBER(F201),F201-E201,"n/a"),"n/a")</f>
        <v>0</v>
      </c>
      <c r="H201" s="41" t="n">
        <v>0.500000001</v>
      </c>
      <c r="I201" s="39" t="str">
        <f aca="false">IFERROR(IF(ISNUMBER(F201),IF(ABS(F201-E201)&lt;=H201,"PASS","FAIL"),"FAIL"),"FAIL")</f>
        <v>PASS</v>
      </c>
    </row>
    <row r="202" customFormat="false" ht="15" hidden="false" customHeight="false" outlineLevel="0" collapsed="false">
      <c r="B202" s="40" t="n">
        <v>193</v>
      </c>
      <c r="C202" s="9" t="s">
        <v>386</v>
      </c>
      <c r="D202" s="9" t="s">
        <v>579</v>
      </c>
      <c r="E202" s="13" t="n">
        <v>61200</v>
      </c>
      <c r="F202" s="19" t="n">
        <f aca="false">Operating_Statements!$F$13</f>
        <v>61200</v>
      </c>
      <c r="G202" s="37" t="n">
        <f aca="false">IFERROR(IF(ISNUMBER(F202),F202-E202,"n/a"),"n/a")</f>
        <v>0</v>
      </c>
      <c r="H202" s="41" t="n">
        <v>0.500000001</v>
      </c>
      <c r="I202" s="39" t="str">
        <f aca="false">IFERROR(IF(ISNUMBER(F202),IF(ABS(F202-E202)&lt;=H202,"PASS","FAIL"),"FAIL"),"FAIL")</f>
        <v>PASS</v>
      </c>
    </row>
    <row r="203" customFormat="false" ht="15" hidden="false" customHeight="false" outlineLevel="0" collapsed="false">
      <c r="B203" s="40" t="n">
        <v>194</v>
      </c>
      <c r="C203" s="9" t="s">
        <v>386</v>
      </c>
      <c r="D203" s="9" t="s">
        <v>580</v>
      </c>
      <c r="E203" s="13" t="n">
        <v>61200</v>
      </c>
      <c r="F203" s="19" t="n">
        <f aca="false">Operating_Statements!$H$13</f>
        <v>61200</v>
      </c>
      <c r="G203" s="37" t="n">
        <f aca="false">IFERROR(IF(ISNUMBER(F203),F203-E203,"n/a"),"n/a")</f>
        <v>0</v>
      </c>
      <c r="H203" s="41" t="n">
        <v>0.500000001</v>
      </c>
      <c r="I203" s="39" t="str">
        <f aca="false">IFERROR(IF(ISNUMBER(F203),IF(ABS(F203-E203)&lt;=H203,"PASS","FAIL"),"FAIL"),"FAIL")</f>
        <v>PASS</v>
      </c>
    </row>
    <row r="204" customFormat="false" ht="15" hidden="false" customHeight="false" outlineLevel="0" collapsed="false">
      <c r="B204" s="40" t="n">
        <v>195</v>
      </c>
      <c r="C204" s="9" t="s">
        <v>386</v>
      </c>
      <c r="D204" s="9" t="s">
        <v>581</v>
      </c>
      <c r="E204" s="13" t="n">
        <v>600</v>
      </c>
      <c r="F204" s="19" t="n">
        <f aca="false">Operating_Statements!$C$14</f>
        <v>600</v>
      </c>
      <c r="G204" s="37" t="n">
        <f aca="false">IFERROR(IF(ISNUMBER(F204),F204-E204,"n/a"),"n/a")</f>
        <v>0</v>
      </c>
      <c r="H204" s="41" t="n">
        <v>0.500000001</v>
      </c>
      <c r="I204" s="39" t="str">
        <f aca="false">IFERROR(IF(ISNUMBER(F204),IF(ABS(F204-E204)&lt;=H204,"PASS","FAIL"),"FAIL"),"FAIL")</f>
        <v>PASS</v>
      </c>
    </row>
    <row r="205" customFormat="false" ht="15" hidden="false" customHeight="false" outlineLevel="0" collapsed="false">
      <c r="B205" s="40" t="n">
        <v>196</v>
      </c>
      <c r="C205" s="9" t="s">
        <v>386</v>
      </c>
      <c r="D205" s="9" t="s">
        <v>582</v>
      </c>
      <c r="E205" s="13" t="n">
        <v>54000</v>
      </c>
      <c r="F205" s="19" t="n">
        <f aca="false">Operating_Statements!$F$14</f>
        <v>54000</v>
      </c>
      <c r="G205" s="37" t="n">
        <f aca="false">IFERROR(IF(ISNUMBER(F205),F205-E205,"n/a"),"n/a")</f>
        <v>0</v>
      </c>
      <c r="H205" s="41" t="n">
        <v>0.500000001</v>
      </c>
      <c r="I205" s="39" t="str">
        <f aca="false">IFERROR(IF(ISNUMBER(F205),IF(ABS(F205-E205)&lt;=H205,"PASS","FAIL"),"FAIL"),"FAIL")</f>
        <v>PASS</v>
      </c>
    </row>
    <row r="206" customFormat="false" ht="15" hidden="false" customHeight="false" outlineLevel="0" collapsed="false">
      <c r="B206" s="40" t="n">
        <v>197</v>
      </c>
      <c r="C206" s="9" t="s">
        <v>386</v>
      </c>
      <c r="D206" s="9" t="s">
        <v>583</v>
      </c>
      <c r="E206" s="13" t="n">
        <v>54000</v>
      </c>
      <c r="F206" s="19" t="n">
        <f aca="false">Operating_Statements!$H$14</f>
        <v>54000</v>
      </c>
      <c r="G206" s="37" t="n">
        <f aca="false">IFERROR(IF(ISNUMBER(F206),F206-E206,"n/a"),"n/a")</f>
        <v>0</v>
      </c>
      <c r="H206" s="41" t="n">
        <v>0.500000001</v>
      </c>
      <c r="I206" s="39" t="str">
        <f aca="false">IFERROR(IF(ISNUMBER(F206),IF(ABS(F206-E206)&lt;=H206,"PASS","FAIL"),"FAIL"),"FAIL")</f>
        <v>PASS</v>
      </c>
    </row>
    <row r="207" customFormat="false" ht="15" hidden="false" customHeight="false" outlineLevel="0" collapsed="false">
      <c r="B207" s="40" t="n">
        <v>198</v>
      </c>
      <c r="C207" s="9" t="s">
        <v>386</v>
      </c>
      <c r="D207" s="9" t="s">
        <v>584</v>
      </c>
      <c r="E207" s="13" t="n">
        <v>1150</v>
      </c>
      <c r="F207" s="19" t="n">
        <f aca="false">Operating_Statements!$C$15</f>
        <v>1150</v>
      </c>
      <c r="G207" s="37" t="n">
        <f aca="false">IFERROR(IF(ISNUMBER(F207),F207-E207,"n/a"),"n/a")</f>
        <v>0</v>
      </c>
      <c r="H207" s="41" t="n">
        <v>0.500000001</v>
      </c>
      <c r="I207" s="39" t="str">
        <f aca="false">IFERROR(IF(ISNUMBER(F207),IF(ABS(F207-E207)&lt;=H207,"PASS","FAIL"),"FAIL"),"FAIL")</f>
        <v>PASS</v>
      </c>
    </row>
    <row r="208" customFormat="false" ht="15" hidden="false" customHeight="false" outlineLevel="0" collapsed="false">
      <c r="B208" s="40" t="n">
        <v>199</v>
      </c>
      <c r="C208" s="9" t="s">
        <v>386</v>
      </c>
      <c r="D208" s="9" t="s">
        <v>585</v>
      </c>
      <c r="E208" s="13" t="n">
        <v>86400</v>
      </c>
      <c r="F208" s="19" t="n">
        <f aca="false">Operating_Statements!$F$15</f>
        <v>86400</v>
      </c>
      <c r="G208" s="37" t="n">
        <f aca="false">IFERROR(IF(ISNUMBER(F208),F208-E208,"n/a"),"n/a")</f>
        <v>0</v>
      </c>
      <c r="H208" s="41" t="n">
        <v>0.500000001</v>
      </c>
      <c r="I208" s="39" t="str">
        <f aca="false">IFERROR(IF(ISNUMBER(F208),IF(ABS(F208-E208)&lt;=H208,"PASS","FAIL"),"FAIL"),"FAIL")</f>
        <v>PASS</v>
      </c>
    </row>
    <row r="209" customFormat="false" ht="15" hidden="false" customHeight="false" outlineLevel="0" collapsed="false">
      <c r="B209" s="40" t="n">
        <v>200</v>
      </c>
      <c r="C209" s="9" t="s">
        <v>386</v>
      </c>
      <c r="D209" s="9" t="s">
        <v>586</v>
      </c>
      <c r="E209" s="13" t="n">
        <v>86400</v>
      </c>
      <c r="F209" s="19" t="n">
        <f aca="false">Operating_Statements!$H$15</f>
        <v>86400</v>
      </c>
      <c r="G209" s="37" t="n">
        <f aca="false">IFERROR(IF(ISNUMBER(F209),F209-E209,"n/a"),"n/a")</f>
        <v>0</v>
      </c>
      <c r="H209" s="41" t="n">
        <v>0.500000001</v>
      </c>
      <c r="I209" s="39" t="str">
        <f aca="false">IFERROR(IF(ISNUMBER(F209),IF(ABS(F209-E209)&lt;=H209,"PASS","FAIL"),"FAIL"),"FAIL")</f>
        <v>PASS</v>
      </c>
    </row>
    <row r="210" customFormat="false" ht="15" hidden="false" customHeight="false" outlineLevel="0" collapsed="false">
      <c r="B210" s="40" t="n">
        <v>201</v>
      </c>
      <c r="C210" s="9" t="s">
        <v>386</v>
      </c>
      <c r="D210" s="9" t="s">
        <v>587</v>
      </c>
      <c r="E210" s="13" t="n">
        <v>34034</v>
      </c>
      <c r="F210" s="19" t="n">
        <f aca="false">Operating_Statements!$D$16</f>
        <v>34034.4</v>
      </c>
      <c r="G210" s="37" t="n">
        <f aca="false">IFERROR(IF(ISNUMBER(F210),F210-E210,"n/a"),"n/a")</f>
        <v>0.400000000001455</v>
      </c>
      <c r="H210" s="41" t="n">
        <v>0.500000001</v>
      </c>
      <c r="I210" s="39" t="str">
        <f aca="false">IFERROR(IF(ISNUMBER(F210),IF(ABS(F210-E210)&lt;=H210,"PASS","FAIL"),"FAIL"),"FAIL")</f>
        <v>PASS</v>
      </c>
    </row>
    <row r="211" customFormat="false" ht="15" hidden="false" customHeight="false" outlineLevel="0" collapsed="false">
      <c r="B211" s="40" t="n">
        <v>202</v>
      </c>
      <c r="C211" s="9" t="s">
        <v>386</v>
      </c>
      <c r="D211" s="9" t="s">
        <v>588</v>
      </c>
      <c r="E211" s="13" t="n">
        <v>473</v>
      </c>
      <c r="F211" s="19" t="n">
        <f aca="false">Operating_Statements!$C$16</f>
        <v>472.7</v>
      </c>
      <c r="G211" s="37" t="n">
        <f aca="false">IFERROR(IF(ISNUMBER(F211),F211-E211,"n/a"),"n/a")</f>
        <v>-0.299999999999955</v>
      </c>
      <c r="H211" s="41" t="n">
        <v>0.500000001</v>
      </c>
      <c r="I211" s="39" t="str">
        <f aca="false">IFERROR(IF(ISNUMBER(F211),IF(ABS(F211-E211)&lt;=H211,"PASS","FAIL"),"FAIL"),"FAIL")</f>
        <v>PASS</v>
      </c>
    </row>
    <row r="212" customFormat="false" ht="15" hidden="false" customHeight="false" outlineLevel="0" collapsed="false">
      <c r="B212" s="40" t="n">
        <v>203</v>
      </c>
      <c r="C212" s="9" t="s">
        <v>386</v>
      </c>
      <c r="D212" s="9" t="s">
        <v>589</v>
      </c>
      <c r="E212" s="13" t="n">
        <v>40506</v>
      </c>
      <c r="F212" s="19" t="n">
        <f aca="false">Operating_Statements!$F$16</f>
        <v>40506.48</v>
      </c>
      <c r="G212" s="37" t="n">
        <f aca="false">IFERROR(IF(ISNUMBER(F212),F212-E212,"n/a"),"n/a")</f>
        <v>0.480000000003201</v>
      </c>
      <c r="H212" s="41" t="n">
        <v>0.500000001</v>
      </c>
      <c r="I212" s="39" t="str">
        <f aca="false">IFERROR(IF(ISNUMBER(F212),IF(ABS(F212-E212)&lt;=H212,"PASS","FAIL"),"FAIL"),"FAIL")</f>
        <v>PASS</v>
      </c>
    </row>
    <row r="213" customFormat="false" ht="15" hidden="false" customHeight="false" outlineLevel="0" collapsed="false">
      <c r="B213" s="40" t="n">
        <v>204</v>
      </c>
      <c r="C213" s="9" t="s">
        <v>386</v>
      </c>
      <c r="D213" s="9" t="s">
        <v>590</v>
      </c>
      <c r="E213" s="13" t="n">
        <v>563</v>
      </c>
      <c r="F213" s="19" t="n">
        <f aca="false">Operating_Statements!$E$16</f>
        <v>562.59</v>
      </c>
      <c r="G213" s="37" t="n">
        <f aca="false">IFERROR(IF(ISNUMBER(F213),F213-E213,"n/a"),"n/a")</f>
        <v>-0.409999999999968</v>
      </c>
      <c r="H213" s="41" t="n">
        <v>0.500000001</v>
      </c>
      <c r="I213" s="39" t="str">
        <f aca="false">IFERROR(IF(ISNUMBER(F213),IF(ABS(F213-E213)&lt;=H213,"PASS","FAIL"),"FAIL"),"FAIL")</f>
        <v>PASS</v>
      </c>
    </row>
    <row r="214" customFormat="false" ht="15" hidden="false" customHeight="false" outlineLevel="0" collapsed="false">
      <c r="B214" s="40" t="n">
        <v>205</v>
      </c>
      <c r="C214" s="9" t="s">
        <v>386</v>
      </c>
      <c r="D214" s="9" t="s">
        <v>591</v>
      </c>
      <c r="E214" s="13" t="n">
        <v>34720</v>
      </c>
      <c r="F214" s="19" t="n">
        <f aca="false">Operating_Statements!$H$16</f>
        <v>34719.84</v>
      </c>
      <c r="G214" s="37" t="n">
        <f aca="false">IFERROR(IF(ISNUMBER(F214),F214-E214,"n/a"),"n/a")</f>
        <v>-0.160000000003492</v>
      </c>
      <c r="H214" s="41" t="n">
        <v>0.500000001</v>
      </c>
      <c r="I214" s="39" t="str">
        <f aca="false">IFERROR(IF(ISNUMBER(F214),IF(ABS(F214-E214)&lt;=H214,"PASS","FAIL"),"FAIL"),"FAIL")</f>
        <v>PASS</v>
      </c>
    </row>
    <row r="215" customFormat="false" ht="15" hidden="false" customHeight="false" outlineLevel="0" collapsed="false">
      <c r="B215" s="40" t="n">
        <v>206</v>
      </c>
      <c r="C215" s="9" t="s">
        <v>386</v>
      </c>
      <c r="D215" s="9" t="s">
        <v>592</v>
      </c>
      <c r="E215" s="13" t="n">
        <v>482</v>
      </c>
      <c r="F215" s="19" t="n">
        <f aca="false">Operating_Statements!$G$16</f>
        <v>482.22</v>
      </c>
      <c r="G215" s="37" t="n">
        <f aca="false">IFERROR(IF(ISNUMBER(F215),F215-E215,"n/a"),"n/a")</f>
        <v>0.21999999999997</v>
      </c>
      <c r="H215" s="41" t="n">
        <v>0.500000001</v>
      </c>
      <c r="I215" s="39" t="str">
        <f aca="false">IFERROR(IF(ISNUMBER(F215),IF(ABS(F215-E215)&lt;=H215,"PASS","FAIL"),"FAIL"),"FAIL")</f>
        <v>PASS</v>
      </c>
    </row>
    <row r="216" customFormat="false" ht="15" hidden="false" customHeight="false" outlineLevel="0" collapsed="false">
      <c r="B216" s="40" t="n">
        <v>207</v>
      </c>
      <c r="C216" s="9" t="s">
        <v>386</v>
      </c>
      <c r="D216" s="9" t="s">
        <v>593</v>
      </c>
      <c r="E216" s="13" t="n">
        <v>250</v>
      </c>
      <c r="F216" s="19" t="n">
        <f aca="false">Operating_Statements!$C$17</f>
        <v>250</v>
      </c>
      <c r="G216" s="37" t="n">
        <f aca="false">IFERROR(IF(ISNUMBER(F216),F216-E216,"n/a"),"n/a")</f>
        <v>0</v>
      </c>
      <c r="H216" s="41" t="n">
        <v>0.500000001</v>
      </c>
      <c r="I216" s="39" t="str">
        <f aca="false">IFERROR(IF(ISNUMBER(F216),IF(ABS(F216-E216)&lt;=H216,"PASS","FAIL"),"FAIL"),"FAIL")</f>
        <v>PASS</v>
      </c>
    </row>
    <row r="217" customFormat="false" ht="15" hidden="false" customHeight="false" outlineLevel="0" collapsed="false">
      <c r="B217" s="40" t="n">
        <v>208</v>
      </c>
      <c r="C217" s="9" t="s">
        <v>386</v>
      </c>
      <c r="D217" s="9" t="s">
        <v>594</v>
      </c>
      <c r="E217" s="13" t="n">
        <v>21600</v>
      </c>
      <c r="F217" s="19" t="n">
        <f aca="false">Operating_Statements!$F$17</f>
        <v>21600</v>
      </c>
      <c r="G217" s="37" t="n">
        <f aca="false">IFERROR(IF(ISNUMBER(F217),F217-E217,"n/a"),"n/a")</f>
        <v>0</v>
      </c>
      <c r="H217" s="41" t="n">
        <v>0.500000001</v>
      </c>
      <c r="I217" s="39" t="str">
        <f aca="false">IFERROR(IF(ISNUMBER(F217),IF(ABS(F217-E217)&lt;=H217,"PASS","FAIL"),"FAIL"),"FAIL")</f>
        <v>PASS</v>
      </c>
    </row>
    <row r="218" customFormat="false" ht="15" hidden="false" customHeight="false" outlineLevel="0" collapsed="false">
      <c r="B218" s="40" t="n">
        <v>209</v>
      </c>
      <c r="C218" s="9" t="s">
        <v>386</v>
      </c>
      <c r="D218" s="9" t="s">
        <v>595</v>
      </c>
      <c r="E218" s="13" t="n">
        <v>21600</v>
      </c>
      <c r="F218" s="19" t="n">
        <f aca="false">Operating_Statements!$H$17</f>
        <v>21600</v>
      </c>
      <c r="G218" s="37" t="n">
        <f aca="false">IFERROR(IF(ISNUMBER(F218),F218-E218,"n/a"),"n/a")</f>
        <v>0</v>
      </c>
      <c r="H218" s="41" t="n">
        <v>0.500000001</v>
      </c>
      <c r="I218" s="39" t="str">
        <f aca="false">IFERROR(IF(ISNUMBER(F218),IF(ABS(F218-E218)&lt;=H218,"PASS","FAIL"),"FAIL"),"FAIL")</f>
        <v>PASS</v>
      </c>
    </row>
    <row r="219" customFormat="false" ht="15" hidden="false" customHeight="false" outlineLevel="0" collapsed="false">
      <c r="B219" s="40" t="n">
        <v>210</v>
      </c>
      <c r="C219" s="9" t="s">
        <v>386</v>
      </c>
      <c r="D219" s="9" t="s">
        <v>596</v>
      </c>
      <c r="E219" s="13" t="n">
        <v>200</v>
      </c>
      <c r="F219" s="19" t="n">
        <f aca="false">Operating_Statements!$C$18</f>
        <v>200</v>
      </c>
      <c r="G219" s="37" t="n">
        <f aca="false">IFERROR(IF(ISNUMBER(F219),F219-E219,"n/a"),"n/a")</f>
        <v>0</v>
      </c>
      <c r="H219" s="41" t="n">
        <v>0.500000001</v>
      </c>
      <c r="I219" s="39" t="str">
        <f aca="false">IFERROR(IF(ISNUMBER(F219),IF(ABS(F219-E219)&lt;=H219,"PASS","FAIL"),"FAIL"),"FAIL")</f>
        <v>PASS</v>
      </c>
    </row>
    <row r="220" customFormat="false" ht="15" hidden="false" customHeight="false" outlineLevel="0" collapsed="false">
      <c r="B220" s="40" t="n">
        <v>211</v>
      </c>
      <c r="C220" s="9" t="s">
        <v>386</v>
      </c>
      <c r="D220" s="9" t="s">
        <v>597</v>
      </c>
      <c r="E220" s="13" t="n">
        <v>18000</v>
      </c>
      <c r="F220" s="19" t="n">
        <f aca="false">Operating_Statements!$F$18</f>
        <v>18000</v>
      </c>
      <c r="G220" s="37" t="n">
        <f aca="false">IFERROR(IF(ISNUMBER(F220),F220-E220,"n/a"),"n/a")</f>
        <v>0</v>
      </c>
      <c r="H220" s="41" t="n">
        <v>0.500000001</v>
      </c>
      <c r="I220" s="39" t="str">
        <f aca="false">IFERROR(IF(ISNUMBER(F220),IF(ABS(F220-E220)&lt;=H220,"PASS","FAIL"),"FAIL"),"FAIL")</f>
        <v>PASS</v>
      </c>
    </row>
    <row r="221" customFormat="false" ht="15" hidden="false" customHeight="false" outlineLevel="0" collapsed="false">
      <c r="B221" s="40" t="n">
        <v>212</v>
      </c>
      <c r="C221" s="9" t="s">
        <v>386</v>
      </c>
      <c r="D221" s="9" t="s">
        <v>598</v>
      </c>
      <c r="E221" s="13" t="n">
        <v>18000</v>
      </c>
      <c r="F221" s="19" t="n">
        <f aca="false">Operating_Statements!$H$18</f>
        <v>18000</v>
      </c>
      <c r="G221" s="37" t="n">
        <f aca="false">IFERROR(IF(ISNUMBER(F221),F221-E221,"n/a"),"n/a")</f>
        <v>0</v>
      </c>
      <c r="H221" s="41" t="n">
        <v>0.500000001</v>
      </c>
      <c r="I221" s="39" t="str">
        <f aca="false">IFERROR(IF(ISNUMBER(F221),IF(ABS(F221-E221)&lt;=H221,"PASS","FAIL"),"FAIL"),"FAIL")</f>
        <v>PASS</v>
      </c>
    </row>
    <row r="222" customFormat="false" ht="15" hidden="false" customHeight="false" outlineLevel="0" collapsed="false">
      <c r="B222" s="40" t="n">
        <v>213</v>
      </c>
      <c r="C222" s="9" t="s">
        <v>386</v>
      </c>
      <c r="D222" s="9" t="s">
        <v>599</v>
      </c>
      <c r="E222" s="13" t="n">
        <v>0</v>
      </c>
      <c r="F222" s="19" t="n">
        <f aca="false">Operating_Statements!$C$19</f>
        <v>0</v>
      </c>
      <c r="G222" s="37" t="n">
        <f aca="false">IFERROR(IF(ISNUMBER(F222),F222-E222,"n/a"),"n/a")</f>
        <v>0</v>
      </c>
      <c r="H222" s="41" t="n">
        <v>0.500000001</v>
      </c>
      <c r="I222" s="39" t="str">
        <f aca="false">IFERROR(IF(ISNUMBER(F222),IF(ABS(F222-E222)&lt;=H222,"PASS","FAIL"),"FAIL"),"FAIL")</f>
        <v>PASS</v>
      </c>
    </row>
    <row r="223" customFormat="false" ht="15" hidden="false" customHeight="false" outlineLevel="0" collapsed="false">
      <c r="B223" s="40" t="n">
        <v>214</v>
      </c>
      <c r="C223" s="9" t="s">
        <v>386</v>
      </c>
      <c r="D223" s="9" t="s">
        <v>600</v>
      </c>
      <c r="E223" s="13" t="n">
        <v>21600</v>
      </c>
      <c r="F223" s="19" t="n">
        <f aca="false">Operating_Statements!$F$19</f>
        <v>21600</v>
      </c>
      <c r="G223" s="37" t="n">
        <f aca="false">IFERROR(IF(ISNUMBER(F223),F223-E223,"n/a"),"n/a")</f>
        <v>0</v>
      </c>
      <c r="H223" s="41" t="n">
        <v>0.500000001</v>
      </c>
      <c r="I223" s="39" t="str">
        <f aca="false">IFERROR(IF(ISNUMBER(F223),IF(ABS(F223-E223)&lt;=H223,"PASS","FAIL"),"FAIL"),"FAIL")</f>
        <v>PASS</v>
      </c>
    </row>
    <row r="224" customFormat="false" ht="15" hidden="false" customHeight="false" outlineLevel="0" collapsed="false">
      <c r="B224" s="40" t="n">
        <v>215</v>
      </c>
      <c r="C224" s="9" t="s">
        <v>386</v>
      </c>
      <c r="D224" s="9" t="s">
        <v>601</v>
      </c>
      <c r="E224" s="13" t="n">
        <v>21600</v>
      </c>
      <c r="F224" s="19" t="n">
        <f aca="false">Operating_Statements!$H$19</f>
        <v>21600</v>
      </c>
      <c r="G224" s="37" t="n">
        <f aca="false">IFERROR(IF(ISNUMBER(F224),F224-E224,"n/a"),"n/a")</f>
        <v>0</v>
      </c>
      <c r="H224" s="41" t="n">
        <v>0.500000001</v>
      </c>
      <c r="I224" s="39" t="str">
        <f aca="false">IFERROR(IF(ISNUMBER(F224),IF(ABS(F224-E224)&lt;=H224,"PASS","FAIL"),"FAIL"),"FAIL")</f>
        <v>PASS</v>
      </c>
    </row>
    <row r="225" customFormat="false" ht="15" hidden="false" customHeight="false" outlineLevel="0" collapsed="false">
      <c r="B225" s="40" t="n">
        <v>216</v>
      </c>
      <c r="C225" s="9" t="s">
        <v>386</v>
      </c>
      <c r="D225" s="9" t="s">
        <v>602</v>
      </c>
      <c r="E225" s="13" t="n">
        <v>389634</v>
      </c>
      <c r="F225" s="19" t="n">
        <f aca="false">Operating_Statements!$D$20</f>
        <v>389634.4</v>
      </c>
      <c r="G225" s="37" t="n">
        <f aca="false">IFERROR(IF(ISNUMBER(F225),F225-E225,"n/a"),"n/a")</f>
        <v>0.400000000023283</v>
      </c>
      <c r="H225" s="41" t="n">
        <v>0.500000001</v>
      </c>
      <c r="I225" s="39" t="str">
        <f aca="false">IFERROR(IF(ISNUMBER(F225),IF(ABS(F225-E225)&lt;=H225,"PASS","FAIL"),"FAIL"),"FAIL")</f>
        <v>PASS</v>
      </c>
    </row>
    <row r="226" customFormat="false" ht="15" hidden="false" customHeight="false" outlineLevel="0" collapsed="false">
      <c r="B226" s="40" t="n">
        <v>217</v>
      </c>
      <c r="C226" s="9" t="s">
        <v>386</v>
      </c>
      <c r="D226" s="9" t="s">
        <v>603</v>
      </c>
      <c r="E226" s="13" t="n">
        <v>5412</v>
      </c>
      <c r="F226" s="19" t="n">
        <f aca="false">Operating_Statements!$C$20</f>
        <v>5411.58888888889</v>
      </c>
      <c r="G226" s="37" t="n">
        <f aca="false">IFERROR(IF(ISNUMBER(F226),F226-E226,"n/a"),"n/a")</f>
        <v>-0.411111111110586</v>
      </c>
      <c r="H226" s="41" t="n">
        <v>0.500000001</v>
      </c>
      <c r="I226" s="39" t="str">
        <f aca="false">IFERROR(IF(ISNUMBER(F226),IF(ABS(F226-E226)&lt;=H226,"PASS","FAIL"),"FAIL"),"FAIL")</f>
        <v>PASS</v>
      </c>
    </row>
    <row r="227" customFormat="false" ht="15" hidden="false" customHeight="false" outlineLevel="0" collapsed="false">
      <c r="B227" s="40" t="n">
        <v>218</v>
      </c>
      <c r="C227" s="9" t="s">
        <v>386</v>
      </c>
      <c r="D227" s="9" t="s">
        <v>604</v>
      </c>
      <c r="E227" s="13" t="n">
        <v>454506</v>
      </c>
      <c r="F227" s="19" t="n">
        <f aca="false">Operating_Statements!$F$20</f>
        <v>454506.48</v>
      </c>
      <c r="G227" s="37" t="n">
        <f aca="false">IFERROR(IF(ISNUMBER(F227),F227-E227,"n/a"),"n/a")</f>
        <v>0.479999999981374</v>
      </c>
      <c r="H227" s="41" t="n">
        <v>0.500000001</v>
      </c>
      <c r="I227" s="39" t="str">
        <f aca="false">IFERROR(IF(ISNUMBER(F227),IF(ABS(F227-E227)&lt;=H227,"PASS","FAIL"),"FAIL"),"FAIL")</f>
        <v>PASS</v>
      </c>
    </row>
    <row r="228" customFormat="false" ht="15" hidden="false" customHeight="false" outlineLevel="0" collapsed="false">
      <c r="B228" s="40" t="n">
        <v>219</v>
      </c>
      <c r="C228" s="9" t="s">
        <v>386</v>
      </c>
      <c r="D228" s="9" t="s">
        <v>605</v>
      </c>
      <c r="E228" s="13" t="n">
        <v>6313</v>
      </c>
      <c r="F228" s="19" t="n">
        <f aca="false">Operating_Statements!$E$20</f>
        <v>6312.59</v>
      </c>
      <c r="G228" s="37" t="n">
        <f aca="false">IFERROR(IF(ISNUMBER(F228),F228-E228,"n/a"),"n/a")</f>
        <v>-0.409999999999855</v>
      </c>
      <c r="H228" s="41" t="n">
        <v>0.500000001</v>
      </c>
      <c r="I228" s="39" t="str">
        <f aca="false">IFERROR(IF(ISNUMBER(F228),IF(ABS(F228-E228)&lt;=H228,"PASS","FAIL"),"FAIL"),"FAIL")</f>
        <v>PASS</v>
      </c>
    </row>
    <row r="229" customFormat="false" ht="15" hidden="false" customHeight="false" outlineLevel="0" collapsed="false">
      <c r="B229" s="40" t="n">
        <v>220</v>
      </c>
      <c r="C229" s="9" t="s">
        <v>386</v>
      </c>
      <c r="D229" s="9" t="s">
        <v>606</v>
      </c>
      <c r="E229" s="13" t="n">
        <v>445120</v>
      </c>
      <c r="F229" s="19" t="n">
        <f aca="false">Operating_Statements!$H$20</f>
        <v>445119.84</v>
      </c>
      <c r="G229" s="37" t="n">
        <f aca="false">IFERROR(IF(ISNUMBER(F229),F229-E229,"n/a"),"n/a")</f>
        <v>-0.160000000032596</v>
      </c>
      <c r="H229" s="41" t="n">
        <v>0.500000001</v>
      </c>
      <c r="I229" s="39" t="str">
        <f aca="false">IFERROR(IF(ISNUMBER(F229),IF(ABS(F229-E229)&lt;=H229,"PASS","FAIL"),"FAIL"),"FAIL")</f>
        <v>PASS</v>
      </c>
    </row>
    <row r="230" customFormat="false" ht="15" hidden="false" customHeight="false" outlineLevel="0" collapsed="false">
      <c r="B230" s="40" t="n">
        <v>221</v>
      </c>
      <c r="C230" s="9" t="s">
        <v>386</v>
      </c>
      <c r="D230" s="9" t="s">
        <v>607</v>
      </c>
      <c r="E230" s="13" t="n">
        <v>6182</v>
      </c>
      <c r="F230" s="19" t="n">
        <f aca="false">Operating_Statements!$G$20</f>
        <v>6182.22</v>
      </c>
      <c r="G230" s="37" t="n">
        <f aca="false">IFERROR(IF(ISNUMBER(F230),F230-E230,"n/a"),"n/a")</f>
        <v>0.219999999999345</v>
      </c>
      <c r="H230" s="41" t="n">
        <v>0.500000001</v>
      </c>
      <c r="I230" s="39" t="str">
        <f aca="false">IFERROR(IF(ISNUMBER(F230),IF(ABS(F230-E230)&lt;=H230,"PASS","FAIL"),"FAIL"),"FAIL")</f>
        <v>PASS</v>
      </c>
    </row>
    <row r="231" customFormat="false" ht="15" hidden="false" customHeight="false" outlineLevel="0" collapsed="false">
      <c r="B231" s="40" t="n">
        <v>222</v>
      </c>
      <c r="C231" s="9" t="s">
        <v>386</v>
      </c>
      <c r="D231" s="9" t="s">
        <v>608</v>
      </c>
      <c r="E231" s="13" t="n">
        <v>744846</v>
      </c>
      <c r="F231" s="19" t="n">
        <f aca="false">Operating_Statements!$D$21</f>
        <v>744845.6</v>
      </c>
      <c r="G231" s="37" t="n">
        <f aca="false">IFERROR(IF(ISNUMBER(F231),F231-E231,"n/a"),"n/a")</f>
        <v>-0.400000000023283</v>
      </c>
      <c r="H231" s="41" t="n">
        <v>0.500000001</v>
      </c>
      <c r="I231" s="39" t="str">
        <f aca="false">IFERROR(IF(ISNUMBER(F231),IF(ABS(F231-E231)&lt;=H231,"PASS","FAIL"),"FAIL"),"FAIL")</f>
        <v>PASS</v>
      </c>
    </row>
    <row r="232" customFormat="false" ht="15" hidden="false" customHeight="false" outlineLevel="0" collapsed="false">
      <c r="B232" s="40" t="n">
        <v>223</v>
      </c>
      <c r="C232" s="9" t="s">
        <v>386</v>
      </c>
      <c r="D232" s="9" t="s">
        <v>609</v>
      </c>
      <c r="E232" s="13" t="n">
        <v>10345</v>
      </c>
      <c r="F232" s="19" t="n">
        <f aca="false">Operating_Statements!$C$21</f>
        <v>10345.0777777778</v>
      </c>
      <c r="G232" s="37" t="n">
        <f aca="false">IFERROR(IF(ISNUMBER(F232),F232-E232,"n/a"),"n/a")</f>
        <v>0.077777777776646</v>
      </c>
      <c r="H232" s="41" t="n">
        <v>0.500000001</v>
      </c>
      <c r="I232" s="39" t="str">
        <f aca="false">IFERROR(IF(ISNUMBER(F232),IF(ABS(F232-E232)&lt;=H232,"PASS","FAIL"),"FAIL"),"FAIL")</f>
        <v>PASS</v>
      </c>
    </row>
    <row r="233" customFormat="false" ht="15" hidden="false" customHeight="false" outlineLevel="0" collapsed="false">
      <c r="B233" s="40" t="n">
        <v>224</v>
      </c>
      <c r="C233" s="9" t="s">
        <v>386</v>
      </c>
      <c r="D233" s="9" t="s">
        <v>610</v>
      </c>
      <c r="E233" s="13" t="n">
        <v>702822</v>
      </c>
      <c r="F233" s="19" t="n">
        <f aca="false">Operating_Statements!$F$21</f>
        <v>702821.52</v>
      </c>
      <c r="G233" s="37" t="n">
        <f aca="false">IFERROR(IF(ISNUMBER(F233),F233-E233,"n/a"),"n/a")</f>
        <v>-0.479999999981374</v>
      </c>
      <c r="H233" s="41" t="n">
        <v>0.500000001</v>
      </c>
      <c r="I233" s="39" t="str">
        <f aca="false">IFERROR(IF(ISNUMBER(F233),IF(ABS(F233-E233)&lt;=H233,"PASS","FAIL"),"FAIL"),"FAIL")</f>
        <v>PASS</v>
      </c>
    </row>
    <row r="234" customFormat="false" ht="15" hidden="false" customHeight="false" outlineLevel="0" collapsed="false">
      <c r="B234" s="40" t="n">
        <v>225</v>
      </c>
      <c r="C234" s="9" t="s">
        <v>386</v>
      </c>
      <c r="D234" s="9" t="s">
        <v>611</v>
      </c>
      <c r="E234" s="13" t="n">
        <v>9761</v>
      </c>
      <c r="F234" s="19" t="n">
        <f aca="false">Operating_Statements!$E$21</f>
        <v>9761.41</v>
      </c>
      <c r="G234" s="37" t="n">
        <f aca="false">IFERROR(IF(ISNUMBER(F234),F234-E234,"n/a"),"n/a")</f>
        <v>0.409999999999855</v>
      </c>
      <c r="H234" s="41" t="n">
        <v>0.500000001</v>
      </c>
      <c r="I234" s="39" t="str">
        <f aca="false">IFERROR(IF(ISNUMBER(F234),IF(ABS(F234-E234)&lt;=H234,"PASS","FAIL"),"FAIL"),"FAIL")</f>
        <v>PASS</v>
      </c>
    </row>
    <row r="235" customFormat="false" ht="15" hidden="false" customHeight="false" outlineLevel="0" collapsed="false">
      <c r="B235" s="40" t="n">
        <v>226</v>
      </c>
      <c r="C235" s="9" t="s">
        <v>386</v>
      </c>
      <c r="D235" s="9" t="s">
        <v>612</v>
      </c>
      <c r="E235" s="13" t="n">
        <v>712208</v>
      </c>
      <c r="F235" s="19" t="n">
        <f aca="false">Operating_Statements!$H$21</f>
        <v>712208.16</v>
      </c>
      <c r="G235" s="37" t="n">
        <f aca="false">IFERROR(IF(ISNUMBER(F235),F235-E235,"n/a"),"n/a")</f>
        <v>0.160000000032596</v>
      </c>
      <c r="H235" s="41" t="n">
        <v>0.500000001</v>
      </c>
      <c r="I235" s="39" t="str">
        <f aca="false">IFERROR(IF(ISNUMBER(F235),IF(ABS(F235-E235)&lt;=H235,"PASS","FAIL"),"FAIL"),"FAIL")</f>
        <v>PASS</v>
      </c>
    </row>
    <row r="236" customFormat="false" ht="15" hidden="false" customHeight="false" outlineLevel="0" collapsed="false">
      <c r="B236" s="40" t="n">
        <v>227</v>
      </c>
      <c r="C236" s="9" t="s">
        <v>386</v>
      </c>
      <c r="D236" s="9" t="s">
        <v>613</v>
      </c>
      <c r="E236" s="13" t="n">
        <v>9892</v>
      </c>
      <c r="F236" s="19" t="n">
        <f aca="false">Operating_Statements!$G$21</f>
        <v>9891.78</v>
      </c>
      <c r="G236" s="37" t="n">
        <f aca="false">IFERROR(IF(ISNUMBER(F236),F236-E236,"n/a"),"n/a")</f>
        <v>-0.219999999999345</v>
      </c>
      <c r="H236" s="41" t="n">
        <v>0.500000001</v>
      </c>
      <c r="I236" s="39" t="str">
        <f aca="false">IFERROR(IF(ISNUMBER(F236),IF(ABS(F236-E236)&lt;=H236,"PASS","FAIL"),"FAIL"),"FAIL")</f>
        <v>PASS</v>
      </c>
    </row>
    <row r="237" customFormat="false" ht="15" hidden="false" customHeight="false" outlineLevel="0" collapsed="false">
      <c r="B237" s="40" t="n">
        <v>228</v>
      </c>
      <c r="C237" s="9" t="s">
        <v>386</v>
      </c>
      <c r="D237" s="9" t="s">
        <v>614</v>
      </c>
      <c r="E237" s="29" t="n">
        <v>0.036</v>
      </c>
      <c r="F237" s="36" t="n">
        <f aca="false">Operating_Statements!$D$24</f>
        <v>0.0356997144022848</v>
      </c>
      <c r="G237" s="37" t="n">
        <f aca="false">IFERROR(IF(ISNUMBER(F237),F237-E237,"n/a"),"n/a")</f>
        <v>-0.000300285597715215</v>
      </c>
      <c r="H237" s="41" t="n">
        <v>0.000500001</v>
      </c>
      <c r="I237" s="39" t="str">
        <f aca="false">IFERROR(IF(ISNUMBER(F237),IF(ABS(F237-E237)&lt;=H237,"PASS","FAIL"),"FAIL"),"FAIL")</f>
        <v>PASS</v>
      </c>
    </row>
    <row r="238" customFormat="false" ht="15" hidden="false" customHeight="false" outlineLevel="0" collapsed="false">
      <c r="B238" s="40" t="n">
        <v>229</v>
      </c>
      <c r="C238" s="9" t="s">
        <v>386</v>
      </c>
      <c r="D238" s="9" t="s">
        <v>615</v>
      </c>
      <c r="E238" s="29" t="n">
        <v>0.05</v>
      </c>
      <c r="F238" s="36" t="n">
        <f aca="false">Operating_Statements!$F$24</f>
        <v>0.05</v>
      </c>
      <c r="G238" s="37" t="n">
        <f aca="false">IFERROR(IF(ISNUMBER(F238),F238-E238,"n/a"),"n/a")</f>
        <v>0</v>
      </c>
      <c r="H238" s="41" t="n">
        <v>0.000500001</v>
      </c>
      <c r="I238" s="39" t="str">
        <f aca="false">IFERROR(IF(ISNUMBER(F238),IF(ABS(F238-E238)&lt;=H238,"PASS","FAIL"),"FAIL"),"FAIL")</f>
        <v>PASS</v>
      </c>
    </row>
    <row r="239" customFormat="false" ht="15" hidden="false" customHeight="false" outlineLevel="0" collapsed="false">
      <c r="B239" s="40" t="n">
        <v>230</v>
      </c>
      <c r="C239" s="9" t="s">
        <v>386</v>
      </c>
      <c r="D239" s="9" t="s">
        <v>616</v>
      </c>
      <c r="E239" s="29" t="n">
        <v>0.05</v>
      </c>
      <c r="F239" s="36" t="n">
        <f aca="false">Operating_Statements!$H$24</f>
        <v>0.05</v>
      </c>
      <c r="G239" s="37" t="n">
        <f aca="false">IFERROR(IF(ISNUMBER(F239),F239-E239,"n/a"),"n/a")</f>
        <v>0</v>
      </c>
      <c r="H239" s="41" t="n">
        <v>0.000500001</v>
      </c>
      <c r="I239" s="39" t="str">
        <f aca="false">IFERROR(IF(ISNUMBER(F239),IF(ABS(F239-E239)&lt;=H239,"PASS","FAIL"),"FAIL"),"FAIL")</f>
        <v>PASS</v>
      </c>
    </row>
    <row r="240" customFormat="false" ht="15" hidden="false" customHeight="false" outlineLevel="0" collapsed="false">
      <c r="B240" s="40" t="n">
        <v>231</v>
      </c>
      <c r="C240" s="9" t="s">
        <v>386</v>
      </c>
      <c r="D240" s="9" t="s">
        <v>617</v>
      </c>
      <c r="E240" s="29" t="n">
        <v>0.03</v>
      </c>
      <c r="F240" s="36" t="n">
        <f aca="false">Operating_Statements!$D$25</f>
        <v>0.03</v>
      </c>
      <c r="G240" s="37" t="n">
        <f aca="false">IFERROR(IF(ISNUMBER(F240),F240-E240,"n/a"),"n/a")</f>
        <v>0</v>
      </c>
      <c r="H240" s="41" t="n">
        <v>0.000500001</v>
      </c>
      <c r="I240" s="39" t="str">
        <f aca="false">IFERROR(IF(ISNUMBER(F240),IF(ABS(F240-E240)&lt;=H240,"PASS","FAIL"),"FAIL"),"FAIL")</f>
        <v>PASS</v>
      </c>
    </row>
    <row r="241" customFormat="false" ht="15" hidden="false" customHeight="false" outlineLevel="0" collapsed="false">
      <c r="B241" s="40" t="n">
        <v>232</v>
      </c>
      <c r="C241" s="9" t="s">
        <v>386</v>
      </c>
      <c r="D241" s="9" t="s">
        <v>618</v>
      </c>
      <c r="E241" s="29" t="n">
        <v>0.035</v>
      </c>
      <c r="F241" s="36" t="n">
        <f aca="false">Operating_Statements!$F$25</f>
        <v>0.035</v>
      </c>
      <c r="G241" s="37" t="n">
        <f aca="false">IFERROR(IF(ISNUMBER(F241),F241-E241,"n/a"),"n/a")</f>
        <v>0</v>
      </c>
      <c r="H241" s="41" t="n">
        <v>0.000500001</v>
      </c>
      <c r="I241" s="39" t="str">
        <f aca="false">IFERROR(IF(ISNUMBER(F241),IF(ABS(F241-E241)&lt;=H241,"PASS","FAIL"),"FAIL"),"FAIL")</f>
        <v>PASS</v>
      </c>
    </row>
    <row r="242" customFormat="false" ht="15" hidden="false" customHeight="false" outlineLevel="0" collapsed="false">
      <c r="B242" s="40" t="n">
        <v>233</v>
      </c>
      <c r="C242" s="9" t="s">
        <v>386</v>
      </c>
      <c r="D242" s="9" t="s">
        <v>619</v>
      </c>
      <c r="E242" s="29" t="n">
        <v>0.03</v>
      </c>
      <c r="F242" s="36" t="n">
        <f aca="false">Operating_Statements!$H$25</f>
        <v>0.03</v>
      </c>
      <c r="G242" s="37" t="n">
        <f aca="false">IFERROR(IF(ISNUMBER(F242),F242-E242,"n/a"),"n/a")</f>
        <v>0</v>
      </c>
      <c r="H242" s="41" t="n">
        <v>0.000500001</v>
      </c>
      <c r="I242" s="39" t="str">
        <f aca="false">IFERROR(IF(ISNUMBER(F242),IF(ABS(F242-E242)&lt;=H242,"PASS","FAIL"),"FAIL"),"FAIL")</f>
        <v>PASS</v>
      </c>
    </row>
    <row r="243" customFormat="false" ht="15" hidden="false" customHeight="false" outlineLevel="0" collapsed="false">
      <c r="B243" s="40" t="n">
        <v>234</v>
      </c>
      <c r="C243" s="9" t="s">
        <v>386</v>
      </c>
      <c r="D243" s="9" t="s">
        <v>620</v>
      </c>
      <c r="E243" s="29" t="n">
        <v>0.343</v>
      </c>
      <c r="F243" s="36" t="n">
        <f aca="false">Operating_Statements!$D$26</f>
        <v>0.343447570693181</v>
      </c>
      <c r="G243" s="37" t="n">
        <f aca="false">IFERROR(IF(ISNUMBER(F243),F243-E243,"n/a"),"n/a")</f>
        <v>0.000447570693181021</v>
      </c>
      <c r="H243" s="41" t="n">
        <v>0.000500001</v>
      </c>
      <c r="I243" s="39" t="str">
        <f aca="false">IFERROR(IF(ISNUMBER(F243),IF(ABS(F243-E243)&lt;=H243,"PASS","FAIL"),"FAIL"),"FAIL")</f>
        <v>PASS</v>
      </c>
    </row>
    <row r="244" customFormat="false" ht="15" hidden="false" customHeight="false" outlineLevel="0" collapsed="false">
      <c r="B244" s="40" t="n">
        <v>235</v>
      </c>
      <c r="C244" s="9" t="s">
        <v>386</v>
      </c>
      <c r="D244" s="9" t="s">
        <v>621</v>
      </c>
      <c r="E244" s="29" t="n">
        <v>0.393</v>
      </c>
      <c r="F244" s="36" t="n">
        <f aca="false">Operating_Statements!$F$26</f>
        <v>0.392720542490979</v>
      </c>
      <c r="G244" s="37" t="n">
        <f aca="false">IFERROR(IF(ISNUMBER(F244),F244-E244,"n/a"),"n/a")</f>
        <v>-0.000279457509020808</v>
      </c>
      <c r="H244" s="41" t="n">
        <v>0.000500001</v>
      </c>
      <c r="I244" s="39" t="str">
        <f aca="false">IFERROR(IF(ISNUMBER(F244),IF(ABS(F244-E244)&lt;=H244,"PASS","FAIL"),"FAIL"),"FAIL")</f>
        <v>PASS</v>
      </c>
    </row>
    <row r="245" customFormat="false" ht="15" hidden="false" customHeight="false" outlineLevel="0" collapsed="false">
      <c r="B245" s="40" t="n">
        <v>236</v>
      </c>
      <c r="C245" s="9" t="s">
        <v>386</v>
      </c>
      <c r="D245" s="9" t="s">
        <v>622</v>
      </c>
      <c r="E245" s="29" t="n">
        <v>0.385</v>
      </c>
      <c r="F245" s="36" t="n">
        <f aca="false">Operating_Statements!$H$26</f>
        <v>0.384609929078014</v>
      </c>
      <c r="G245" s="37" t="n">
        <f aca="false">IFERROR(IF(ISNUMBER(F245),F245-E245,"n/a"),"n/a")</f>
        <v>-0.000390070921985841</v>
      </c>
      <c r="H245" s="41" t="n">
        <v>0.000500001</v>
      </c>
      <c r="I245" s="39" t="str">
        <f aca="false">IFERROR(IF(ISNUMBER(F245),IF(ABS(F245-E245)&lt;=H245,"PASS","FAIL"),"FAIL"),"FAIL")</f>
        <v>PASS</v>
      </c>
    </row>
    <row r="246" customFormat="false" ht="15" hidden="false" customHeight="false" outlineLevel="0" collapsed="false">
      <c r="B246" s="40" t="n">
        <v>237</v>
      </c>
      <c r="C246" s="9" t="s">
        <v>386</v>
      </c>
      <c r="D246" s="9" t="s">
        <v>623</v>
      </c>
      <c r="E246" s="13" t="n">
        <v>42024</v>
      </c>
      <c r="F246" s="19" t="n">
        <f aca="false">Operating_Statements!$C$29</f>
        <v>42024.08</v>
      </c>
      <c r="G246" s="37" t="n">
        <f aca="false">IFERROR(IF(ISNUMBER(F246),F246-E246,"n/a"),"n/a")</f>
        <v>0.0799999999580905</v>
      </c>
      <c r="H246" s="41" t="n">
        <v>0.500000001</v>
      </c>
      <c r="I246" s="39" t="str">
        <f aca="false">IFERROR(IF(ISNUMBER(F246),IF(ABS(F246-E246)&lt;=H246,"PASS","FAIL"),"FAIL"),"FAIL")</f>
        <v>PASS</v>
      </c>
    </row>
    <row r="247" customFormat="false" ht="15" hidden="false" customHeight="false" outlineLevel="0" collapsed="false">
      <c r="B247" s="40" t="n">
        <v>238</v>
      </c>
      <c r="C247" s="9" t="s">
        <v>386</v>
      </c>
      <c r="D247" s="9" t="s">
        <v>624</v>
      </c>
      <c r="E247" s="29" t="n">
        <v>0.06</v>
      </c>
      <c r="F247" s="36" t="n">
        <f aca="false">Operating_Statements!$C$30</f>
        <v>0.0597933882274977</v>
      </c>
      <c r="G247" s="37" t="n">
        <f aca="false">IFERROR(IF(ISNUMBER(F247),F247-E247,"n/a"),"n/a")</f>
        <v>-0.000206611772502308</v>
      </c>
      <c r="H247" s="41" t="n">
        <v>0.000500001</v>
      </c>
      <c r="I247" s="39" t="str">
        <f aca="false">IFERROR(IF(ISNUMBER(F247),IF(ABS(F247-E247)&lt;=H247,"PASS","FAIL"),"FAIL"),"FAIL")</f>
        <v>PASS</v>
      </c>
    </row>
    <row r="248" customFormat="false" ht="15" hidden="false" customHeight="false" outlineLevel="0" collapsed="false">
      <c r="B248" s="40" t="n">
        <v>239</v>
      </c>
      <c r="C248" s="9" t="s">
        <v>386</v>
      </c>
      <c r="D248" s="9" t="s">
        <v>625</v>
      </c>
      <c r="E248" s="13" t="n">
        <v>64872</v>
      </c>
      <c r="F248" s="19" t="n">
        <f aca="false">Operating_Statements!$C$31</f>
        <v>64872.08</v>
      </c>
      <c r="G248" s="37" t="n">
        <f aca="false">IFERROR(IF(ISNUMBER(F248),F248-E248,"n/a"),"n/a")</f>
        <v>0.0799999999580905</v>
      </c>
      <c r="H248" s="41" t="n">
        <v>0.500000001</v>
      </c>
      <c r="I248" s="39" t="str">
        <f aca="false">IFERROR(IF(ISNUMBER(F248),IF(ABS(F248-E248)&lt;=H248,"PASS","FAIL"),"FAIL"),"FAIL")</f>
        <v>PASS</v>
      </c>
    </row>
    <row r="249" customFormat="false" ht="15" hidden="false" customHeight="false" outlineLevel="0" collapsed="false">
      <c r="B249" s="40" t="n">
        <v>240</v>
      </c>
      <c r="C249" s="9" t="s">
        <v>386</v>
      </c>
      <c r="D249" s="9" t="s">
        <v>626</v>
      </c>
      <c r="E249" s="13" t="n">
        <v>22848</v>
      </c>
      <c r="F249" s="19" t="n">
        <f aca="false">Operating_Statements!$C$32</f>
        <v>22848</v>
      </c>
      <c r="G249" s="37" t="n">
        <f aca="false">IFERROR(IF(ISNUMBER(F249),F249-E249,"n/a"),"n/a")</f>
        <v>0</v>
      </c>
      <c r="H249" s="41" t="n">
        <v>0.500000001</v>
      </c>
      <c r="I249" s="39" t="str">
        <f aca="false">IFERROR(IF(ISNUMBER(F249),IF(ABS(F249-E249)&lt;=H249,"PASS","FAIL"),"FAIL"),"FAIL")</f>
        <v>PASS</v>
      </c>
    </row>
    <row r="250" customFormat="false" ht="15" hidden="false" customHeight="false" outlineLevel="0" collapsed="false">
      <c r="B250" s="40" t="n">
        <v>241</v>
      </c>
      <c r="C250" s="9" t="s">
        <v>386</v>
      </c>
      <c r="D250" s="9" t="s">
        <v>627</v>
      </c>
      <c r="E250" s="13" t="n">
        <v>9387</v>
      </c>
      <c r="F250" s="19" t="n">
        <f aca="false">Operating_Statements!$C$33</f>
        <v>9386.64000000001</v>
      </c>
      <c r="G250" s="37" t="n">
        <f aca="false">IFERROR(IF(ISNUMBER(F250),F250-E250,"n/a"),"n/a")</f>
        <v>-0.35999999998603</v>
      </c>
      <c r="H250" s="41" t="n">
        <v>0.500000001</v>
      </c>
      <c r="I250" s="39" t="str">
        <f aca="false">IFERROR(IF(ISNUMBER(F250),IF(ABS(F250-E250)&lt;=H250,"PASS","FAIL"),"FAIL"),"FAIL")</f>
        <v>PASS</v>
      </c>
    </row>
    <row r="251" customFormat="false" ht="15" hidden="false" customHeight="false" outlineLevel="0" collapsed="false">
      <c r="B251" s="40" t="n">
        <v>242</v>
      </c>
      <c r="C251" s="9" t="s">
        <v>386</v>
      </c>
      <c r="D251" s="9" t="s">
        <v>628</v>
      </c>
      <c r="E251" s="13" t="n">
        <v>8000</v>
      </c>
      <c r="F251" s="19" t="n">
        <f aca="false">Operating_Statements!$C$34</f>
        <v>8000</v>
      </c>
      <c r="G251" s="37" t="n">
        <f aca="false">IFERROR(IF(ISNUMBER(F251),F251-E251,"n/a"),"n/a")</f>
        <v>0</v>
      </c>
      <c r="H251" s="41" t="n">
        <v>0.500000001</v>
      </c>
      <c r="I251" s="39" t="str">
        <f aca="false">IFERROR(IF(ISNUMBER(F251),IF(ABS(F251-E251)&lt;=H251,"PASS","FAIL"),"FAIL"),"FAIL")</f>
        <v>PASS</v>
      </c>
    </row>
    <row r="252" customFormat="false" ht="15" hidden="false" customHeight="false" outlineLevel="0" collapsed="false">
      <c r="B252" s="40" t="n">
        <v>243</v>
      </c>
      <c r="C252" s="9" t="s">
        <v>386</v>
      </c>
      <c r="D252" s="9" t="s">
        <v>629</v>
      </c>
      <c r="E252" s="13" t="n">
        <v>104393</v>
      </c>
      <c r="F252" s="19" t="n">
        <f aca="false">Operating_Statements!$C$37</f>
        <v>104392.75</v>
      </c>
      <c r="G252" s="37" t="n">
        <f aca="false">IFERROR(IF(ISNUMBER(F252),F252-E252,"n/a"),"n/a")</f>
        <v>-0.25</v>
      </c>
      <c r="H252" s="41" t="n">
        <v>0.500000001</v>
      </c>
      <c r="I252" s="39" t="str">
        <f aca="false">IFERROR(IF(ISNUMBER(F252),IF(ABS(F252-E252)&lt;=H252,"PASS","FAIL"),"FAIL"),"FAIL")</f>
        <v>PASS</v>
      </c>
    </row>
    <row r="253" customFormat="false" ht="15" hidden="false" customHeight="false" outlineLevel="0" collapsed="false">
      <c r="B253" s="40" t="n">
        <v>244</v>
      </c>
      <c r="C253" s="9" t="s">
        <v>386</v>
      </c>
      <c r="D253" s="9" t="s">
        <v>630</v>
      </c>
      <c r="E253" s="13" t="n">
        <v>110863</v>
      </c>
      <c r="F253" s="19" t="n">
        <f aca="false">Operating_Statements!$C$38</f>
        <v>110863.375</v>
      </c>
      <c r="G253" s="37" t="n">
        <f aca="false">IFERROR(IF(ISNUMBER(F253),F253-E253,"n/a"),"n/a")</f>
        <v>0.374999999985448</v>
      </c>
      <c r="H253" s="41" t="n">
        <v>0.500000001</v>
      </c>
      <c r="I253" s="39" t="str">
        <f aca="false">IFERROR(IF(ISNUMBER(F253),IF(ABS(F253-E253)&lt;=H253,"PASS","FAIL"),"FAIL"),"FAIL")</f>
        <v>PASS</v>
      </c>
    </row>
    <row r="254" customFormat="false" ht="15" hidden="false" customHeight="false" outlineLevel="0" collapsed="false">
      <c r="B254" s="40" t="n">
        <v>245</v>
      </c>
      <c r="C254" s="9" t="s">
        <v>386</v>
      </c>
      <c r="D254" s="9" t="s">
        <v>631</v>
      </c>
      <c r="E254" s="13" t="n">
        <v>6463</v>
      </c>
      <c r="F254" s="19" t="n">
        <f aca="false">Operating_Statements!$C$39</f>
        <v>6463.37499999999</v>
      </c>
      <c r="G254" s="37" t="n">
        <f aca="false">IFERROR(IF(ISNUMBER(F254),F254-E254,"n/a"),"n/a")</f>
        <v>0.374999999985448</v>
      </c>
      <c r="H254" s="41" t="n">
        <v>0.500000001</v>
      </c>
      <c r="I254" s="39" t="str">
        <f aca="false">IFERROR(IF(ISNUMBER(F254),IF(ABS(F254-E254)&lt;=H254,"PASS","FAIL"),"FAIL"),"FAIL")</f>
        <v>PASS</v>
      </c>
    </row>
    <row r="255" customFormat="false" ht="15" hidden="false" customHeight="false" outlineLevel="0" collapsed="false">
      <c r="B255" s="40" t="n">
        <v>246</v>
      </c>
      <c r="C255" s="9" t="s">
        <v>391</v>
      </c>
      <c r="D255" s="9" t="s">
        <v>632</v>
      </c>
      <c r="E255" s="25" t="n">
        <v>0.36</v>
      </c>
      <c r="F255" s="33" t="n">
        <f aca="false">Cap_Rate!$F$6</f>
        <v>0.36</v>
      </c>
      <c r="G255" s="37" t="n">
        <f aca="false">IFERROR(IF(ISNUMBER(F255),F255-E255,"n/a"),"n/a")</f>
        <v>0</v>
      </c>
      <c r="H255" s="41" t="n">
        <v>0.005000001</v>
      </c>
      <c r="I255" s="39" t="str">
        <f aca="false">IFERROR(IF(ISNUMBER(F255),IF(ABS(F255-E255)&lt;=H255,"PASS","FAIL"),"FAIL"),"FAIL")</f>
        <v>PASS</v>
      </c>
    </row>
    <row r="256" customFormat="false" ht="15" hidden="false" customHeight="false" outlineLevel="0" collapsed="false">
      <c r="B256" s="40" t="n">
        <v>247</v>
      </c>
      <c r="C256" s="9" t="s">
        <v>391</v>
      </c>
      <c r="D256" s="9" t="s">
        <v>633</v>
      </c>
      <c r="E256" s="29" t="n">
        <v>0.03</v>
      </c>
      <c r="F256" s="36" t="n">
        <f aca="false">Cap_Rate!$F$7</f>
        <v>0.03</v>
      </c>
      <c r="G256" s="37" t="n">
        <f aca="false">IFERROR(IF(ISNUMBER(F256),F256-E256,"n/a"),"n/a")</f>
        <v>0</v>
      </c>
      <c r="H256" s="41" t="n">
        <v>0.000500001</v>
      </c>
      <c r="I256" s="39" t="str">
        <f aca="false">IFERROR(IF(ISNUMBER(F256),IF(ABS(F256-E256)&lt;=H256,"PASS","FAIL"),"FAIL"),"FAIL")</f>
        <v>PASS</v>
      </c>
    </row>
    <row r="257" customFormat="false" ht="15" hidden="false" customHeight="false" outlineLevel="0" collapsed="false">
      <c r="B257" s="40" t="n">
        <v>248</v>
      </c>
      <c r="C257" s="9" t="s">
        <v>391</v>
      </c>
      <c r="D257" s="9" t="s">
        <v>634</v>
      </c>
      <c r="E257" s="13" t="n">
        <v>300</v>
      </c>
      <c r="F257" s="19" t="n">
        <f aca="false">Cap_Rate!$F$9</f>
        <v>300</v>
      </c>
      <c r="G257" s="37" t="n">
        <f aca="false">IFERROR(IF(ISNUMBER(F257),F257-E257,"n/a"),"n/a")</f>
        <v>0</v>
      </c>
      <c r="H257" s="41" t="n">
        <v>0.500000001</v>
      </c>
      <c r="I257" s="39" t="str">
        <f aca="false">IFERROR(IF(ISNUMBER(F257),IF(ABS(F257-E257)&lt;=H257,"PASS","FAIL"),"FAIL"),"FAIL")</f>
        <v>PASS</v>
      </c>
    </row>
    <row r="258" customFormat="false" ht="15" hidden="false" customHeight="false" outlineLevel="0" collapsed="false">
      <c r="B258" s="40" t="n">
        <v>249</v>
      </c>
      <c r="C258" s="9" t="s">
        <v>391</v>
      </c>
      <c r="D258" s="9" t="s">
        <v>635</v>
      </c>
      <c r="E258" s="13" t="n">
        <v>21600</v>
      </c>
      <c r="F258" s="19" t="n">
        <f aca="false">Cap_Rate!$F$10</f>
        <v>21600</v>
      </c>
      <c r="G258" s="37" t="n">
        <f aca="false">IFERROR(IF(ISNUMBER(F258),F258-E258,"n/a"),"n/a")</f>
        <v>0</v>
      </c>
      <c r="H258" s="41" t="n">
        <v>0.500000001</v>
      </c>
      <c r="I258" s="39" t="str">
        <f aca="false">IFERROR(IF(ISNUMBER(F258),IF(ABS(F258-E258)&lt;=H258,"PASS","FAIL"),"FAIL"),"FAIL")</f>
        <v>PASS</v>
      </c>
    </row>
    <row r="259" customFormat="false" ht="15" hidden="false" customHeight="false" outlineLevel="0" collapsed="false">
      <c r="B259" s="40" t="n">
        <v>250</v>
      </c>
      <c r="C259" s="9" t="s">
        <v>391</v>
      </c>
      <c r="D259" s="9" t="s">
        <v>636</v>
      </c>
      <c r="E259" s="13" t="n">
        <v>96</v>
      </c>
      <c r="F259" s="19" t="n">
        <f aca="false">Cap_Rate!$D$14</f>
        <v>96</v>
      </c>
      <c r="G259" s="37" t="n">
        <f aca="false">IFERROR(IF(ISNUMBER(F259),F259-E259,"n/a"),"n/a")</f>
        <v>0</v>
      </c>
      <c r="H259" s="41" t="n">
        <v>0.500000001</v>
      </c>
      <c r="I259" s="39" t="str">
        <f aca="false">IFERROR(IF(ISNUMBER(F259),IF(ABS(F259-E259)&lt;=H259,"PASS","FAIL"),"FAIL"),"FAIL")</f>
        <v>PASS</v>
      </c>
    </row>
    <row r="260" customFormat="false" ht="15" hidden="false" customHeight="false" outlineLevel="0" collapsed="false">
      <c r="B260" s="40" t="n">
        <v>251</v>
      </c>
      <c r="C260" s="9" t="s">
        <v>391</v>
      </c>
      <c r="D260" s="9" t="s">
        <v>637</v>
      </c>
      <c r="E260" s="13" t="n">
        <v>2001</v>
      </c>
      <c r="F260" s="19" t="n">
        <f aca="false">Cap_Rate!$E$14</f>
        <v>2001</v>
      </c>
      <c r="G260" s="37" t="n">
        <f aca="false">IFERROR(IF(ISNUMBER(F260),F260-E260,"n/a"),"n/a")</f>
        <v>0</v>
      </c>
      <c r="H260" s="41" t="n">
        <v>0.500000001</v>
      </c>
      <c r="I260" s="39" t="str">
        <f aca="false">IFERROR(IF(ISNUMBER(F260),IF(ABS(F260-E260)&lt;=H260,"PASS","FAIL"),"FAIL"),"FAIL")</f>
        <v>PASS</v>
      </c>
    </row>
    <row r="261" customFormat="false" ht="15" hidden="false" customHeight="false" outlineLevel="0" collapsed="false">
      <c r="B261" s="40" t="n">
        <v>252</v>
      </c>
      <c r="C261" s="9" t="s">
        <v>391</v>
      </c>
      <c r="D261" s="9" t="s">
        <v>638</v>
      </c>
      <c r="E261" s="13" t="n">
        <v>3</v>
      </c>
      <c r="F261" s="19" t="n">
        <f aca="false">Cap_Rate!$F$14</f>
        <v>3</v>
      </c>
      <c r="G261" s="37" t="n">
        <f aca="false">IFERROR(IF(ISNUMBER(F261),F261-E261,"n/a"),"n/a")</f>
        <v>0</v>
      </c>
      <c r="H261" s="41" t="n">
        <v>0.500000001</v>
      </c>
      <c r="I261" s="39" t="str">
        <f aca="false">IFERROR(IF(ISNUMBER(F261),IF(ABS(F261-E261)&lt;=H261,"PASS","FAIL"),"FAIL"),"FAIL")</f>
        <v>PASS</v>
      </c>
    </row>
    <row r="262" customFormat="false" ht="15" hidden="false" customHeight="false" outlineLevel="0" collapsed="false">
      <c r="B262" s="40" t="n">
        <v>253</v>
      </c>
      <c r="C262" s="9" t="s">
        <v>391</v>
      </c>
      <c r="D262" s="9" t="s">
        <v>639</v>
      </c>
      <c r="E262" s="13" t="n">
        <v>18144000</v>
      </c>
      <c r="F262" s="19" t="n">
        <f aca="false">Cap_Rate!$G$14</f>
        <v>18144000</v>
      </c>
      <c r="G262" s="37" t="n">
        <f aca="false">IFERROR(IF(ISNUMBER(F262),F262-E262,"n/a"),"n/a")</f>
        <v>0</v>
      </c>
      <c r="H262" s="41" t="n">
        <v>0.500000001</v>
      </c>
      <c r="I262" s="39" t="str">
        <f aca="false">IFERROR(IF(ISNUMBER(F262),IF(ABS(F262-E262)&lt;=H262,"PASS","FAIL"),"FAIL"),"FAIL")</f>
        <v>PASS</v>
      </c>
    </row>
    <row r="263" customFormat="false" ht="15" hidden="false" customHeight="false" outlineLevel="0" collapsed="false">
      <c r="B263" s="40" t="n">
        <v>254</v>
      </c>
      <c r="C263" s="9" t="s">
        <v>391</v>
      </c>
      <c r="D263" s="9" t="s">
        <v>640</v>
      </c>
      <c r="E263" s="13" t="n">
        <v>189000</v>
      </c>
      <c r="F263" s="19" t="n">
        <f aca="false">Cap_Rate!$H$14</f>
        <v>189000</v>
      </c>
      <c r="G263" s="37" t="n">
        <f aca="false">IFERROR(IF(ISNUMBER(F263),F263-E263,"n/a"),"n/a")</f>
        <v>0</v>
      </c>
      <c r="H263" s="41" t="n">
        <v>0.500000001</v>
      </c>
      <c r="I263" s="39" t="str">
        <f aca="false">IFERROR(IF(ISNUMBER(F263),IF(ABS(F263-E263)&lt;=H263,"PASS","FAIL"),"FAIL"),"FAIL")</f>
        <v>PASS</v>
      </c>
    </row>
    <row r="264" customFormat="false" ht="15" hidden="false" customHeight="false" outlineLevel="0" collapsed="false">
      <c r="B264" s="40" t="n">
        <v>255</v>
      </c>
      <c r="C264" s="9" t="s">
        <v>391</v>
      </c>
      <c r="D264" s="9" t="s">
        <v>641</v>
      </c>
      <c r="E264" s="13" t="n">
        <v>910</v>
      </c>
      <c r="F264" s="19" t="n">
        <f aca="false">Cap_Rate!$I$14</f>
        <v>910</v>
      </c>
      <c r="G264" s="37" t="n">
        <f aca="false">IFERROR(IF(ISNUMBER(F264),F264-E264,"n/a"),"n/a")</f>
        <v>0</v>
      </c>
      <c r="H264" s="41" t="n">
        <v>0.500000001</v>
      </c>
      <c r="I264" s="39" t="str">
        <f aca="false">IFERROR(IF(ISNUMBER(F264),IF(ABS(F264-E264)&lt;=H264,"PASS","FAIL"),"FAIL"),"FAIL")</f>
        <v>PASS</v>
      </c>
    </row>
    <row r="265" customFormat="false" ht="15" hidden="false" customHeight="false" outlineLevel="0" collapsed="false">
      <c r="B265" s="40" t="n">
        <v>256</v>
      </c>
      <c r="C265" s="9" t="s">
        <v>391</v>
      </c>
      <c r="D265" s="9" t="s">
        <v>642</v>
      </c>
      <c r="E265" s="12" t="n">
        <v>207.69</v>
      </c>
      <c r="F265" s="45" t="n">
        <f aca="false">Cap_Rate!$J$14</f>
        <v>207.692307692308</v>
      </c>
      <c r="G265" s="37" t="n">
        <f aca="false">IFERROR(IF(ISNUMBER(F265),F265-E265,"n/a"),"n/a")</f>
        <v>0.00230769230768146</v>
      </c>
      <c r="H265" s="41" t="n">
        <v>0.005000001</v>
      </c>
      <c r="I265" s="39" t="str">
        <f aca="false">IFERROR(IF(ISNUMBER(F265),IF(ABS(F265-E265)&lt;=H265,"PASS","FAIL"),"FAIL"),"FAIL")</f>
        <v>PASS</v>
      </c>
    </row>
    <row r="266" customFormat="false" ht="15" hidden="false" customHeight="false" outlineLevel="0" collapsed="false">
      <c r="B266" s="40" t="n">
        <v>257</v>
      </c>
      <c r="C266" s="9" t="s">
        <v>391</v>
      </c>
      <c r="D266" s="9" t="s">
        <v>643</v>
      </c>
      <c r="E266" s="13" t="n">
        <v>1062000</v>
      </c>
      <c r="F266" s="19" t="n">
        <f aca="false">Cap_Rate!$K$14</f>
        <v>1062000</v>
      </c>
      <c r="G266" s="37" t="n">
        <f aca="false">IFERROR(IF(ISNUMBER(F266),F266-E266,"n/a"),"n/a")</f>
        <v>0</v>
      </c>
      <c r="H266" s="41" t="n">
        <v>0.500000001</v>
      </c>
      <c r="I266" s="39" t="str">
        <f aca="false">IFERROR(IF(ISNUMBER(F266),IF(ABS(F266-E266)&lt;=H266,"PASS","FAIL"),"FAIL"),"FAIL")</f>
        <v>PASS</v>
      </c>
    </row>
    <row r="267" customFormat="false" ht="15" hidden="false" customHeight="false" outlineLevel="0" collapsed="false">
      <c r="B267" s="40" t="n">
        <v>258</v>
      </c>
      <c r="C267" s="9" t="s">
        <v>391</v>
      </c>
      <c r="D267" s="9" t="s">
        <v>644</v>
      </c>
      <c r="E267" s="13" t="n">
        <v>1659375</v>
      </c>
      <c r="F267" s="19" t="n">
        <f aca="false">Cap_Rate!$L$14</f>
        <v>1659375</v>
      </c>
      <c r="G267" s="37" t="n">
        <f aca="false">IFERROR(IF(ISNUMBER(F267),F267-E267,"n/a"),"n/a")</f>
        <v>0</v>
      </c>
      <c r="H267" s="41" t="n">
        <v>0.500000001</v>
      </c>
      <c r="I267" s="39" t="str">
        <f aca="false">IFERROR(IF(ISNUMBER(F267),IF(ABS(F267-E267)&lt;=H267,"PASS","FAIL"),"FAIL"),"FAIL")</f>
        <v>PASS</v>
      </c>
    </row>
    <row r="268" customFormat="false" ht="15" hidden="false" customHeight="false" outlineLevel="0" collapsed="false">
      <c r="B268" s="40" t="n">
        <v>259</v>
      </c>
      <c r="C268" s="9" t="s">
        <v>391</v>
      </c>
      <c r="D268" s="9" t="s">
        <v>645</v>
      </c>
      <c r="E268" s="13" t="n">
        <v>28800</v>
      </c>
      <c r="F268" s="19" t="n">
        <f aca="false">Cap_Rate!$M$14</f>
        <v>28800</v>
      </c>
      <c r="G268" s="37" t="n">
        <f aca="false">IFERROR(IF(ISNUMBER(F268),F268-E268,"n/a"),"n/a")</f>
        <v>0</v>
      </c>
      <c r="H268" s="41" t="n">
        <v>0.500000001</v>
      </c>
      <c r="I268" s="39" t="str">
        <f aca="false">IFERROR(IF(ISNUMBER(F268),IF(ABS(F268-E268)&lt;=H268,"PASS","FAIL"),"FAIL"),"FAIL")</f>
        <v>PASS</v>
      </c>
    </row>
    <row r="269" customFormat="false" ht="15" hidden="false" customHeight="false" outlineLevel="0" collapsed="false">
      <c r="B269" s="40" t="n">
        <v>260</v>
      </c>
      <c r="C269" s="9" t="s">
        <v>391</v>
      </c>
      <c r="D269" s="9" t="s">
        <v>646</v>
      </c>
      <c r="E269" s="13" t="n">
        <v>8297</v>
      </c>
      <c r="F269" s="19" t="n">
        <f aca="false">Cap_Rate!$N$14</f>
        <v>8296.87500000001</v>
      </c>
      <c r="G269" s="37" t="n">
        <f aca="false">IFERROR(IF(ISNUMBER(F269),F269-E269,"n/a"),"n/a")</f>
        <v>-0.124999999992724</v>
      </c>
      <c r="H269" s="41" t="n">
        <v>0.500000001</v>
      </c>
      <c r="I269" s="39" t="str">
        <f aca="false">IFERROR(IF(ISNUMBER(F269),IF(ABS(F269-E269)&lt;=H269,"PASS","FAIL"),"FAIL"),"FAIL")</f>
        <v>PASS</v>
      </c>
    </row>
    <row r="270" customFormat="false" ht="15" hidden="false" customHeight="false" outlineLevel="0" collapsed="false">
      <c r="B270" s="40" t="n">
        <v>261</v>
      </c>
      <c r="C270" s="9" t="s">
        <v>391</v>
      </c>
      <c r="D270" s="9" t="s">
        <v>647</v>
      </c>
      <c r="E270" s="13" t="n">
        <v>1024903</v>
      </c>
      <c r="F270" s="19" t="n">
        <f aca="false">Cap_Rate!$O$14</f>
        <v>1024903.125</v>
      </c>
      <c r="G270" s="37" t="n">
        <f aca="false">IFERROR(IF(ISNUMBER(F270),F270-E270,"n/a"),"n/a")</f>
        <v>0.125</v>
      </c>
      <c r="H270" s="41" t="n">
        <v>0.500000001</v>
      </c>
      <c r="I270" s="39" t="str">
        <f aca="false">IFERROR(IF(ISNUMBER(F270),IF(ABS(F270-E270)&lt;=H270,"PASS","FAIL"),"FAIL"),"FAIL")</f>
        <v>PASS</v>
      </c>
    </row>
    <row r="271" customFormat="false" ht="15" hidden="false" customHeight="false" outlineLevel="0" collapsed="false">
      <c r="B271" s="40" t="n">
        <v>262</v>
      </c>
      <c r="C271" s="9" t="s">
        <v>391</v>
      </c>
      <c r="D271" s="9" t="s">
        <v>648</v>
      </c>
      <c r="E271" s="31" t="n">
        <v>0.0585</v>
      </c>
      <c r="F271" s="47" t="n">
        <f aca="false">Cap_Rate!$P$14</f>
        <v>0.058531746031746</v>
      </c>
      <c r="G271" s="37" t="n">
        <f aca="false">IFERROR(IF(ISNUMBER(F271),F271-E271,"n/a"),"n/a")</f>
        <v>3.17460317460286E-005</v>
      </c>
      <c r="H271" s="41" t="n">
        <v>5.0001E-005</v>
      </c>
      <c r="I271" s="39" t="str">
        <f aca="false">IFERROR(IF(ISNUMBER(F271),IF(ABS(F271-E271)&lt;=H271,"PASS","FAIL"),"FAIL"),"FAIL")</f>
        <v>PASS</v>
      </c>
    </row>
    <row r="272" customFormat="false" ht="15" hidden="false" customHeight="false" outlineLevel="0" collapsed="false">
      <c r="B272" s="40" t="n">
        <v>263</v>
      </c>
      <c r="C272" s="9" t="s">
        <v>391</v>
      </c>
      <c r="D272" s="9" t="s">
        <v>649</v>
      </c>
      <c r="E272" s="31" t="n">
        <v>0.0565</v>
      </c>
      <c r="F272" s="47" t="n">
        <f aca="false">Cap_Rate!$Q$14</f>
        <v>0.0564871651785714</v>
      </c>
      <c r="G272" s="37" t="n">
        <f aca="false">IFERROR(IF(ISNUMBER(F272),F272-E272,"n/a"),"n/a")</f>
        <v>-1.28348214285742E-005</v>
      </c>
      <c r="H272" s="41" t="n">
        <v>5.0001E-005</v>
      </c>
      <c r="I272" s="39" t="str">
        <f aca="false">IFERROR(IF(ISNUMBER(F272),IF(ABS(F272-E272)&lt;=H272,"PASS","FAIL"),"FAIL"),"FAIL")</f>
        <v>PASS</v>
      </c>
    </row>
    <row r="273" customFormat="false" ht="15" hidden="false" customHeight="false" outlineLevel="0" collapsed="false">
      <c r="B273" s="40" t="n">
        <v>264</v>
      </c>
      <c r="C273" s="9" t="s">
        <v>391</v>
      </c>
      <c r="D273" s="9" t="s">
        <v>650</v>
      </c>
      <c r="E273" s="12" t="n">
        <v>10.93</v>
      </c>
      <c r="F273" s="45" t="n">
        <f aca="false">Cap_Rate!$R$14</f>
        <v>10.9342372881356</v>
      </c>
      <c r="G273" s="37" t="n">
        <f aca="false">IFERROR(IF(ISNUMBER(F273),F273-E273,"n/a"),"n/a")</f>
        <v>0.00423728813559343</v>
      </c>
      <c r="H273" s="41" t="n">
        <v>0.005000001</v>
      </c>
      <c r="I273" s="39" t="str">
        <f aca="false">IFERROR(IF(ISNUMBER(F273),IF(ABS(F273-E273)&lt;=H273,"PASS","FAIL"),"FAIL"),"FAIL")</f>
        <v>PASS</v>
      </c>
    </row>
    <row r="274" customFormat="false" ht="15" hidden="false" customHeight="false" outlineLevel="0" collapsed="false">
      <c r="B274" s="40" t="n">
        <v>265</v>
      </c>
      <c r="C274" s="9" t="s">
        <v>391</v>
      </c>
      <c r="D274" s="9" t="s">
        <v>651</v>
      </c>
      <c r="E274" s="13" t="n">
        <v>60</v>
      </c>
      <c r="F274" s="19" t="n">
        <f aca="false">Cap_Rate!$D$15</f>
        <v>60</v>
      </c>
      <c r="G274" s="37" t="n">
        <f aca="false">IFERROR(IF(ISNUMBER(F274),F274-E274,"n/a"),"n/a")</f>
        <v>0</v>
      </c>
      <c r="H274" s="41" t="n">
        <v>0.500000001</v>
      </c>
      <c r="I274" s="39" t="str">
        <f aca="false">IFERROR(IF(ISNUMBER(F274),IF(ABS(F274-E274)&lt;=H274,"PASS","FAIL"),"FAIL"),"FAIL")</f>
        <v>PASS</v>
      </c>
    </row>
    <row r="275" customFormat="false" ht="15" hidden="false" customHeight="false" outlineLevel="0" collapsed="false">
      <c r="B275" s="40" t="n">
        <v>266</v>
      </c>
      <c r="C275" s="9" t="s">
        <v>391</v>
      </c>
      <c r="D275" s="9" t="s">
        <v>652</v>
      </c>
      <c r="E275" s="13" t="n">
        <v>1996</v>
      </c>
      <c r="F275" s="19" t="n">
        <f aca="false">Cap_Rate!$E$15</f>
        <v>1996</v>
      </c>
      <c r="G275" s="37" t="n">
        <f aca="false">IFERROR(IF(ISNUMBER(F275),F275-E275,"n/a"),"n/a")</f>
        <v>0</v>
      </c>
      <c r="H275" s="41" t="n">
        <v>0.500000001</v>
      </c>
      <c r="I275" s="39" t="str">
        <f aca="false">IFERROR(IF(ISNUMBER(F275),IF(ABS(F275-E275)&lt;=H275,"PASS","FAIL"),"FAIL"),"FAIL")</f>
        <v>PASS</v>
      </c>
    </row>
    <row r="276" customFormat="false" ht="15" hidden="false" customHeight="false" outlineLevel="0" collapsed="false">
      <c r="B276" s="40" t="n">
        <v>267</v>
      </c>
      <c r="C276" s="9" t="s">
        <v>391</v>
      </c>
      <c r="D276" s="9" t="s">
        <v>653</v>
      </c>
      <c r="E276" s="13" t="n">
        <v>8</v>
      </c>
      <c r="F276" s="19" t="n">
        <f aca="false">Cap_Rate!$F$15</f>
        <v>8</v>
      </c>
      <c r="G276" s="37" t="n">
        <f aca="false">IFERROR(IF(ISNUMBER(F276),F276-E276,"n/a"),"n/a")</f>
        <v>0</v>
      </c>
      <c r="H276" s="41" t="n">
        <v>0.500000001</v>
      </c>
      <c r="I276" s="39" t="str">
        <f aca="false">IFERROR(IF(ISNUMBER(F276),IF(ABS(F276-E276)&lt;=H276,"PASS","FAIL"),"FAIL"),"FAIL")</f>
        <v>PASS</v>
      </c>
    </row>
    <row r="277" customFormat="false" ht="15" hidden="false" customHeight="false" outlineLevel="0" collapsed="false">
      <c r="B277" s="40" t="n">
        <v>268</v>
      </c>
      <c r="C277" s="9" t="s">
        <v>391</v>
      </c>
      <c r="D277" s="9" t="s">
        <v>654</v>
      </c>
      <c r="E277" s="13" t="n">
        <v>8280000</v>
      </c>
      <c r="F277" s="19" t="n">
        <f aca="false">Cap_Rate!$G$15</f>
        <v>8280000</v>
      </c>
      <c r="G277" s="37" t="n">
        <f aca="false">IFERROR(IF(ISNUMBER(F277),F277-E277,"n/a"),"n/a")</f>
        <v>0</v>
      </c>
      <c r="H277" s="41" t="n">
        <v>0.500000001</v>
      </c>
      <c r="I277" s="39" t="str">
        <f aca="false">IFERROR(IF(ISNUMBER(F277),IF(ABS(F277-E277)&lt;=H277,"PASS","FAIL"),"FAIL"),"FAIL")</f>
        <v>PASS</v>
      </c>
    </row>
    <row r="278" customFormat="false" ht="15" hidden="false" customHeight="false" outlineLevel="0" collapsed="false">
      <c r="B278" s="40" t="n">
        <v>269</v>
      </c>
      <c r="C278" s="9" t="s">
        <v>391</v>
      </c>
      <c r="D278" s="9" t="s">
        <v>655</v>
      </c>
      <c r="E278" s="13" t="n">
        <v>138000</v>
      </c>
      <c r="F278" s="19" t="n">
        <f aca="false">Cap_Rate!$H$15</f>
        <v>138000</v>
      </c>
      <c r="G278" s="37" t="n">
        <f aca="false">IFERROR(IF(ISNUMBER(F278),F278-E278,"n/a"),"n/a")</f>
        <v>0</v>
      </c>
      <c r="H278" s="41" t="n">
        <v>0.500000001</v>
      </c>
      <c r="I278" s="39" t="str">
        <f aca="false">IFERROR(IF(ISNUMBER(F278),IF(ABS(F278-E278)&lt;=H278,"PASS","FAIL"),"FAIL"),"FAIL")</f>
        <v>PASS</v>
      </c>
    </row>
    <row r="279" customFormat="false" ht="15" hidden="false" customHeight="false" outlineLevel="0" collapsed="false">
      <c r="B279" s="40" t="n">
        <v>270</v>
      </c>
      <c r="C279" s="9" t="s">
        <v>391</v>
      </c>
      <c r="D279" s="9" t="s">
        <v>656</v>
      </c>
      <c r="E279" s="13" t="n">
        <v>880</v>
      </c>
      <c r="F279" s="19" t="n">
        <f aca="false">Cap_Rate!$I$15</f>
        <v>880</v>
      </c>
      <c r="G279" s="37" t="n">
        <f aca="false">IFERROR(IF(ISNUMBER(F279),F279-E279,"n/a"),"n/a")</f>
        <v>0</v>
      </c>
      <c r="H279" s="41" t="n">
        <v>0.500000001</v>
      </c>
      <c r="I279" s="39" t="str">
        <f aca="false">IFERROR(IF(ISNUMBER(F279),IF(ABS(F279-E279)&lt;=H279,"PASS","FAIL"),"FAIL"),"FAIL")</f>
        <v>PASS</v>
      </c>
    </row>
    <row r="280" customFormat="false" ht="15" hidden="false" customHeight="false" outlineLevel="0" collapsed="false">
      <c r="B280" s="40" t="n">
        <v>271</v>
      </c>
      <c r="C280" s="9" t="s">
        <v>391</v>
      </c>
      <c r="D280" s="9" t="s">
        <v>657</v>
      </c>
      <c r="E280" s="12" t="n">
        <v>156.82</v>
      </c>
      <c r="F280" s="45" t="n">
        <f aca="false">Cap_Rate!$J$15</f>
        <v>156.818181818182</v>
      </c>
      <c r="G280" s="37" t="n">
        <f aca="false">IFERROR(IF(ISNUMBER(F280),F280-E280,"n/a"),"n/a")</f>
        <v>-0.00181818181818016</v>
      </c>
      <c r="H280" s="41" t="n">
        <v>0.005000001</v>
      </c>
      <c r="I280" s="39" t="str">
        <f aca="false">IFERROR(IF(ISNUMBER(F280),IF(ABS(F280-E280)&lt;=H280,"PASS","FAIL"),"FAIL"),"FAIL")</f>
        <v>PASS</v>
      </c>
    </row>
    <row r="281" customFormat="false" ht="15" hidden="false" customHeight="false" outlineLevel="0" collapsed="false">
      <c r="B281" s="40" t="n">
        <v>272</v>
      </c>
      <c r="C281" s="9" t="s">
        <v>391</v>
      </c>
      <c r="D281" s="9" t="s">
        <v>658</v>
      </c>
      <c r="E281" s="13" t="n">
        <v>527000</v>
      </c>
      <c r="F281" s="19" t="n">
        <f aca="false">Cap_Rate!$K$15</f>
        <v>527000</v>
      </c>
      <c r="G281" s="37" t="n">
        <f aca="false">IFERROR(IF(ISNUMBER(F281),F281-E281,"n/a"),"n/a")</f>
        <v>0</v>
      </c>
      <c r="H281" s="41" t="n">
        <v>0.500000001</v>
      </c>
      <c r="I281" s="39" t="str">
        <f aca="false">IFERROR(IF(ISNUMBER(F281),IF(ABS(F281-E281)&lt;=H281,"PASS","FAIL"),"FAIL"),"FAIL")</f>
        <v>PASS</v>
      </c>
    </row>
    <row r="282" customFormat="false" ht="15" hidden="false" customHeight="false" outlineLevel="0" collapsed="false">
      <c r="B282" s="40" t="n">
        <v>273</v>
      </c>
      <c r="C282" s="9" t="s">
        <v>391</v>
      </c>
      <c r="D282" s="9" t="s">
        <v>659</v>
      </c>
      <c r="E282" s="13" t="n">
        <v>823438</v>
      </c>
      <c r="F282" s="19" t="n">
        <f aca="false">Cap_Rate!$L$15</f>
        <v>823437.5</v>
      </c>
      <c r="G282" s="37" t="n">
        <f aca="false">IFERROR(IF(ISNUMBER(F282),F282-E282,"n/a"),"n/a")</f>
        <v>-0.5</v>
      </c>
      <c r="H282" s="41" t="n">
        <v>0.500000001</v>
      </c>
      <c r="I282" s="39" t="str">
        <f aca="false">IFERROR(IF(ISNUMBER(F282),IF(ABS(F282-E282)&lt;=H282,"PASS","FAIL"),"FAIL"),"FAIL")</f>
        <v>PASS</v>
      </c>
    </row>
    <row r="283" customFormat="false" ht="15" hidden="false" customHeight="false" outlineLevel="0" collapsed="false">
      <c r="B283" s="40" t="n">
        <v>274</v>
      </c>
      <c r="C283" s="9" t="s">
        <v>391</v>
      </c>
      <c r="D283" s="9" t="s">
        <v>660</v>
      </c>
      <c r="E283" s="13" t="n">
        <v>18000</v>
      </c>
      <c r="F283" s="19" t="n">
        <f aca="false">Cap_Rate!$M$15</f>
        <v>18000</v>
      </c>
      <c r="G283" s="37" t="n">
        <f aca="false">IFERROR(IF(ISNUMBER(F283),F283-E283,"n/a"),"n/a")</f>
        <v>0</v>
      </c>
      <c r="H283" s="41" t="n">
        <v>0.500000001</v>
      </c>
      <c r="I283" s="39" t="str">
        <f aca="false">IFERROR(IF(ISNUMBER(F283),IF(ABS(F283-E283)&lt;=H283,"PASS","FAIL"),"FAIL"),"FAIL")</f>
        <v>PASS</v>
      </c>
    </row>
    <row r="284" customFormat="false" ht="15" hidden="false" customHeight="false" outlineLevel="0" collapsed="false">
      <c r="B284" s="40" t="n">
        <v>275</v>
      </c>
      <c r="C284" s="9" t="s">
        <v>391</v>
      </c>
      <c r="D284" s="9" t="s">
        <v>661</v>
      </c>
      <c r="E284" s="13" t="n">
        <v>4117</v>
      </c>
      <c r="F284" s="19" t="n">
        <f aca="false">Cap_Rate!$N$15</f>
        <v>4117.1875</v>
      </c>
      <c r="G284" s="37" t="n">
        <f aca="false">IFERROR(IF(ISNUMBER(F284),F284-E284,"n/a"),"n/a")</f>
        <v>0.187500000003638</v>
      </c>
      <c r="H284" s="41" t="n">
        <v>0.500000001</v>
      </c>
      <c r="I284" s="39" t="str">
        <f aca="false">IFERROR(IF(ISNUMBER(F284),IF(ABS(F284-E284)&lt;=H284,"PASS","FAIL"),"FAIL"),"FAIL")</f>
        <v>PASS</v>
      </c>
    </row>
    <row r="285" customFormat="false" ht="15" hidden="false" customHeight="false" outlineLevel="0" collapsed="false">
      <c r="B285" s="40" t="n">
        <v>276</v>
      </c>
      <c r="C285" s="9" t="s">
        <v>391</v>
      </c>
      <c r="D285" s="9" t="s">
        <v>662</v>
      </c>
      <c r="E285" s="13" t="n">
        <v>504883</v>
      </c>
      <c r="F285" s="19" t="n">
        <f aca="false">Cap_Rate!$O$15</f>
        <v>504882.8125</v>
      </c>
      <c r="G285" s="37" t="n">
        <f aca="false">IFERROR(IF(ISNUMBER(F285),F285-E285,"n/a"),"n/a")</f>
        <v>-0.1875</v>
      </c>
      <c r="H285" s="41" t="n">
        <v>0.500000001</v>
      </c>
      <c r="I285" s="39" t="str">
        <f aca="false">IFERROR(IF(ISNUMBER(F285),IF(ABS(F285-E285)&lt;=H285,"PASS","FAIL"),"FAIL"),"FAIL")</f>
        <v>PASS</v>
      </c>
    </row>
    <row r="286" customFormat="false" ht="15" hidden="false" customHeight="false" outlineLevel="0" collapsed="false">
      <c r="B286" s="40" t="n">
        <v>277</v>
      </c>
      <c r="C286" s="9" t="s">
        <v>391</v>
      </c>
      <c r="D286" s="9" t="s">
        <v>663</v>
      </c>
      <c r="E286" s="31" t="n">
        <v>0.0636</v>
      </c>
      <c r="F286" s="47" t="n">
        <f aca="false">Cap_Rate!$P$15</f>
        <v>0.0636473429951691</v>
      </c>
      <c r="G286" s="37" t="n">
        <f aca="false">IFERROR(IF(ISNUMBER(F286),F286-E286,"n/a"),"n/a")</f>
        <v>4.73429951690779E-005</v>
      </c>
      <c r="H286" s="41" t="n">
        <v>5.0001E-005</v>
      </c>
      <c r="I286" s="39" t="str">
        <f aca="false">IFERROR(IF(ISNUMBER(F286),IF(ABS(F286-E286)&lt;=H286,"PASS","FAIL"),"FAIL"),"FAIL")</f>
        <v>PASS</v>
      </c>
    </row>
    <row r="287" customFormat="false" ht="15" hidden="false" customHeight="false" outlineLevel="0" collapsed="false">
      <c r="B287" s="40" t="n">
        <v>278</v>
      </c>
      <c r="C287" s="9" t="s">
        <v>391</v>
      </c>
      <c r="D287" s="9" t="s">
        <v>664</v>
      </c>
      <c r="E287" s="31" t="n">
        <v>0.061</v>
      </c>
      <c r="F287" s="47" t="n">
        <f aca="false">Cap_Rate!$Q$15</f>
        <v>0.0609761850845411</v>
      </c>
      <c r="G287" s="37" t="n">
        <f aca="false">IFERROR(IF(ISNUMBER(F287),F287-E287,"n/a"),"n/a")</f>
        <v>-2.38149154589348E-005</v>
      </c>
      <c r="H287" s="41" t="n">
        <v>5.0001E-005</v>
      </c>
      <c r="I287" s="39" t="str">
        <f aca="false">IFERROR(IF(ISNUMBER(F287),IF(ABS(F287-E287)&lt;=H287,"PASS","FAIL"),"FAIL"),"FAIL")</f>
        <v>PASS</v>
      </c>
    </row>
    <row r="288" customFormat="false" ht="15" hidden="false" customHeight="false" outlineLevel="0" collapsed="false">
      <c r="B288" s="40" t="n">
        <v>279</v>
      </c>
      <c r="C288" s="9" t="s">
        <v>391</v>
      </c>
      <c r="D288" s="9" t="s">
        <v>665</v>
      </c>
      <c r="E288" s="12" t="n">
        <v>10.06</v>
      </c>
      <c r="F288" s="45" t="n">
        <f aca="false">Cap_Rate!$R$15</f>
        <v>10.0554079696395</v>
      </c>
      <c r="G288" s="37" t="n">
        <f aca="false">IFERROR(IF(ISNUMBER(F288),F288-E288,"n/a"),"n/a")</f>
        <v>-0.00459203036053246</v>
      </c>
      <c r="H288" s="41" t="n">
        <v>0.005000001</v>
      </c>
      <c r="I288" s="39" t="str">
        <f aca="false">IFERROR(IF(ISNUMBER(F288),IF(ABS(F288-E288)&lt;=H288,"PASS","FAIL"),"FAIL"),"FAIL")</f>
        <v>PASS</v>
      </c>
    </row>
    <row r="289" customFormat="false" ht="15" hidden="false" customHeight="false" outlineLevel="0" collapsed="false">
      <c r="B289" s="40" t="n">
        <v>280</v>
      </c>
      <c r="C289" s="9" t="s">
        <v>391</v>
      </c>
      <c r="D289" s="9" t="s">
        <v>666</v>
      </c>
      <c r="E289" s="13" t="n">
        <v>84</v>
      </c>
      <c r="F289" s="19" t="n">
        <f aca="false">Cap_Rate!$D$16</f>
        <v>84</v>
      </c>
      <c r="G289" s="37" t="n">
        <f aca="false">IFERROR(IF(ISNUMBER(F289),F289-E289,"n/a"),"n/a")</f>
        <v>0</v>
      </c>
      <c r="H289" s="41" t="n">
        <v>0.500000001</v>
      </c>
      <c r="I289" s="39" t="str">
        <f aca="false">IFERROR(IF(ISNUMBER(F289),IF(ABS(F289-E289)&lt;=H289,"PASS","FAIL"),"FAIL"),"FAIL")</f>
        <v>PASS</v>
      </c>
    </row>
    <row r="290" customFormat="false" ht="15" hidden="false" customHeight="false" outlineLevel="0" collapsed="false">
      <c r="B290" s="40" t="n">
        <v>281</v>
      </c>
      <c r="C290" s="9" t="s">
        <v>391</v>
      </c>
      <c r="D290" s="9" t="s">
        <v>667</v>
      </c>
      <c r="E290" s="13" t="n">
        <v>2003</v>
      </c>
      <c r="F290" s="19" t="n">
        <f aca="false">Cap_Rate!$E$16</f>
        <v>2003</v>
      </c>
      <c r="G290" s="37" t="n">
        <f aca="false">IFERROR(IF(ISNUMBER(F290),F290-E290,"n/a"),"n/a")</f>
        <v>0</v>
      </c>
      <c r="H290" s="41" t="n">
        <v>0.500000001</v>
      </c>
      <c r="I290" s="39" t="str">
        <f aca="false">IFERROR(IF(ISNUMBER(F290),IF(ABS(F290-E290)&lt;=H290,"PASS","FAIL"),"FAIL"),"FAIL")</f>
        <v>PASS</v>
      </c>
    </row>
    <row r="291" customFormat="false" ht="15" hidden="false" customHeight="false" outlineLevel="0" collapsed="false">
      <c r="B291" s="40" t="n">
        <v>282</v>
      </c>
      <c r="C291" s="9" t="s">
        <v>391</v>
      </c>
      <c r="D291" s="9" t="s">
        <v>668</v>
      </c>
      <c r="E291" s="13" t="n">
        <v>11</v>
      </c>
      <c r="F291" s="19" t="n">
        <f aca="false">Cap_Rate!$F$16</f>
        <v>11</v>
      </c>
      <c r="G291" s="37" t="n">
        <f aca="false">IFERROR(IF(ISNUMBER(F291),F291-E291,"n/a"),"n/a")</f>
        <v>0</v>
      </c>
      <c r="H291" s="41" t="n">
        <v>0.500000001</v>
      </c>
      <c r="I291" s="39" t="str">
        <f aca="false">IFERROR(IF(ISNUMBER(F291),IF(ABS(F291-E291)&lt;=H291,"PASS","FAIL"),"FAIL"),"FAIL")</f>
        <v>PASS</v>
      </c>
    </row>
    <row r="292" customFormat="false" ht="15" hidden="false" customHeight="false" outlineLevel="0" collapsed="false">
      <c r="B292" s="40" t="n">
        <v>283</v>
      </c>
      <c r="C292" s="9" t="s">
        <v>391</v>
      </c>
      <c r="D292" s="9" t="s">
        <v>669</v>
      </c>
      <c r="E292" s="13" t="n">
        <v>16128000</v>
      </c>
      <c r="F292" s="19" t="n">
        <f aca="false">Cap_Rate!$G$16</f>
        <v>16128000</v>
      </c>
      <c r="G292" s="37" t="n">
        <f aca="false">IFERROR(IF(ISNUMBER(F292),F292-E292,"n/a"),"n/a")</f>
        <v>0</v>
      </c>
      <c r="H292" s="41" t="n">
        <v>0.500000001</v>
      </c>
      <c r="I292" s="39" t="str">
        <f aca="false">IFERROR(IF(ISNUMBER(F292),IF(ABS(F292-E292)&lt;=H292,"PASS","FAIL"),"FAIL"),"FAIL")</f>
        <v>PASS</v>
      </c>
    </row>
    <row r="293" customFormat="false" ht="15" hidden="false" customHeight="false" outlineLevel="0" collapsed="false">
      <c r="B293" s="40" t="n">
        <v>284</v>
      </c>
      <c r="C293" s="9" t="s">
        <v>391</v>
      </c>
      <c r="D293" s="9" t="s">
        <v>670</v>
      </c>
      <c r="E293" s="13" t="n">
        <v>192000</v>
      </c>
      <c r="F293" s="19" t="n">
        <f aca="false">Cap_Rate!$H$16</f>
        <v>192000</v>
      </c>
      <c r="G293" s="37" t="n">
        <f aca="false">IFERROR(IF(ISNUMBER(F293),F293-E293,"n/a"),"n/a")</f>
        <v>0</v>
      </c>
      <c r="H293" s="41" t="n">
        <v>0.500000001</v>
      </c>
      <c r="I293" s="39" t="str">
        <f aca="false">IFERROR(IF(ISNUMBER(F293),IF(ABS(F293-E293)&lt;=H293,"PASS","FAIL"),"FAIL"),"FAIL")</f>
        <v>PASS</v>
      </c>
    </row>
    <row r="294" customFormat="false" ht="15" hidden="false" customHeight="false" outlineLevel="0" collapsed="false">
      <c r="B294" s="40" t="n">
        <v>285</v>
      </c>
      <c r="C294" s="9" t="s">
        <v>391</v>
      </c>
      <c r="D294" s="9" t="s">
        <v>671</v>
      </c>
      <c r="E294" s="13" t="n">
        <v>925</v>
      </c>
      <c r="F294" s="19" t="n">
        <f aca="false">Cap_Rate!$I$16</f>
        <v>925</v>
      </c>
      <c r="G294" s="37" t="n">
        <f aca="false">IFERROR(IF(ISNUMBER(F294),F294-E294,"n/a"),"n/a")</f>
        <v>0</v>
      </c>
      <c r="H294" s="41" t="n">
        <v>0.500000001</v>
      </c>
      <c r="I294" s="39" t="str">
        <f aca="false">IFERROR(IF(ISNUMBER(F294),IF(ABS(F294-E294)&lt;=H294,"PASS","FAIL"),"FAIL"),"FAIL")</f>
        <v>PASS</v>
      </c>
    </row>
    <row r="295" customFormat="false" ht="15" hidden="false" customHeight="false" outlineLevel="0" collapsed="false">
      <c r="B295" s="40" t="n">
        <v>286</v>
      </c>
      <c r="C295" s="9" t="s">
        <v>391</v>
      </c>
      <c r="D295" s="9" t="s">
        <v>672</v>
      </c>
      <c r="E295" s="12" t="n">
        <v>207.57</v>
      </c>
      <c r="F295" s="45" t="n">
        <f aca="false">Cap_Rate!$J$16</f>
        <v>207.567567567568</v>
      </c>
      <c r="G295" s="37" t="n">
        <f aca="false">IFERROR(IF(ISNUMBER(F295),F295-E295,"n/a"),"n/a")</f>
        <v>-0.00243243243241409</v>
      </c>
      <c r="H295" s="41" t="n">
        <v>0.005000001</v>
      </c>
      <c r="I295" s="39" t="str">
        <f aca="false">IFERROR(IF(ISNUMBER(F295),IF(ABS(F295-E295)&lt;=H295,"PASS","FAIL"),"FAIL"),"FAIL")</f>
        <v>PASS</v>
      </c>
    </row>
    <row r="296" customFormat="false" ht="15" hidden="false" customHeight="false" outlineLevel="0" collapsed="false">
      <c r="B296" s="40" t="n">
        <v>287</v>
      </c>
      <c r="C296" s="9" t="s">
        <v>391</v>
      </c>
      <c r="D296" s="9" t="s">
        <v>673</v>
      </c>
      <c r="E296" s="13" t="n">
        <v>928000</v>
      </c>
      <c r="F296" s="19" t="n">
        <f aca="false">Cap_Rate!$K$16</f>
        <v>928000</v>
      </c>
      <c r="G296" s="37" t="n">
        <f aca="false">IFERROR(IF(ISNUMBER(F296),F296-E296,"n/a"),"n/a")</f>
        <v>0</v>
      </c>
      <c r="H296" s="41" t="n">
        <v>0.500000001</v>
      </c>
      <c r="I296" s="39" t="str">
        <f aca="false">IFERROR(IF(ISNUMBER(F296),IF(ABS(F296-E296)&lt;=H296,"PASS","FAIL"),"FAIL"),"FAIL")</f>
        <v>PASS</v>
      </c>
    </row>
    <row r="297" customFormat="false" ht="15" hidden="false" customHeight="false" outlineLevel="0" collapsed="false">
      <c r="B297" s="40" t="n">
        <v>288</v>
      </c>
      <c r="C297" s="9" t="s">
        <v>391</v>
      </c>
      <c r="D297" s="9" t="s">
        <v>674</v>
      </c>
      <c r="E297" s="13" t="n">
        <v>1450000</v>
      </c>
      <c r="F297" s="19" t="n">
        <f aca="false">Cap_Rate!$L$16</f>
        <v>1450000</v>
      </c>
      <c r="G297" s="37" t="n">
        <f aca="false">IFERROR(IF(ISNUMBER(F297),F297-E297,"n/a"),"n/a")</f>
        <v>0</v>
      </c>
      <c r="H297" s="41" t="n">
        <v>0.500000001</v>
      </c>
      <c r="I297" s="39" t="str">
        <f aca="false">IFERROR(IF(ISNUMBER(F297),IF(ABS(F297-E297)&lt;=H297,"PASS","FAIL"),"FAIL"),"FAIL")</f>
        <v>PASS</v>
      </c>
    </row>
    <row r="298" customFormat="false" ht="15" hidden="false" customHeight="false" outlineLevel="0" collapsed="false">
      <c r="B298" s="40" t="n">
        <v>289</v>
      </c>
      <c r="C298" s="9" t="s">
        <v>391</v>
      </c>
      <c r="D298" s="9" t="s">
        <v>675</v>
      </c>
      <c r="E298" s="13" t="n">
        <v>25200</v>
      </c>
      <c r="F298" s="19" t="n">
        <f aca="false">Cap_Rate!$M$16</f>
        <v>25200</v>
      </c>
      <c r="G298" s="37" t="n">
        <f aca="false">IFERROR(IF(ISNUMBER(F298),F298-E298,"n/a"),"n/a")</f>
        <v>0</v>
      </c>
      <c r="H298" s="41" t="n">
        <v>0.500000001</v>
      </c>
      <c r="I298" s="39" t="str">
        <f aca="false">IFERROR(IF(ISNUMBER(F298),IF(ABS(F298-E298)&lt;=H298,"PASS","FAIL"),"FAIL"),"FAIL")</f>
        <v>PASS</v>
      </c>
    </row>
    <row r="299" customFormat="false" ht="15" hidden="false" customHeight="false" outlineLevel="0" collapsed="false">
      <c r="B299" s="40" t="n">
        <v>290</v>
      </c>
      <c r="C299" s="9" t="s">
        <v>391</v>
      </c>
      <c r="D299" s="9" t="s">
        <v>676</v>
      </c>
      <c r="E299" s="13" t="n">
        <v>7250</v>
      </c>
      <c r="F299" s="19" t="n">
        <f aca="false">Cap_Rate!$N$16</f>
        <v>7250.00000000001</v>
      </c>
      <c r="G299" s="37" t="n">
        <f aca="false">IFERROR(IF(ISNUMBER(F299),F299-E299,"n/a"),"n/a")</f>
        <v>0</v>
      </c>
      <c r="H299" s="41" t="n">
        <v>0.500000001</v>
      </c>
      <c r="I299" s="39" t="str">
        <f aca="false">IFERROR(IF(ISNUMBER(F299),IF(ABS(F299-E299)&lt;=H299,"PASS","FAIL"),"FAIL"),"FAIL")</f>
        <v>PASS</v>
      </c>
    </row>
    <row r="300" customFormat="false" ht="15" hidden="false" customHeight="false" outlineLevel="0" collapsed="false">
      <c r="B300" s="40" t="n">
        <v>291</v>
      </c>
      <c r="C300" s="9" t="s">
        <v>391</v>
      </c>
      <c r="D300" s="9" t="s">
        <v>677</v>
      </c>
      <c r="E300" s="13" t="n">
        <v>895550</v>
      </c>
      <c r="F300" s="19" t="n">
        <f aca="false">Cap_Rate!$O$16</f>
        <v>895550</v>
      </c>
      <c r="G300" s="37" t="n">
        <f aca="false">IFERROR(IF(ISNUMBER(F300),F300-E300,"n/a"),"n/a")</f>
        <v>0</v>
      </c>
      <c r="H300" s="41" t="n">
        <v>0.500000001</v>
      </c>
      <c r="I300" s="39" t="str">
        <f aca="false">IFERROR(IF(ISNUMBER(F300),IF(ABS(F300-E300)&lt;=H300,"PASS","FAIL"),"FAIL"),"FAIL")</f>
        <v>PASS</v>
      </c>
    </row>
    <row r="301" customFormat="false" ht="15" hidden="false" customHeight="false" outlineLevel="0" collapsed="false">
      <c r="B301" s="40" t="n">
        <v>292</v>
      </c>
      <c r="C301" s="9" t="s">
        <v>391</v>
      </c>
      <c r="D301" s="9" t="s">
        <v>678</v>
      </c>
      <c r="E301" s="31" t="n">
        <v>0.0575</v>
      </c>
      <c r="F301" s="47" t="n">
        <f aca="false">Cap_Rate!$P$16</f>
        <v>0.0575396825396825</v>
      </c>
      <c r="G301" s="37" t="n">
        <f aca="false">IFERROR(IF(ISNUMBER(F301),F301-E301,"n/a"),"n/a")</f>
        <v>3.9682539682534E-005</v>
      </c>
      <c r="H301" s="41" t="n">
        <v>5.0001E-005</v>
      </c>
      <c r="I301" s="39" t="str">
        <f aca="false">IFERROR(IF(ISNUMBER(F301),IF(ABS(F301-E301)&lt;=H301,"PASS","FAIL"),"FAIL"),"FAIL")</f>
        <v>PASS</v>
      </c>
    </row>
    <row r="302" customFormat="false" ht="15" hidden="false" customHeight="false" outlineLevel="0" collapsed="false">
      <c r="B302" s="40" t="n">
        <v>293</v>
      </c>
      <c r="C302" s="9" t="s">
        <v>391</v>
      </c>
      <c r="D302" s="9" t="s">
        <v>679</v>
      </c>
      <c r="E302" s="31" t="n">
        <v>0.0555</v>
      </c>
      <c r="F302" s="47" t="n">
        <f aca="false">Cap_Rate!$Q$16</f>
        <v>0.0555276537698413</v>
      </c>
      <c r="G302" s="37" t="n">
        <f aca="false">IFERROR(IF(ISNUMBER(F302),F302-E302,"n/a"),"n/a")</f>
        <v>2.76537698412696E-005</v>
      </c>
      <c r="H302" s="41" t="n">
        <v>5.0001E-005</v>
      </c>
      <c r="I302" s="39" t="str">
        <f aca="false">IFERROR(IF(ISNUMBER(F302),IF(ABS(F302-E302)&lt;=H302,"PASS","FAIL"),"FAIL"),"FAIL")</f>
        <v>PASS</v>
      </c>
    </row>
    <row r="303" customFormat="false" ht="15" hidden="false" customHeight="false" outlineLevel="0" collapsed="false">
      <c r="B303" s="40" t="n">
        <v>294</v>
      </c>
      <c r="C303" s="9" t="s">
        <v>391</v>
      </c>
      <c r="D303" s="9" t="s">
        <v>680</v>
      </c>
      <c r="E303" s="12" t="n">
        <v>11.12</v>
      </c>
      <c r="F303" s="45" t="n">
        <f aca="false">Cap_Rate!$R$16</f>
        <v>11.1227586206897</v>
      </c>
      <c r="G303" s="37" t="n">
        <f aca="false">IFERROR(IF(ISNUMBER(F303),F303-E303,"n/a"),"n/a")</f>
        <v>0.00275862068965616</v>
      </c>
      <c r="H303" s="41" t="n">
        <v>0.005000001</v>
      </c>
      <c r="I303" s="39" t="str">
        <f aca="false">IFERROR(IF(ISNUMBER(F303),IF(ABS(F303-E303)&lt;=H303,"PASS","FAIL"),"FAIL"),"FAIL")</f>
        <v>PASS</v>
      </c>
    </row>
    <row r="304" customFormat="false" ht="15" hidden="false" customHeight="false" outlineLevel="0" collapsed="false">
      <c r="B304" s="40" t="n">
        <v>295</v>
      </c>
      <c r="C304" s="9" t="s">
        <v>391</v>
      </c>
      <c r="D304" s="9" t="s">
        <v>681</v>
      </c>
      <c r="E304" s="13" t="n">
        <v>72</v>
      </c>
      <c r="F304" s="19" t="n">
        <f aca="false">Cap_Rate!$D$17</f>
        <v>72</v>
      </c>
      <c r="G304" s="37" t="n">
        <f aca="false">IFERROR(IF(ISNUMBER(F304),F304-E304,"n/a"),"n/a")</f>
        <v>0</v>
      </c>
      <c r="H304" s="41" t="n">
        <v>0.500000001</v>
      </c>
      <c r="I304" s="39" t="str">
        <f aca="false">IFERROR(IF(ISNUMBER(F304),IF(ABS(F304-E304)&lt;=H304,"PASS","FAIL"),"FAIL"),"FAIL")</f>
        <v>PASS</v>
      </c>
    </row>
    <row r="305" customFormat="false" ht="15" hidden="false" customHeight="false" outlineLevel="0" collapsed="false">
      <c r="B305" s="40" t="n">
        <v>296</v>
      </c>
      <c r="C305" s="9" t="s">
        <v>391</v>
      </c>
      <c r="D305" s="9" t="s">
        <v>682</v>
      </c>
      <c r="E305" s="13" t="n">
        <v>1998</v>
      </c>
      <c r="F305" s="19" t="n">
        <f aca="false">Cap_Rate!$E$17</f>
        <v>1998</v>
      </c>
      <c r="G305" s="37" t="n">
        <f aca="false">IFERROR(IF(ISNUMBER(F305),F305-E305,"n/a"),"n/a")</f>
        <v>0</v>
      </c>
      <c r="H305" s="41" t="n">
        <v>0.500000001</v>
      </c>
      <c r="I305" s="39" t="str">
        <f aca="false">IFERROR(IF(ISNUMBER(F305),IF(ABS(F305-E305)&lt;=H305,"PASS","FAIL"),"FAIL"),"FAIL")</f>
        <v>PASS</v>
      </c>
    </row>
    <row r="306" customFormat="false" ht="15" hidden="false" customHeight="false" outlineLevel="0" collapsed="false">
      <c r="B306" s="40" t="n">
        <v>297</v>
      </c>
      <c r="C306" s="9" t="s">
        <v>391</v>
      </c>
      <c r="D306" s="9" t="s">
        <v>683</v>
      </c>
      <c r="E306" s="13" t="n">
        <v>5</v>
      </c>
      <c r="F306" s="19" t="n">
        <f aca="false">Cap_Rate!$F$17</f>
        <v>5</v>
      </c>
      <c r="G306" s="37" t="n">
        <f aca="false">IFERROR(IF(ISNUMBER(F306),F306-E306,"n/a"),"n/a")</f>
        <v>0</v>
      </c>
      <c r="H306" s="41" t="n">
        <v>0.500000001</v>
      </c>
      <c r="I306" s="39" t="str">
        <f aca="false">IFERROR(IF(ISNUMBER(F306),IF(ABS(F306-E306)&lt;=H306,"PASS","FAIL"),"FAIL"),"FAIL")</f>
        <v>PASS</v>
      </c>
    </row>
    <row r="307" customFormat="false" ht="15" hidden="false" customHeight="false" outlineLevel="0" collapsed="false">
      <c r="B307" s="40" t="n">
        <v>298</v>
      </c>
      <c r="C307" s="9" t="s">
        <v>391</v>
      </c>
      <c r="D307" s="9" t="s">
        <v>684</v>
      </c>
      <c r="E307" s="13" t="n">
        <v>11214000</v>
      </c>
      <c r="F307" s="19" t="n">
        <f aca="false">Cap_Rate!$G$17</f>
        <v>11214000</v>
      </c>
      <c r="G307" s="37" t="n">
        <f aca="false">IFERROR(IF(ISNUMBER(F307),F307-E307,"n/a"),"n/a")</f>
        <v>0</v>
      </c>
      <c r="H307" s="41" t="n">
        <v>0.500000001</v>
      </c>
      <c r="I307" s="39" t="str">
        <f aca="false">IFERROR(IF(ISNUMBER(F307),IF(ABS(F307-E307)&lt;=H307,"PASS","FAIL"),"FAIL"),"FAIL")</f>
        <v>PASS</v>
      </c>
    </row>
    <row r="308" customFormat="false" ht="15" hidden="false" customHeight="false" outlineLevel="0" collapsed="false">
      <c r="B308" s="40" t="n">
        <v>299</v>
      </c>
      <c r="C308" s="9" t="s">
        <v>391</v>
      </c>
      <c r="D308" s="9" t="s">
        <v>685</v>
      </c>
      <c r="E308" s="13" t="n">
        <v>155750</v>
      </c>
      <c r="F308" s="19" t="n">
        <f aca="false">Cap_Rate!$H$17</f>
        <v>155750</v>
      </c>
      <c r="G308" s="37" t="n">
        <f aca="false">IFERROR(IF(ISNUMBER(F308),F308-E308,"n/a"),"n/a")</f>
        <v>0</v>
      </c>
      <c r="H308" s="41" t="n">
        <v>0.500000001</v>
      </c>
      <c r="I308" s="39" t="str">
        <f aca="false">IFERROR(IF(ISNUMBER(F308),IF(ABS(F308-E308)&lt;=H308,"PASS","FAIL"),"FAIL"),"FAIL")</f>
        <v>PASS</v>
      </c>
    </row>
    <row r="309" customFormat="false" ht="15" hidden="false" customHeight="false" outlineLevel="0" collapsed="false">
      <c r="B309" s="40" t="n">
        <v>300</v>
      </c>
      <c r="C309" s="9" t="s">
        <v>391</v>
      </c>
      <c r="D309" s="9" t="s">
        <v>686</v>
      </c>
      <c r="E309" s="13" t="n">
        <v>890</v>
      </c>
      <c r="F309" s="19" t="n">
        <f aca="false">Cap_Rate!$I$17</f>
        <v>890</v>
      </c>
      <c r="G309" s="37" t="n">
        <f aca="false">IFERROR(IF(ISNUMBER(F309),F309-E309,"n/a"),"n/a")</f>
        <v>0</v>
      </c>
      <c r="H309" s="41" t="n">
        <v>0.500000001</v>
      </c>
      <c r="I309" s="39" t="str">
        <f aca="false">IFERROR(IF(ISNUMBER(F309),IF(ABS(F309-E309)&lt;=H309,"PASS","FAIL"),"FAIL"),"FAIL")</f>
        <v>PASS</v>
      </c>
    </row>
    <row r="310" customFormat="false" ht="15" hidden="false" customHeight="false" outlineLevel="0" collapsed="false">
      <c r="B310" s="40" t="n">
        <v>301</v>
      </c>
      <c r="C310" s="9" t="s">
        <v>391</v>
      </c>
      <c r="D310" s="9" t="s">
        <v>687</v>
      </c>
      <c r="E310" s="12" t="n">
        <v>175</v>
      </c>
      <c r="F310" s="45" t="n">
        <f aca="false">Cap_Rate!$J$17</f>
        <v>175</v>
      </c>
      <c r="G310" s="37" t="n">
        <f aca="false">IFERROR(IF(ISNUMBER(F310),F310-E310,"n/a"),"n/a")</f>
        <v>0</v>
      </c>
      <c r="H310" s="41" t="n">
        <v>0.005000001</v>
      </c>
      <c r="I310" s="39" t="str">
        <f aca="false">IFERROR(IF(ISNUMBER(F310),IF(ABS(F310-E310)&lt;=H310,"PASS","FAIL"),"FAIL"),"FAIL")</f>
        <v>PASS</v>
      </c>
    </row>
    <row r="311" customFormat="false" ht="15" hidden="false" customHeight="false" outlineLevel="0" collapsed="false">
      <c r="B311" s="40" t="n">
        <v>302</v>
      </c>
      <c r="C311" s="9" t="s">
        <v>391</v>
      </c>
      <c r="D311" s="9" t="s">
        <v>688</v>
      </c>
      <c r="E311" s="13" t="n">
        <v>689000</v>
      </c>
      <c r="F311" s="19" t="n">
        <f aca="false">Cap_Rate!$K$17</f>
        <v>689000</v>
      </c>
      <c r="G311" s="37" t="n">
        <f aca="false">IFERROR(IF(ISNUMBER(F311),F311-E311,"n/a"),"n/a")</f>
        <v>0</v>
      </c>
      <c r="H311" s="41" t="n">
        <v>0.500000001</v>
      </c>
      <c r="I311" s="39" t="str">
        <f aca="false">IFERROR(IF(ISNUMBER(F311),IF(ABS(F311-E311)&lt;=H311,"PASS","FAIL"),"FAIL"),"FAIL")</f>
        <v>PASS</v>
      </c>
    </row>
    <row r="312" customFormat="false" ht="15" hidden="false" customHeight="false" outlineLevel="0" collapsed="false">
      <c r="B312" s="40" t="n">
        <v>303</v>
      </c>
      <c r="C312" s="9" t="s">
        <v>391</v>
      </c>
      <c r="D312" s="9" t="s">
        <v>689</v>
      </c>
      <c r="E312" s="13" t="n">
        <v>1076563</v>
      </c>
      <c r="F312" s="19" t="n">
        <f aca="false">Cap_Rate!$L$17</f>
        <v>1076562.5</v>
      </c>
      <c r="G312" s="37" t="n">
        <f aca="false">IFERROR(IF(ISNUMBER(F312),F312-E312,"n/a"),"n/a")</f>
        <v>-0.5</v>
      </c>
      <c r="H312" s="41" t="n">
        <v>0.500000001</v>
      </c>
      <c r="I312" s="39" t="str">
        <f aca="false">IFERROR(IF(ISNUMBER(F312),IF(ABS(F312-E312)&lt;=H312,"PASS","FAIL"),"FAIL"),"FAIL")</f>
        <v>PASS</v>
      </c>
    </row>
    <row r="313" customFormat="false" ht="15" hidden="false" customHeight="false" outlineLevel="0" collapsed="false">
      <c r="B313" s="40" t="n">
        <v>304</v>
      </c>
      <c r="C313" s="9" t="s">
        <v>391</v>
      </c>
      <c r="D313" s="9" t="s">
        <v>690</v>
      </c>
      <c r="E313" s="13" t="n">
        <v>21600</v>
      </c>
      <c r="F313" s="19" t="n">
        <f aca="false">Cap_Rate!$M$17</f>
        <v>21600</v>
      </c>
      <c r="G313" s="37" t="n">
        <f aca="false">IFERROR(IF(ISNUMBER(F313),F313-E313,"n/a"),"n/a")</f>
        <v>0</v>
      </c>
      <c r="H313" s="41" t="n">
        <v>0.500000001</v>
      </c>
      <c r="I313" s="39" t="str">
        <f aca="false">IFERROR(IF(ISNUMBER(F313),IF(ABS(F313-E313)&lt;=H313,"PASS","FAIL"),"FAIL"),"FAIL")</f>
        <v>PASS</v>
      </c>
    </row>
    <row r="314" customFormat="false" ht="15" hidden="false" customHeight="false" outlineLevel="0" collapsed="false">
      <c r="B314" s="40" t="n">
        <v>305</v>
      </c>
      <c r="C314" s="9" t="s">
        <v>391</v>
      </c>
      <c r="D314" s="9" t="s">
        <v>691</v>
      </c>
      <c r="E314" s="13" t="n">
        <v>5383</v>
      </c>
      <c r="F314" s="19" t="n">
        <f aca="false">Cap_Rate!$N$17</f>
        <v>5382.81250000001</v>
      </c>
      <c r="G314" s="37" t="n">
        <f aca="false">IFERROR(IF(ISNUMBER(F314),F314-E314,"n/a"),"n/a")</f>
        <v>-0.187499999995453</v>
      </c>
      <c r="H314" s="41" t="n">
        <v>0.500000001</v>
      </c>
      <c r="I314" s="39" t="str">
        <f aca="false">IFERROR(IF(ISNUMBER(F314),IF(ABS(F314-E314)&lt;=H314,"PASS","FAIL"),"FAIL"),"FAIL")</f>
        <v>PASS</v>
      </c>
    </row>
    <row r="315" customFormat="false" ht="15" hidden="false" customHeight="false" outlineLevel="0" collapsed="false">
      <c r="B315" s="40" t="n">
        <v>306</v>
      </c>
      <c r="C315" s="9" t="s">
        <v>391</v>
      </c>
      <c r="D315" s="9" t="s">
        <v>692</v>
      </c>
      <c r="E315" s="13" t="n">
        <v>662017</v>
      </c>
      <c r="F315" s="19" t="n">
        <f aca="false">Cap_Rate!$O$17</f>
        <v>662017.1875</v>
      </c>
      <c r="G315" s="37" t="n">
        <f aca="false">IFERROR(IF(ISNUMBER(F315),F315-E315,"n/a"),"n/a")</f>
        <v>0.1875</v>
      </c>
      <c r="H315" s="41" t="n">
        <v>0.500000001</v>
      </c>
      <c r="I315" s="39" t="str">
        <f aca="false">IFERROR(IF(ISNUMBER(F315),IF(ABS(F315-E315)&lt;=H315,"PASS","FAIL"),"FAIL"),"FAIL")</f>
        <v>PASS</v>
      </c>
    </row>
    <row r="316" customFormat="false" ht="15" hidden="false" customHeight="false" outlineLevel="0" collapsed="false">
      <c r="B316" s="40" t="n">
        <v>307</v>
      </c>
      <c r="C316" s="9" t="s">
        <v>391</v>
      </c>
      <c r="D316" s="9" t="s">
        <v>693</v>
      </c>
      <c r="E316" s="31" t="n">
        <v>0.0614</v>
      </c>
      <c r="F316" s="47" t="n">
        <f aca="false">Cap_Rate!$P$17</f>
        <v>0.0614410558230783</v>
      </c>
      <c r="G316" s="37" t="n">
        <f aca="false">IFERROR(IF(ISNUMBER(F316),F316-E316,"n/a"),"n/a")</f>
        <v>4.10558230782912E-005</v>
      </c>
      <c r="H316" s="41" t="n">
        <v>5.0001E-005</v>
      </c>
      <c r="I316" s="39" t="str">
        <f aca="false">IFERROR(IF(ISNUMBER(F316),IF(ABS(F316-E316)&lt;=H316,"PASS","FAIL"),"FAIL"),"FAIL")</f>
        <v>PASS</v>
      </c>
    </row>
    <row r="317" customFormat="false" ht="15" hidden="false" customHeight="false" outlineLevel="0" collapsed="false">
      <c r="B317" s="40" t="n">
        <v>308</v>
      </c>
      <c r="C317" s="9" t="s">
        <v>391</v>
      </c>
      <c r="D317" s="9" t="s">
        <v>694</v>
      </c>
      <c r="E317" s="31" t="n">
        <v>0.059</v>
      </c>
      <c r="F317" s="47" t="n">
        <f aca="false">Cap_Rate!$Q$17</f>
        <v>0.059034883850544</v>
      </c>
      <c r="G317" s="37" t="n">
        <f aca="false">IFERROR(IF(ISNUMBER(F317),F317-E317,"n/a"),"n/a")</f>
        <v>3.4883850543968E-005</v>
      </c>
      <c r="H317" s="41" t="n">
        <v>5.0001E-005</v>
      </c>
      <c r="I317" s="39" t="str">
        <f aca="false">IFERROR(IF(ISNUMBER(F317),IF(ABS(F317-E317)&lt;=H317,"PASS","FAIL"),"FAIL"),"FAIL")</f>
        <v>PASS</v>
      </c>
    </row>
    <row r="318" customFormat="false" ht="15" hidden="false" customHeight="false" outlineLevel="0" collapsed="false">
      <c r="B318" s="40" t="n">
        <v>309</v>
      </c>
      <c r="C318" s="9" t="s">
        <v>391</v>
      </c>
      <c r="D318" s="9" t="s">
        <v>695</v>
      </c>
      <c r="E318" s="12" t="n">
        <v>10.42</v>
      </c>
      <c r="F318" s="45" t="n">
        <f aca="false">Cap_Rate!$R$17</f>
        <v>10.4164876632801</v>
      </c>
      <c r="G318" s="37" t="n">
        <f aca="false">IFERROR(IF(ISNUMBER(F318),F318-E318,"n/a"),"n/a")</f>
        <v>-0.0035123367198846</v>
      </c>
      <c r="H318" s="41" t="n">
        <v>0.005000001</v>
      </c>
      <c r="I318" s="39" t="str">
        <f aca="false">IFERROR(IF(ISNUMBER(F318),IF(ABS(F318-E318)&lt;=H318,"PASS","FAIL"),"FAIL"),"FAIL")</f>
        <v>PASS</v>
      </c>
    </row>
    <row r="319" customFormat="false" ht="15" hidden="false" customHeight="false" outlineLevel="0" collapsed="false">
      <c r="B319" s="40" t="n">
        <v>310</v>
      </c>
      <c r="C319" s="9" t="s">
        <v>391</v>
      </c>
      <c r="D319" s="9" t="s">
        <v>696</v>
      </c>
      <c r="E319" s="13" t="n">
        <v>120</v>
      </c>
      <c r="F319" s="19" t="n">
        <f aca="false">Cap_Rate!$D$18</f>
        <v>120</v>
      </c>
      <c r="G319" s="37" t="n">
        <f aca="false">IFERROR(IF(ISNUMBER(F319),F319-E319,"n/a"),"n/a")</f>
        <v>0</v>
      </c>
      <c r="H319" s="41" t="n">
        <v>0.500000001</v>
      </c>
      <c r="I319" s="39" t="str">
        <f aca="false">IFERROR(IF(ISNUMBER(F319),IF(ABS(F319-E319)&lt;=H319,"PASS","FAIL"),"FAIL"),"FAIL")</f>
        <v>PASS</v>
      </c>
    </row>
    <row r="320" customFormat="false" ht="15" hidden="false" customHeight="false" outlineLevel="0" collapsed="false">
      <c r="B320" s="40" t="n">
        <v>311</v>
      </c>
      <c r="C320" s="9" t="s">
        <v>391</v>
      </c>
      <c r="D320" s="9" t="s">
        <v>697</v>
      </c>
      <c r="E320" s="13" t="n">
        <v>1999</v>
      </c>
      <c r="F320" s="19" t="n">
        <f aca="false">Cap_Rate!$E$18</f>
        <v>1999</v>
      </c>
      <c r="G320" s="37" t="n">
        <f aca="false">IFERROR(IF(ISNUMBER(F320),F320-E320,"n/a"),"n/a")</f>
        <v>0</v>
      </c>
      <c r="H320" s="41" t="n">
        <v>0.500000001</v>
      </c>
      <c r="I320" s="39" t="str">
        <f aca="false">IFERROR(IF(ISNUMBER(F320),IF(ABS(F320-E320)&lt;=H320,"PASS","FAIL"),"FAIL"),"FAIL")</f>
        <v>PASS</v>
      </c>
    </row>
    <row r="321" customFormat="false" ht="15" hidden="false" customHeight="false" outlineLevel="0" collapsed="false">
      <c r="B321" s="40" t="n">
        <v>312</v>
      </c>
      <c r="C321" s="9" t="s">
        <v>391</v>
      </c>
      <c r="D321" s="9" t="s">
        <v>698</v>
      </c>
      <c r="E321" s="13" t="n">
        <v>14</v>
      </c>
      <c r="F321" s="19" t="n">
        <f aca="false">Cap_Rate!$F$18</f>
        <v>14</v>
      </c>
      <c r="G321" s="37" t="n">
        <f aca="false">IFERROR(IF(ISNUMBER(F321),F321-E321,"n/a"),"n/a")</f>
        <v>0</v>
      </c>
      <c r="H321" s="41" t="n">
        <v>0.500000001</v>
      </c>
      <c r="I321" s="39" t="str">
        <f aca="false">IFERROR(IF(ISNUMBER(F321),IF(ABS(F321-E321)&lt;=H321,"PASS","FAIL"),"FAIL"),"FAIL")</f>
        <v>PASS</v>
      </c>
    </row>
    <row r="322" customFormat="false" ht="15" hidden="false" customHeight="false" outlineLevel="0" collapsed="false">
      <c r="B322" s="40" t="n">
        <v>313</v>
      </c>
      <c r="C322" s="9" t="s">
        <v>391</v>
      </c>
      <c r="D322" s="9" t="s">
        <v>699</v>
      </c>
      <c r="E322" s="13" t="n">
        <v>20640000</v>
      </c>
      <c r="F322" s="19" t="n">
        <f aca="false">Cap_Rate!$G$18</f>
        <v>20640000</v>
      </c>
      <c r="G322" s="37" t="n">
        <f aca="false">IFERROR(IF(ISNUMBER(F322),F322-E322,"n/a"),"n/a")</f>
        <v>0</v>
      </c>
      <c r="H322" s="41" t="n">
        <v>0.500000001</v>
      </c>
      <c r="I322" s="39" t="str">
        <f aca="false">IFERROR(IF(ISNUMBER(F322),IF(ABS(F322-E322)&lt;=H322,"PASS","FAIL"),"FAIL"),"FAIL")</f>
        <v>PASS</v>
      </c>
    </row>
    <row r="323" customFormat="false" ht="15" hidden="false" customHeight="false" outlineLevel="0" collapsed="false">
      <c r="B323" s="40" t="n">
        <v>314</v>
      </c>
      <c r="C323" s="9" t="s">
        <v>391</v>
      </c>
      <c r="D323" s="9" t="s">
        <v>700</v>
      </c>
      <c r="E323" s="13" t="n">
        <v>172000</v>
      </c>
      <c r="F323" s="19" t="n">
        <f aca="false">Cap_Rate!$H$18</f>
        <v>172000</v>
      </c>
      <c r="G323" s="37" t="n">
        <f aca="false">IFERROR(IF(ISNUMBER(F323),F323-E323,"n/a"),"n/a")</f>
        <v>0</v>
      </c>
      <c r="H323" s="41" t="n">
        <v>0.500000001</v>
      </c>
      <c r="I323" s="39" t="str">
        <f aca="false">IFERROR(IF(ISNUMBER(F323),IF(ABS(F323-E323)&lt;=H323,"PASS","FAIL"),"FAIL"),"FAIL")</f>
        <v>PASS</v>
      </c>
    </row>
    <row r="324" customFormat="false" ht="15" hidden="false" customHeight="false" outlineLevel="0" collapsed="false">
      <c r="B324" s="40" t="n">
        <v>315</v>
      </c>
      <c r="C324" s="9" t="s">
        <v>391</v>
      </c>
      <c r="D324" s="9" t="s">
        <v>701</v>
      </c>
      <c r="E324" s="13" t="n">
        <v>870</v>
      </c>
      <c r="F324" s="19" t="n">
        <f aca="false">Cap_Rate!$I$18</f>
        <v>870</v>
      </c>
      <c r="G324" s="37" t="n">
        <f aca="false">IFERROR(IF(ISNUMBER(F324),F324-E324,"n/a"),"n/a")</f>
        <v>0</v>
      </c>
      <c r="H324" s="41" t="n">
        <v>0.500000001</v>
      </c>
      <c r="I324" s="39" t="str">
        <f aca="false">IFERROR(IF(ISNUMBER(F324),IF(ABS(F324-E324)&lt;=H324,"PASS","FAIL"),"FAIL"),"FAIL")</f>
        <v>PASS</v>
      </c>
    </row>
    <row r="325" customFormat="false" ht="15" hidden="false" customHeight="false" outlineLevel="0" collapsed="false">
      <c r="B325" s="40" t="n">
        <v>316</v>
      </c>
      <c r="C325" s="9" t="s">
        <v>391</v>
      </c>
      <c r="D325" s="9" t="s">
        <v>702</v>
      </c>
      <c r="E325" s="12" t="n">
        <v>197.7</v>
      </c>
      <c r="F325" s="45" t="n">
        <f aca="false">Cap_Rate!$J$18</f>
        <v>197.701149425287</v>
      </c>
      <c r="G325" s="37" t="n">
        <f aca="false">IFERROR(IF(ISNUMBER(F325),F325-E325,"n/a"),"n/a")</f>
        <v>0.00114942528736606</v>
      </c>
      <c r="H325" s="41" t="n">
        <v>0.005000001</v>
      </c>
      <c r="I325" s="39" t="str">
        <f aca="false">IFERROR(IF(ISNUMBER(F325),IF(ABS(F325-E325)&lt;=H325,"PASS","FAIL"),"FAIL"),"FAIL")</f>
        <v>PASS</v>
      </c>
    </row>
    <row r="326" customFormat="false" ht="15" hidden="false" customHeight="false" outlineLevel="0" collapsed="false">
      <c r="B326" s="40" t="n">
        <v>317</v>
      </c>
      <c r="C326" s="9" t="s">
        <v>391</v>
      </c>
      <c r="D326" s="9" t="s">
        <v>703</v>
      </c>
      <c r="E326" s="13" t="n">
        <v>1243000</v>
      </c>
      <c r="F326" s="19" t="n">
        <f aca="false">Cap_Rate!$K$18</f>
        <v>1243000</v>
      </c>
      <c r="G326" s="37" t="n">
        <f aca="false">IFERROR(IF(ISNUMBER(F326),F326-E326,"n/a"),"n/a")</f>
        <v>0</v>
      </c>
      <c r="H326" s="41" t="n">
        <v>0.500000001</v>
      </c>
      <c r="I326" s="39" t="str">
        <f aca="false">IFERROR(IF(ISNUMBER(F326),IF(ABS(F326-E326)&lt;=H326,"PASS","FAIL"),"FAIL"),"FAIL")</f>
        <v>PASS</v>
      </c>
    </row>
    <row r="327" customFormat="false" ht="15" hidden="false" customHeight="false" outlineLevel="0" collapsed="false">
      <c r="B327" s="40" t="n">
        <v>318</v>
      </c>
      <c r="C327" s="9" t="s">
        <v>391</v>
      </c>
      <c r="D327" s="9" t="s">
        <v>704</v>
      </c>
      <c r="E327" s="13" t="n">
        <v>1942188</v>
      </c>
      <c r="F327" s="19" t="n">
        <f aca="false">Cap_Rate!$L$18</f>
        <v>1942187.5</v>
      </c>
      <c r="G327" s="37" t="n">
        <f aca="false">IFERROR(IF(ISNUMBER(F327),F327-E327,"n/a"),"n/a")</f>
        <v>-0.5</v>
      </c>
      <c r="H327" s="41" t="n">
        <v>0.500000001</v>
      </c>
      <c r="I327" s="39" t="str">
        <f aca="false">IFERROR(IF(ISNUMBER(F327),IF(ABS(F327-E327)&lt;=H327,"PASS","FAIL"),"FAIL"),"FAIL")</f>
        <v>PASS</v>
      </c>
    </row>
    <row r="328" customFormat="false" ht="15" hidden="false" customHeight="false" outlineLevel="0" collapsed="false">
      <c r="B328" s="40" t="n">
        <v>319</v>
      </c>
      <c r="C328" s="9" t="s">
        <v>391</v>
      </c>
      <c r="D328" s="9" t="s">
        <v>705</v>
      </c>
      <c r="E328" s="13" t="n">
        <v>36000</v>
      </c>
      <c r="F328" s="19" t="n">
        <f aca="false">Cap_Rate!$M$18</f>
        <v>36000</v>
      </c>
      <c r="G328" s="37" t="n">
        <f aca="false">IFERROR(IF(ISNUMBER(F328),F328-E328,"n/a"),"n/a")</f>
        <v>0</v>
      </c>
      <c r="H328" s="41" t="n">
        <v>0.500000001</v>
      </c>
      <c r="I328" s="39" t="str">
        <f aca="false">IFERROR(IF(ISNUMBER(F328),IF(ABS(F328-E328)&lt;=H328,"PASS","FAIL"),"FAIL"),"FAIL")</f>
        <v>PASS</v>
      </c>
    </row>
    <row r="329" customFormat="false" ht="15" hidden="false" customHeight="false" outlineLevel="0" collapsed="false">
      <c r="B329" s="40" t="n">
        <v>320</v>
      </c>
      <c r="C329" s="9" t="s">
        <v>391</v>
      </c>
      <c r="D329" s="9" t="s">
        <v>706</v>
      </c>
      <c r="E329" s="13" t="n">
        <v>9711</v>
      </c>
      <c r="F329" s="19" t="n">
        <f aca="false">Cap_Rate!$N$18</f>
        <v>9710.93750000001</v>
      </c>
      <c r="G329" s="37" t="n">
        <f aca="false">IFERROR(IF(ISNUMBER(F329),F329-E329,"n/a"),"n/a")</f>
        <v>-0.0624999999909051</v>
      </c>
      <c r="H329" s="41" t="n">
        <v>0.500000001</v>
      </c>
      <c r="I329" s="39" t="str">
        <f aca="false">IFERROR(IF(ISNUMBER(F329),IF(ABS(F329-E329)&lt;=H329,"PASS","FAIL"),"FAIL"),"FAIL")</f>
        <v>PASS</v>
      </c>
    </row>
    <row r="330" customFormat="false" ht="15" hidden="false" customHeight="false" outlineLevel="0" collapsed="false">
      <c r="B330" s="40" t="n">
        <v>321</v>
      </c>
      <c r="C330" s="9" t="s">
        <v>391</v>
      </c>
      <c r="D330" s="9" t="s">
        <v>707</v>
      </c>
      <c r="E330" s="13" t="n">
        <v>1197289</v>
      </c>
      <c r="F330" s="19" t="n">
        <f aca="false">Cap_Rate!$O$18</f>
        <v>1197289.0625</v>
      </c>
      <c r="G330" s="37" t="n">
        <f aca="false">IFERROR(IF(ISNUMBER(F330),F330-E330,"n/a"),"n/a")</f>
        <v>0.0625</v>
      </c>
      <c r="H330" s="41" t="n">
        <v>0.500000001</v>
      </c>
      <c r="I330" s="39" t="str">
        <f aca="false">IFERROR(IF(ISNUMBER(F330),IF(ABS(F330-E330)&lt;=H330,"PASS","FAIL"),"FAIL"),"FAIL")</f>
        <v>PASS</v>
      </c>
    </row>
    <row r="331" customFormat="false" ht="15" hidden="false" customHeight="false" outlineLevel="0" collapsed="false">
      <c r="B331" s="40" t="n">
        <v>322</v>
      </c>
      <c r="C331" s="9" t="s">
        <v>391</v>
      </c>
      <c r="D331" s="9" t="s">
        <v>708</v>
      </c>
      <c r="E331" s="31" t="n">
        <v>0.0602</v>
      </c>
      <c r="F331" s="47" t="n">
        <f aca="false">Cap_Rate!$P$18</f>
        <v>0.0602228682170543</v>
      </c>
      <c r="G331" s="37" t="n">
        <f aca="false">IFERROR(IF(ISNUMBER(F331),F331-E331,"n/a"),"n/a")</f>
        <v>2.28682170542657E-005</v>
      </c>
      <c r="H331" s="41" t="n">
        <v>5.0001E-005</v>
      </c>
      <c r="I331" s="39" t="str">
        <f aca="false">IFERROR(IF(ISNUMBER(F331),IF(ABS(F331-E331)&lt;=H331,"PASS","FAIL"),"FAIL"),"FAIL")</f>
        <v>PASS</v>
      </c>
    </row>
    <row r="332" customFormat="false" ht="15" hidden="false" customHeight="false" outlineLevel="0" collapsed="false">
      <c r="B332" s="40" t="n">
        <v>323</v>
      </c>
      <c r="C332" s="9" t="s">
        <v>391</v>
      </c>
      <c r="D332" s="9" t="s">
        <v>709</v>
      </c>
      <c r="E332" s="31" t="n">
        <v>0.058</v>
      </c>
      <c r="F332" s="47" t="n">
        <f aca="false">Cap_Rate!$Q$18</f>
        <v>0.0580081910125969</v>
      </c>
      <c r="G332" s="37" t="n">
        <f aca="false">IFERROR(IF(ISNUMBER(F332),F332-E332,"n/a"),"n/a")</f>
        <v>8.19101259689342E-006</v>
      </c>
      <c r="H332" s="41" t="n">
        <v>5.0001E-005</v>
      </c>
      <c r="I332" s="39" t="str">
        <f aca="false">IFERROR(IF(ISNUMBER(F332),IF(ABS(F332-E332)&lt;=H332,"PASS","FAIL"),"FAIL"),"FAIL")</f>
        <v>PASS</v>
      </c>
    </row>
    <row r="333" customFormat="false" ht="15" hidden="false" customHeight="false" outlineLevel="0" collapsed="false">
      <c r="B333" s="40" t="n">
        <v>324</v>
      </c>
      <c r="C333" s="9" t="s">
        <v>391</v>
      </c>
      <c r="D333" s="9" t="s">
        <v>710</v>
      </c>
      <c r="E333" s="12" t="n">
        <v>10.63</v>
      </c>
      <c r="F333" s="45" t="n">
        <f aca="false">Cap_Rate!$R$18</f>
        <v>10.6271922767498</v>
      </c>
      <c r="G333" s="37" t="n">
        <f aca="false">IFERROR(IF(ISNUMBER(F333),F333-E333,"n/a"),"n/a")</f>
        <v>-0.00280772325020173</v>
      </c>
      <c r="H333" s="41" t="n">
        <v>0.005000001</v>
      </c>
      <c r="I333" s="39" t="str">
        <f aca="false">IFERROR(IF(ISNUMBER(F333),IF(ABS(F333-E333)&lt;=H333,"PASS","FAIL"),"FAIL"),"FAIL")</f>
        <v>PASS</v>
      </c>
    </row>
    <row r="334" customFormat="false" ht="15" hidden="false" customHeight="false" outlineLevel="0" collapsed="false">
      <c r="B334" s="40" t="n">
        <v>325</v>
      </c>
      <c r="C334" s="9" t="s">
        <v>391</v>
      </c>
      <c r="D334" s="9" t="s">
        <v>711</v>
      </c>
      <c r="E334" s="31" t="n">
        <v>0.0575</v>
      </c>
      <c r="F334" s="47" t="n">
        <f aca="false">Cap_Rate!$P$20</f>
        <v>0.0575396825396825</v>
      </c>
      <c r="G334" s="37" t="n">
        <f aca="false">IFERROR(IF(ISNUMBER(F334),F334-E334,"n/a"),"n/a")</f>
        <v>3.9682539682534E-005</v>
      </c>
      <c r="H334" s="41" t="n">
        <v>5.0001E-005</v>
      </c>
      <c r="I334" s="39" t="str">
        <f aca="false">IFERROR(IF(ISNUMBER(F334),IF(ABS(F334-E334)&lt;=H334,"PASS","FAIL"),"FAIL"),"FAIL")</f>
        <v>PASS</v>
      </c>
    </row>
    <row r="335" customFormat="false" ht="15" hidden="false" customHeight="false" outlineLevel="0" collapsed="false">
      <c r="B335" s="40" t="n">
        <v>326</v>
      </c>
      <c r="C335" s="9" t="s">
        <v>391</v>
      </c>
      <c r="D335" s="9" t="s">
        <v>712</v>
      </c>
      <c r="E335" s="31" t="n">
        <v>0.0555</v>
      </c>
      <c r="F335" s="47" t="n">
        <f aca="false">Cap_Rate!$Q$20</f>
        <v>0.0555276537698413</v>
      </c>
      <c r="G335" s="37" t="n">
        <f aca="false">IFERROR(IF(ISNUMBER(F335),F335-E335,"n/a"),"n/a")</f>
        <v>2.76537698412696E-005</v>
      </c>
      <c r="H335" s="41" t="n">
        <v>5.0001E-005</v>
      </c>
      <c r="I335" s="39" t="str">
        <f aca="false">IFERROR(IF(ISNUMBER(F335),IF(ABS(F335-E335)&lt;=H335,"PASS","FAIL"),"FAIL"),"FAIL")</f>
        <v>PASS</v>
      </c>
    </row>
    <row r="336" customFormat="false" ht="15" hidden="false" customHeight="false" outlineLevel="0" collapsed="false">
      <c r="B336" s="40" t="n">
        <v>327</v>
      </c>
      <c r="C336" s="9" t="s">
        <v>391</v>
      </c>
      <c r="D336" s="9" t="s">
        <v>713</v>
      </c>
      <c r="E336" s="31" t="n">
        <v>0.0636</v>
      </c>
      <c r="F336" s="47" t="n">
        <f aca="false">Cap_Rate!$P$21</f>
        <v>0.0636473429951691</v>
      </c>
      <c r="G336" s="37" t="n">
        <f aca="false">IFERROR(IF(ISNUMBER(F336),F336-E336,"n/a"),"n/a")</f>
        <v>4.73429951690779E-005</v>
      </c>
      <c r="H336" s="41" t="n">
        <v>5.0001E-005</v>
      </c>
      <c r="I336" s="39" t="str">
        <f aca="false">IFERROR(IF(ISNUMBER(F336),IF(ABS(F336-E336)&lt;=H336,"PASS","FAIL"),"FAIL"),"FAIL")</f>
        <v>PASS</v>
      </c>
    </row>
    <row r="337" customFormat="false" ht="15" hidden="false" customHeight="false" outlineLevel="0" collapsed="false">
      <c r="B337" s="40" t="n">
        <v>328</v>
      </c>
      <c r="C337" s="9" t="s">
        <v>391</v>
      </c>
      <c r="D337" s="9" t="s">
        <v>714</v>
      </c>
      <c r="E337" s="31" t="n">
        <v>0.061</v>
      </c>
      <c r="F337" s="47" t="n">
        <f aca="false">Cap_Rate!$Q$21</f>
        <v>0.0609761850845411</v>
      </c>
      <c r="G337" s="37" t="n">
        <f aca="false">IFERROR(IF(ISNUMBER(F337),F337-E337,"n/a"),"n/a")</f>
        <v>-2.38149154589348E-005</v>
      </c>
      <c r="H337" s="41" t="n">
        <v>5.0001E-005</v>
      </c>
      <c r="I337" s="39" t="str">
        <f aca="false">IFERROR(IF(ISNUMBER(F337),IF(ABS(F337-E337)&lt;=H337,"PASS","FAIL"),"FAIL"),"FAIL")</f>
        <v>PASS</v>
      </c>
    </row>
    <row r="338" customFormat="false" ht="15" hidden="false" customHeight="false" outlineLevel="0" collapsed="false">
      <c r="B338" s="40" t="n">
        <v>329</v>
      </c>
      <c r="C338" s="9" t="s">
        <v>391</v>
      </c>
      <c r="D338" s="9" t="s">
        <v>715</v>
      </c>
      <c r="E338" s="31" t="n">
        <v>0.0603</v>
      </c>
      <c r="F338" s="47" t="n">
        <f aca="false">Cap_Rate!$P$22</f>
        <v>0.060276539121346</v>
      </c>
      <c r="G338" s="37" t="n">
        <f aca="false">IFERROR(IF(ISNUMBER(F338),F338-E338,"n/a"),"n/a")</f>
        <v>-2.34608786539581E-005</v>
      </c>
      <c r="H338" s="41" t="n">
        <v>5.0001E-005</v>
      </c>
      <c r="I338" s="39" t="str">
        <f aca="false">IFERROR(IF(ISNUMBER(F338),IF(ABS(F338-E338)&lt;=H338,"PASS","FAIL"),"FAIL"),"FAIL")</f>
        <v>PASS</v>
      </c>
    </row>
    <row r="339" customFormat="false" ht="15" hidden="false" customHeight="false" outlineLevel="0" collapsed="false">
      <c r="B339" s="40" t="n">
        <v>330</v>
      </c>
      <c r="C339" s="9" t="s">
        <v>391</v>
      </c>
      <c r="D339" s="9" t="s">
        <v>716</v>
      </c>
      <c r="E339" s="31" t="n">
        <v>0.058</v>
      </c>
      <c r="F339" s="47" t="n">
        <f aca="false">Cap_Rate!$Q$22</f>
        <v>0.0580068157792189</v>
      </c>
      <c r="G339" s="37" t="n">
        <f aca="false">IFERROR(IF(ISNUMBER(F339),F339-E339,"n/a"),"n/a")</f>
        <v>6.81577921891885E-006</v>
      </c>
      <c r="H339" s="41" t="n">
        <v>5.0001E-005</v>
      </c>
      <c r="I339" s="39" t="str">
        <f aca="false">IFERROR(IF(ISNUMBER(F339),IF(ABS(F339-E339)&lt;=H339,"PASS","FAIL"),"FAIL"),"FAIL")</f>
        <v>PASS</v>
      </c>
    </row>
    <row r="340" customFormat="false" ht="15" hidden="false" customHeight="false" outlineLevel="0" collapsed="false">
      <c r="B340" s="40" t="n">
        <v>331</v>
      </c>
      <c r="C340" s="9" t="s">
        <v>391</v>
      </c>
      <c r="D340" s="9" t="s">
        <v>717</v>
      </c>
      <c r="E340" s="31" t="n">
        <v>0.0023</v>
      </c>
      <c r="F340" s="47" t="n">
        <f aca="false">Cap_Rate!$Q$23</f>
        <v>0.00226972334212712</v>
      </c>
      <c r="G340" s="37" t="n">
        <f aca="false">IFERROR(IF(ISNUMBER(F340),F340-E340,"n/a"),"n/a")</f>
        <v>-3.02766578728804E-005</v>
      </c>
      <c r="H340" s="41" t="n">
        <v>5.0001E-005</v>
      </c>
      <c r="I340" s="39" t="str">
        <f aca="false">IFERROR(IF(ISNUMBER(F340),IF(ABS(F340-E340)&lt;=H340,"PASS","FAIL"),"FAIL"),"FAIL")</f>
        <v>PASS</v>
      </c>
    </row>
    <row r="341" customFormat="false" ht="15" hidden="false" customHeight="false" outlineLevel="0" collapsed="false">
      <c r="B341" s="40" t="n">
        <v>332</v>
      </c>
      <c r="C341" s="9" t="s">
        <v>391</v>
      </c>
      <c r="D341" s="9" t="s">
        <v>718</v>
      </c>
      <c r="E341" s="48" t="n">
        <v>8.2</v>
      </c>
      <c r="F341" s="49" t="n">
        <f aca="false">Cap_Rate!$F$24</f>
        <v>8.2</v>
      </c>
      <c r="G341" s="37" t="n">
        <f aca="false">IFERROR(IF(ISNUMBER(F341),F341-E341,"n/a"),"n/a")</f>
        <v>0</v>
      </c>
      <c r="H341" s="41" t="n">
        <v>0.050000001</v>
      </c>
      <c r="I341" s="39" t="str">
        <f aca="false">IFERROR(IF(ISNUMBER(F341),IF(ABS(F341-E341)&lt;=H341,"PASS","FAIL"),"FAIL"),"FAIL")</f>
        <v>PASS</v>
      </c>
    </row>
    <row r="342" customFormat="false" ht="15" hidden="false" customHeight="false" outlineLevel="0" collapsed="false">
      <c r="B342" s="40" t="n">
        <v>333</v>
      </c>
      <c r="C342" s="9" t="s">
        <v>391</v>
      </c>
      <c r="D342" s="9" t="s">
        <v>719</v>
      </c>
      <c r="E342" s="31" t="n">
        <v>0.0575</v>
      </c>
      <c r="F342" s="47" t="n">
        <f aca="false">Cap_Rate!$F$27</f>
        <v>0.0575</v>
      </c>
      <c r="G342" s="37" t="n">
        <f aca="false">IFERROR(IF(ISNUMBER(F342),F342-E342,"n/a"),"n/a")</f>
        <v>0</v>
      </c>
      <c r="H342" s="41" t="n">
        <v>5.0001E-005</v>
      </c>
      <c r="I342" s="39" t="str">
        <f aca="false">IFERROR(IF(ISNUMBER(F342),IF(ABS(F342-E342)&lt;=H342,"PASS","FAIL"),"FAIL"),"FAIL")</f>
        <v>PASS</v>
      </c>
    </row>
    <row r="343" customFormat="false" ht="15" hidden="false" customHeight="false" outlineLevel="0" collapsed="false">
      <c r="B343" s="40" t="n">
        <v>334</v>
      </c>
      <c r="C343" s="9" t="s">
        <v>391</v>
      </c>
      <c r="D343" s="9" t="s">
        <v>720</v>
      </c>
      <c r="E343" s="25" t="n">
        <v>0.6</v>
      </c>
      <c r="F343" s="33" t="n">
        <f aca="false">Cap_Rate!$F$30</f>
        <v>0.6</v>
      </c>
      <c r="G343" s="37" t="n">
        <f aca="false">IFERROR(IF(ISNUMBER(F343),F343-E343,"n/a"),"n/a")</f>
        <v>0</v>
      </c>
      <c r="H343" s="41" t="n">
        <v>0.005000001</v>
      </c>
      <c r="I343" s="39" t="str">
        <f aca="false">IFERROR(IF(ISNUMBER(F343),IF(ABS(F343-E343)&lt;=H343,"PASS","FAIL"),"FAIL"),"FAIL")</f>
        <v>PASS</v>
      </c>
    </row>
    <row r="344" customFormat="false" ht="15" hidden="false" customHeight="false" outlineLevel="0" collapsed="false">
      <c r="B344" s="40" t="n">
        <v>335</v>
      </c>
      <c r="C344" s="9" t="s">
        <v>391</v>
      </c>
      <c r="D344" s="9" t="s">
        <v>721</v>
      </c>
      <c r="E344" s="31" t="n">
        <v>0.061</v>
      </c>
      <c r="F344" s="47" t="n">
        <f aca="false">Cap_Rate!$F$31</f>
        <v>0.061</v>
      </c>
      <c r="G344" s="37" t="n">
        <f aca="false">IFERROR(IF(ISNUMBER(F344),F344-E344,"n/a"),"n/a")</f>
        <v>0</v>
      </c>
      <c r="H344" s="41" t="n">
        <v>5.0001E-005</v>
      </c>
      <c r="I344" s="39" t="str">
        <f aca="false">IFERROR(IF(ISNUMBER(F344),IF(ABS(F344-E344)&lt;=H344,"PASS","FAIL"),"FAIL"),"FAIL")</f>
        <v>PASS</v>
      </c>
    </row>
    <row r="345" customFormat="false" ht="15" hidden="false" customHeight="false" outlineLevel="0" collapsed="false">
      <c r="B345" s="40" t="n">
        <v>336</v>
      </c>
      <c r="C345" s="9" t="s">
        <v>391</v>
      </c>
      <c r="D345" s="9" t="s">
        <v>722</v>
      </c>
      <c r="E345" s="13" t="n">
        <v>30</v>
      </c>
      <c r="F345" s="19" t="n">
        <f aca="false">Cap_Rate!$F$32</f>
        <v>30</v>
      </c>
      <c r="G345" s="37" t="n">
        <f aca="false">IFERROR(IF(ISNUMBER(F345),F345-E345,"n/a"),"n/a")</f>
        <v>0</v>
      </c>
      <c r="H345" s="41" t="n">
        <v>0.500000001</v>
      </c>
      <c r="I345" s="39" t="str">
        <f aca="false">IFERROR(IF(ISNUMBER(F345),IF(ABS(F345-E345)&lt;=H345,"PASS","FAIL"),"FAIL"),"FAIL")</f>
        <v>PASS</v>
      </c>
    </row>
    <row r="346" customFormat="false" ht="15" hidden="false" customHeight="false" outlineLevel="0" collapsed="false">
      <c r="B346" s="40" t="n">
        <v>337</v>
      </c>
      <c r="C346" s="9" t="s">
        <v>391</v>
      </c>
      <c r="D346" s="9" t="s">
        <v>723</v>
      </c>
      <c r="E346" s="31" t="n">
        <v>0.0525</v>
      </c>
      <c r="F346" s="47" t="n">
        <f aca="false">Cap_Rate!$F$33</f>
        <v>0.0525</v>
      </c>
      <c r="G346" s="37" t="n">
        <f aca="false">IFERROR(IF(ISNUMBER(F346),F346-E346,"n/a"),"n/a")</f>
        <v>0</v>
      </c>
      <c r="H346" s="41" t="n">
        <v>5.0001E-005</v>
      </c>
      <c r="I346" s="39" t="str">
        <f aca="false">IFERROR(IF(ISNUMBER(F346),IF(ABS(F346-E346)&lt;=H346,"PASS","FAIL"),"FAIL"),"FAIL")</f>
        <v>PASS</v>
      </c>
    </row>
    <row r="347" customFormat="false" ht="15" hidden="false" customHeight="false" outlineLevel="0" collapsed="false">
      <c r="B347" s="40" t="n">
        <v>338</v>
      </c>
      <c r="C347" s="9" t="s">
        <v>391</v>
      </c>
      <c r="D347" s="9" t="s">
        <v>724</v>
      </c>
      <c r="E347" s="31" t="n">
        <v>0.0727</v>
      </c>
      <c r="F347" s="47" t="n">
        <f aca="false">Cap_Rate!$F$34</f>
        <v>0.0727193742654511</v>
      </c>
      <c r="G347" s="37" t="n">
        <f aca="false">IFERROR(IF(ISNUMBER(F347),F347-E347,"n/a"),"n/a")</f>
        <v>1.93742654510942E-005</v>
      </c>
      <c r="H347" s="41" t="n">
        <v>5.0001E-005</v>
      </c>
      <c r="I347" s="39" t="str">
        <f aca="false">IFERROR(IF(ISNUMBER(F347),IF(ABS(F347-E347)&lt;=H347,"PASS","FAIL"),"FAIL"),"FAIL")</f>
        <v>PASS</v>
      </c>
    </row>
    <row r="348" customFormat="false" ht="15" hidden="false" customHeight="false" outlineLevel="0" collapsed="false">
      <c r="B348" s="40" t="n">
        <v>339</v>
      </c>
      <c r="C348" s="9" t="s">
        <v>391</v>
      </c>
      <c r="D348" s="9" t="s">
        <v>725</v>
      </c>
      <c r="E348" s="12" t="n">
        <v>6.06</v>
      </c>
      <c r="F348" s="45" t="n">
        <f aca="false">Cap_Rate!$F$35</f>
        <v>6.05994785545426</v>
      </c>
      <c r="G348" s="37" t="n">
        <f aca="false">IFERROR(IF(ISNUMBER(F348),F348-E348,"n/a"),"n/a")</f>
        <v>-5.21445457417613E-005</v>
      </c>
      <c r="H348" s="41" t="n">
        <v>0.005000001</v>
      </c>
      <c r="I348" s="39" t="str">
        <f aca="false">IFERROR(IF(ISNUMBER(F348),IF(ABS(F348-E348)&lt;=H348,"PASS","FAIL"),"FAIL"),"FAIL")</f>
        <v>PASS</v>
      </c>
    </row>
    <row r="349" customFormat="false" ht="15" hidden="false" customHeight="false" outlineLevel="0" collapsed="false">
      <c r="B349" s="40" t="n">
        <v>340</v>
      </c>
      <c r="C349" s="9" t="s">
        <v>391</v>
      </c>
      <c r="D349" s="9" t="s">
        <v>726</v>
      </c>
      <c r="E349" s="31" t="n">
        <v>0.0436</v>
      </c>
      <c r="F349" s="47" t="n">
        <f aca="false">Cap_Rate!$F$36</f>
        <v>0.0436316245592707</v>
      </c>
      <c r="G349" s="37" t="n">
        <f aca="false">IFERROR(IF(ISNUMBER(F349),F349-E349,"n/a"),"n/a")</f>
        <v>3.16245592706585E-005</v>
      </c>
      <c r="H349" s="41" t="n">
        <v>5.0001E-005</v>
      </c>
      <c r="I349" s="39" t="str">
        <f aca="false">IFERROR(IF(ISNUMBER(F349),IF(ABS(F349-E349)&lt;=H349,"PASS","FAIL"),"FAIL"),"FAIL")</f>
        <v>PASS</v>
      </c>
    </row>
    <row r="350" customFormat="false" ht="15" hidden="false" customHeight="false" outlineLevel="0" collapsed="false">
      <c r="B350" s="40" t="n">
        <v>341</v>
      </c>
      <c r="C350" s="9" t="s">
        <v>391</v>
      </c>
      <c r="D350" s="9" t="s">
        <v>727</v>
      </c>
      <c r="E350" s="31" t="n">
        <v>0.021</v>
      </c>
      <c r="F350" s="47" t="n">
        <f aca="false">Cap_Rate!$F$37</f>
        <v>0.021</v>
      </c>
      <c r="G350" s="37" t="n">
        <f aca="false">IFERROR(IF(ISNUMBER(F350),F350-E350,"n/a"),"n/a")</f>
        <v>0</v>
      </c>
      <c r="H350" s="41" t="n">
        <v>5.0001E-005</v>
      </c>
      <c r="I350" s="39" t="str">
        <f aca="false">IFERROR(IF(ISNUMBER(F350),IF(ABS(F350-E350)&lt;=H350,"PASS","FAIL"),"FAIL"),"FAIL")</f>
        <v>PASS</v>
      </c>
    </row>
    <row r="351" customFormat="false" ht="15" hidden="false" customHeight="false" outlineLevel="0" collapsed="false">
      <c r="B351" s="40" t="n">
        <v>342</v>
      </c>
      <c r="C351" s="9" t="s">
        <v>391</v>
      </c>
      <c r="D351" s="9" t="s">
        <v>728</v>
      </c>
      <c r="E351" s="31" t="n">
        <v>0.0646</v>
      </c>
      <c r="F351" s="47" t="n">
        <f aca="false">Cap_Rate!$F$38</f>
        <v>0.0646316245592707</v>
      </c>
      <c r="G351" s="37" t="n">
        <f aca="false">IFERROR(IF(ISNUMBER(F351),F351-E351,"n/a"),"n/a")</f>
        <v>3.16245592706516E-005</v>
      </c>
      <c r="H351" s="41" t="n">
        <v>5.0001E-005</v>
      </c>
      <c r="I351" s="39" t="str">
        <f aca="false">IFERROR(IF(ISNUMBER(F351),IF(ABS(F351-E351)&lt;=H351,"PASS","FAIL"),"FAIL"),"FAIL")</f>
        <v>PASS</v>
      </c>
    </row>
    <row r="352" customFormat="false" ht="15" hidden="false" customHeight="false" outlineLevel="0" collapsed="false">
      <c r="B352" s="40" t="n">
        <v>343</v>
      </c>
      <c r="C352" s="9" t="s">
        <v>391</v>
      </c>
      <c r="D352" s="9" t="s">
        <v>729</v>
      </c>
      <c r="E352" s="12" t="n">
        <v>1.25</v>
      </c>
      <c r="F352" s="45" t="n">
        <f aca="false">Cap_Rate!$F$41</f>
        <v>1.25</v>
      </c>
      <c r="G352" s="37" t="n">
        <f aca="false">IFERROR(IF(ISNUMBER(F352),F352-E352,"n/a"),"n/a")</f>
        <v>0</v>
      </c>
      <c r="H352" s="41" t="n">
        <v>0.005000001</v>
      </c>
      <c r="I352" s="39" t="str">
        <f aca="false">IFERROR(IF(ISNUMBER(F352),IF(ABS(F352-E352)&lt;=H352,"PASS","FAIL"),"FAIL"),"FAIL")</f>
        <v>PASS</v>
      </c>
    </row>
    <row r="353" customFormat="false" ht="15" hidden="false" customHeight="false" outlineLevel="0" collapsed="false">
      <c r="B353" s="40" t="n">
        <v>344</v>
      </c>
      <c r="C353" s="9" t="s">
        <v>391</v>
      </c>
      <c r="D353" s="9" t="s">
        <v>730</v>
      </c>
      <c r="E353" s="31" t="n">
        <v>0.0545</v>
      </c>
      <c r="F353" s="47" t="n">
        <f aca="false">Cap_Rate!$F$42</f>
        <v>0.0545395306990883</v>
      </c>
      <c r="G353" s="37" t="n">
        <f aca="false">IFERROR(IF(ISNUMBER(F353),F353-E353,"n/a"),"n/a")</f>
        <v>3.95306990883249E-005</v>
      </c>
      <c r="H353" s="41" t="n">
        <v>5.0001E-005</v>
      </c>
      <c r="I353" s="39" t="str">
        <f aca="false">IFERROR(IF(ISNUMBER(F353),IF(ABS(F353-E353)&lt;=H353,"PASS","FAIL"),"FAIL"),"FAIL")</f>
        <v>PASS</v>
      </c>
    </row>
    <row r="354" customFormat="false" ht="15" hidden="false" customHeight="false" outlineLevel="0" collapsed="false">
      <c r="B354" s="40" t="n">
        <v>345</v>
      </c>
      <c r="C354" s="9" t="s">
        <v>391</v>
      </c>
      <c r="D354" s="9" t="s">
        <v>731</v>
      </c>
      <c r="E354" s="31" t="n">
        <v>0.0071</v>
      </c>
      <c r="F354" s="47" t="n">
        <f aca="false">Cap_Rate!$F$45</f>
        <v>0.00713162455927065</v>
      </c>
      <c r="G354" s="37" t="n">
        <f aca="false">IFERROR(IF(ISNUMBER(F354),F354-E354,"n/a"),"n/a")</f>
        <v>3.16245592706533E-005</v>
      </c>
      <c r="H354" s="41" t="n">
        <v>5.0001E-005</v>
      </c>
      <c r="I354" s="39" t="str">
        <f aca="false">IFERROR(IF(ISNUMBER(F354),IF(ABS(F354-E354)&lt;=H354,"PASS","FAIL"),"FAIL"),"FAIL")</f>
        <v>PASS</v>
      </c>
    </row>
    <row r="355" customFormat="false" ht="15" hidden="false" customHeight="false" outlineLevel="0" collapsed="false">
      <c r="B355" s="40" t="n">
        <v>346</v>
      </c>
      <c r="C355" s="9" t="s">
        <v>391</v>
      </c>
      <c r="D355" s="9" t="s">
        <v>732</v>
      </c>
      <c r="E355" s="31" t="n">
        <v>0.003</v>
      </c>
      <c r="F355" s="47" t="n">
        <f aca="false">Cap_Rate!$F$46</f>
        <v>0.00296046930091168</v>
      </c>
      <c r="G355" s="37" t="n">
        <f aca="false">IFERROR(IF(ISNUMBER(F355),F355-E355,"n/a"),"n/a")</f>
        <v>-3.95306990883223E-005</v>
      </c>
      <c r="H355" s="41" t="n">
        <v>5.0001E-005</v>
      </c>
      <c r="I355" s="39" t="str">
        <f aca="false">IFERROR(IF(ISNUMBER(F355),IF(ABS(F355-E355)&lt;=H355,"PASS","FAIL"),"FAIL"),"FAIL")</f>
        <v>PASS</v>
      </c>
    </row>
    <row r="356" customFormat="false" ht="15" hidden="false" customHeight="false" outlineLevel="0" collapsed="false">
      <c r="B356" s="40" t="n">
        <v>347</v>
      </c>
      <c r="C356" s="9" t="s">
        <v>391</v>
      </c>
      <c r="D356" s="9" t="s">
        <v>733</v>
      </c>
      <c r="E356" s="31" t="n">
        <v>-0.0035</v>
      </c>
      <c r="F356" s="47" t="n">
        <f aca="false">Cap_Rate!$F$47</f>
        <v>-0.0035</v>
      </c>
      <c r="G356" s="37" t="n">
        <f aca="false">IFERROR(IF(ISNUMBER(F356),F356-E356,"n/a"),"n/a")</f>
        <v>0</v>
      </c>
      <c r="H356" s="41" t="n">
        <v>5.0001E-005</v>
      </c>
      <c r="I356" s="39" t="str">
        <f aca="false">IFERROR(IF(ISNUMBER(F356),IF(ABS(F356-E356)&lt;=H356,"PASS","FAIL"),"FAIL"),"FAIL")</f>
        <v>PASS</v>
      </c>
    </row>
    <row r="357" customFormat="false" ht="15" hidden="false" customHeight="false" outlineLevel="0" collapsed="false">
      <c r="B357" s="40" t="n">
        <v>348</v>
      </c>
      <c r="C357" s="9" t="s">
        <v>391</v>
      </c>
      <c r="D357" s="9" t="s">
        <v>734</v>
      </c>
      <c r="E357" s="31" t="n">
        <v>0.0525</v>
      </c>
      <c r="F357" s="47" t="n">
        <f aca="false">Cap_Rate!$F$48</f>
        <v>0.0525</v>
      </c>
      <c r="G357" s="37" t="n">
        <f aca="false">IFERROR(IF(ISNUMBER(F357),F357-E357,"n/a"),"n/a")</f>
        <v>0</v>
      </c>
      <c r="H357" s="41" t="n">
        <v>5.0001E-005</v>
      </c>
      <c r="I357" s="39" t="str">
        <f aca="false">IFERROR(IF(ISNUMBER(F357),IF(ABS(F357-E357)&lt;=H357,"PASS","FAIL"),"FAIL"),"FAIL")</f>
        <v>PASS</v>
      </c>
    </row>
    <row r="358" customFormat="false" ht="15" hidden="false" customHeight="false" outlineLevel="0" collapsed="false">
      <c r="B358" s="40" t="n">
        <v>349</v>
      </c>
      <c r="C358" s="9" t="s">
        <v>391</v>
      </c>
      <c r="D358" s="9" t="s">
        <v>735</v>
      </c>
      <c r="E358" s="31" t="n">
        <v>0.0581</v>
      </c>
      <c r="F358" s="47" t="n">
        <f aca="false">Cap_Rate!$F$49</f>
        <v>0.0580844231404959</v>
      </c>
      <c r="G358" s="37" t="n">
        <f aca="false">IFERROR(IF(ISNUMBER(F358),F358-E358,"n/a"),"n/a")</f>
        <v>-1.55768595041308E-005</v>
      </c>
      <c r="H358" s="41" t="n">
        <v>5.0001E-005</v>
      </c>
      <c r="I358" s="39" t="str">
        <f aca="false">IFERROR(IF(ISNUMBER(F358),IF(ABS(F358-E358)&lt;=H358,"PASS","FAIL"),"FAIL"),"FAIL")</f>
        <v>PASS</v>
      </c>
    </row>
    <row r="359" customFormat="false" ht="15" hidden="false" customHeight="false" outlineLevel="0" collapsed="false">
      <c r="B359" s="40" t="n">
        <v>350</v>
      </c>
      <c r="C359" s="9" t="s">
        <v>391</v>
      </c>
      <c r="D359" s="9" t="s">
        <v>736</v>
      </c>
      <c r="E359" s="31" t="n">
        <v>0.0547</v>
      </c>
      <c r="F359" s="47" t="n">
        <f aca="false">Cap_Rate!$F$50</f>
        <v>0.0546942817120623</v>
      </c>
      <c r="G359" s="37" t="n">
        <f aca="false">IFERROR(IF(ISNUMBER(F359),F359-E359,"n/a"),"n/a")</f>
        <v>-5.71828793773793E-006</v>
      </c>
      <c r="H359" s="41" t="n">
        <v>5.0001E-005</v>
      </c>
      <c r="I359" s="39" t="str">
        <f aca="false">IFERROR(IF(ISNUMBER(F359),IF(ABS(F359-E359)&lt;=H359,"PASS","FAIL"),"FAIL"),"FAIL")</f>
        <v>PASS</v>
      </c>
    </row>
    <row r="360" customFormat="false" ht="15" hidden="false" customHeight="false" outlineLevel="0" collapsed="false">
      <c r="B360" s="40" t="n">
        <v>351</v>
      </c>
      <c r="C360" s="9" t="s">
        <v>391</v>
      </c>
      <c r="D360" s="9" t="s">
        <v>737</v>
      </c>
      <c r="E360" s="31" t="n">
        <v>0.058</v>
      </c>
      <c r="F360" s="47" t="n">
        <f aca="false">Cap_Rate!$F$51</f>
        <v>0.0579646381322957</v>
      </c>
      <c r="G360" s="37" t="n">
        <f aca="false">IFERROR(IF(ISNUMBER(F360),F360-E360,"n/a"),"n/a")</f>
        <v>-3.5361867704288E-005</v>
      </c>
      <c r="H360" s="41" t="n">
        <v>5.0001E-005</v>
      </c>
      <c r="I360" s="39" t="str">
        <f aca="false">IFERROR(IF(ISNUMBER(F360),IF(ABS(F360-E360)&lt;=H360,"PASS","FAIL"),"FAIL"),"FAIL")</f>
        <v>PASS</v>
      </c>
    </row>
    <row r="361" customFormat="false" ht="15" hidden="false" customHeight="false" outlineLevel="0" collapsed="false">
      <c r="B361" s="40" t="n">
        <v>352</v>
      </c>
      <c r="C361" s="9" t="s">
        <v>391</v>
      </c>
      <c r="D361" s="9" t="s">
        <v>738</v>
      </c>
      <c r="E361" s="31" t="n">
        <v>0.0554</v>
      </c>
      <c r="F361" s="47" t="n">
        <f aca="false">Cap_Rate!$F$52</f>
        <v>0.0554247595330739</v>
      </c>
      <c r="G361" s="37" t="n">
        <f aca="false">IFERROR(IF(ISNUMBER(F361),F361-E361,"n/a"),"n/a")</f>
        <v>2.47595330739314E-005</v>
      </c>
      <c r="H361" s="41" t="n">
        <v>5.0001E-005</v>
      </c>
      <c r="I361" s="39" t="str">
        <f aca="false">IFERROR(IF(ISNUMBER(F361),IF(ABS(F361-E361)&lt;=H361,"PASS","FAIL"),"FAIL"),"FAIL")</f>
        <v>PASS</v>
      </c>
    </row>
    <row r="362" customFormat="false" ht="15" hidden="false" customHeight="false" outlineLevel="0" collapsed="false">
      <c r="B362" s="40" t="n">
        <v>353</v>
      </c>
      <c r="C362" s="9" t="s">
        <v>394</v>
      </c>
      <c r="D362" s="9" t="s">
        <v>739</v>
      </c>
      <c r="E362" s="13" t="n">
        <v>12222983</v>
      </c>
      <c r="F362" s="19" t="n">
        <f aca="false">Direct_Cap!$C$7</f>
        <v>12222982.9565217</v>
      </c>
      <c r="G362" s="37" t="n">
        <f aca="false">IFERROR(IF(ISNUMBER(F362),F362-E362,"n/a"),"n/a")</f>
        <v>-0.0434782616794109</v>
      </c>
      <c r="H362" s="41" t="n">
        <v>0.500000001</v>
      </c>
      <c r="I362" s="39" t="str">
        <f aca="false">IFERROR(IF(ISNUMBER(F362),IF(ABS(F362-E362)&lt;=H362,"PASS","FAIL"),"FAIL"),"FAIL")</f>
        <v>PASS</v>
      </c>
    </row>
    <row r="363" customFormat="false" ht="15" hidden="false" customHeight="false" outlineLevel="0" collapsed="false">
      <c r="B363" s="40" t="n">
        <v>354</v>
      </c>
      <c r="C363" s="9" t="s">
        <v>394</v>
      </c>
      <c r="D363" s="9" t="s">
        <v>740</v>
      </c>
      <c r="E363" s="13" t="n">
        <v>169764</v>
      </c>
      <c r="F363" s="19" t="n">
        <f aca="false">Direct_Cap!$C$8</f>
        <v>169763.652173913</v>
      </c>
      <c r="G363" s="37" t="n">
        <f aca="false">IFERROR(IF(ISNUMBER(F363),F363-E363,"n/a"),"n/a")</f>
        <v>-0.347826086974237</v>
      </c>
      <c r="H363" s="41" t="n">
        <v>0.500000001</v>
      </c>
      <c r="I363" s="39" t="str">
        <f aca="false">IFERROR(IF(ISNUMBER(F363),IF(ABS(F363-E363)&lt;=H363,"PASS","FAIL"),"FAIL"),"FAIL")</f>
        <v>PASS</v>
      </c>
    </row>
    <row r="364" customFormat="false" ht="15" hidden="false" customHeight="false" outlineLevel="0" collapsed="false">
      <c r="B364" s="40" t="n">
        <v>355</v>
      </c>
      <c r="C364" s="9" t="s">
        <v>394</v>
      </c>
      <c r="D364" s="9" t="s">
        <v>741</v>
      </c>
      <c r="E364" s="13" t="n">
        <v>20880</v>
      </c>
      <c r="F364" s="19" t="n">
        <f aca="false">Direct_Cap!$C$10</f>
        <v>20880</v>
      </c>
      <c r="G364" s="37" t="n">
        <f aca="false">IFERROR(IF(ISNUMBER(F364),F364-E364,"n/a"),"n/a")</f>
        <v>0</v>
      </c>
      <c r="H364" s="41" t="n">
        <v>0.500000001</v>
      </c>
      <c r="I364" s="39" t="str">
        <f aca="false">IFERROR(IF(ISNUMBER(F364),IF(ABS(F364-E364)&lt;=H364,"PASS","FAIL"),"FAIL"),"FAIL")</f>
        <v>PASS</v>
      </c>
    </row>
    <row r="365" customFormat="false" ht="15" hidden="false" customHeight="false" outlineLevel="0" collapsed="false">
      <c r="B365" s="40" t="n">
        <v>356</v>
      </c>
      <c r="C365" s="9" t="s">
        <v>394</v>
      </c>
      <c r="D365" s="9" t="s">
        <v>742</v>
      </c>
      <c r="E365" s="13" t="n">
        <v>170880</v>
      </c>
      <c r="F365" s="19" t="n">
        <f aca="false">Direct_Cap!$C$11</f>
        <v>170880</v>
      </c>
      <c r="G365" s="37" t="n">
        <f aca="false">IFERROR(IF(ISNUMBER(F365),F365-E365,"n/a"),"n/a")</f>
        <v>0</v>
      </c>
      <c r="H365" s="41" t="n">
        <v>0.500000001</v>
      </c>
      <c r="I365" s="39" t="str">
        <f aca="false">IFERROR(IF(ISNUMBER(F365),IF(ABS(F365-E365)&lt;=H365,"PASS","FAIL"),"FAIL"),"FAIL")</f>
        <v>PASS</v>
      </c>
    </row>
    <row r="366" customFormat="false" ht="15" hidden="false" customHeight="false" outlineLevel="0" collapsed="false">
      <c r="B366" s="40" t="n">
        <v>357</v>
      </c>
      <c r="C366" s="9" t="s">
        <v>394</v>
      </c>
      <c r="D366" s="9" t="s">
        <v>743</v>
      </c>
      <c r="E366" s="13" t="n">
        <v>12052103</v>
      </c>
      <c r="F366" s="19" t="n">
        <f aca="false">Direct_Cap!$C$12</f>
        <v>12052102.9565217</v>
      </c>
      <c r="G366" s="37" t="n">
        <f aca="false">IFERROR(IF(ISNUMBER(F366),F366-E366,"n/a"),"n/a")</f>
        <v>-0.0434782616794109</v>
      </c>
      <c r="H366" s="41" t="n">
        <v>0.500000001</v>
      </c>
      <c r="I366" s="39" t="str">
        <f aca="false">IFERROR(IF(ISNUMBER(F366),IF(ABS(F366-E366)&lt;=H366,"PASS","FAIL"),"FAIL"),"FAIL")</f>
        <v>PASS</v>
      </c>
    </row>
    <row r="367" customFormat="false" ht="15" hidden="false" customHeight="false" outlineLevel="0" collapsed="false">
      <c r="B367" s="40" t="n">
        <v>358</v>
      </c>
      <c r="C367" s="9" t="s">
        <v>394</v>
      </c>
      <c r="D367" s="9" t="s">
        <v>744</v>
      </c>
      <c r="E367" s="13" t="n">
        <v>12050000</v>
      </c>
      <c r="F367" s="19" t="n">
        <f aca="false">Direct_Cap!$C$13</f>
        <v>12050000</v>
      </c>
      <c r="G367" s="37" t="n">
        <f aca="false">IFERROR(IF(ISNUMBER(F367),F367-E367,"n/a"),"n/a")</f>
        <v>0</v>
      </c>
      <c r="H367" s="41" t="n">
        <v>0.500000001</v>
      </c>
      <c r="I367" s="39" t="str">
        <f aca="false">IFERROR(IF(ISNUMBER(F367),IF(ABS(F367-E367)&lt;=H367,"PASS","FAIL"),"FAIL"),"FAIL")</f>
        <v>PASS</v>
      </c>
    </row>
    <row r="368" customFormat="false" ht="15" hidden="false" customHeight="false" outlineLevel="0" collapsed="false">
      <c r="B368" s="40" t="n">
        <v>359</v>
      </c>
      <c r="C368" s="9" t="s">
        <v>394</v>
      </c>
      <c r="D368" s="9" t="s">
        <v>745</v>
      </c>
      <c r="E368" s="13" t="n">
        <v>13216197</v>
      </c>
      <c r="F368" s="19" t="n">
        <f aca="false">Direct_Cap!$C$17</f>
        <v>13216196.5714286</v>
      </c>
      <c r="G368" s="37" t="n">
        <f aca="false">IFERROR(IF(ISNUMBER(F368),F368-E368,"n/a"),"n/a")</f>
        <v>-0.428571427240968</v>
      </c>
      <c r="H368" s="41" t="n">
        <v>0.500000001</v>
      </c>
      <c r="I368" s="39" t="str">
        <f aca="false">IFERROR(IF(ISNUMBER(F368),IF(ABS(F368-E368)&lt;=H368,"PASS","FAIL"),"FAIL"),"FAIL")</f>
        <v>PASS</v>
      </c>
    </row>
    <row r="369" customFormat="false" ht="15" hidden="false" customHeight="false" outlineLevel="0" collapsed="false">
      <c r="B369" s="40" t="n">
        <v>360</v>
      </c>
      <c r="C369" s="9" t="s">
        <v>394</v>
      </c>
      <c r="D369" s="9" t="s">
        <v>746</v>
      </c>
      <c r="E369" s="31" t="n">
        <v>0.0525</v>
      </c>
      <c r="F369" s="47" t="n">
        <f aca="false">Direct_Cap!$B$17</f>
        <v>0.0525</v>
      </c>
      <c r="G369" s="37" t="n">
        <f aca="false">IFERROR(IF(ISNUMBER(F369),F369-E369,"n/a"),"n/a")</f>
        <v>0</v>
      </c>
      <c r="H369" s="41" t="n">
        <v>5.0001E-005</v>
      </c>
      <c r="I369" s="39" t="str">
        <f aca="false">IFERROR(IF(ISNUMBER(F369),IF(ABS(F369-E369)&lt;=H369,"PASS","FAIL"),"FAIL"),"FAIL")</f>
        <v>PASS</v>
      </c>
    </row>
    <row r="370" customFormat="false" ht="15" hidden="false" customHeight="false" outlineLevel="0" collapsed="false">
      <c r="B370" s="40" t="n">
        <v>361</v>
      </c>
      <c r="C370" s="9" t="s">
        <v>394</v>
      </c>
      <c r="D370" s="9" t="s">
        <v>747</v>
      </c>
      <c r="E370" s="13" t="n">
        <v>12607693</v>
      </c>
      <c r="F370" s="19" t="n">
        <f aca="false">Direct_Cap!$C$18</f>
        <v>12607693.0909091</v>
      </c>
      <c r="G370" s="37" t="n">
        <f aca="false">IFERROR(IF(ISNUMBER(F370),F370-E370,"n/a"),"n/a")</f>
        <v>0.0909090917557478</v>
      </c>
      <c r="H370" s="41" t="n">
        <v>0.500000001</v>
      </c>
      <c r="I370" s="39" t="str">
        <f aca="false">IFERROR(IF(ISNUMBER(F370),IF(ABS(F370-E370)&lt;=H370,"PASS","FAIL"),"FAIL"),"FAIL")</f>
        <v>PASS</v>
      </c>
    </row>
    <row r="371" customFormat="false" ht="15" hidden="false" customHeight="false" outlineLevel="0" collapsed="false">
      <c r="B371" s="40" t="n">
        <v>362</v>
      </c>
      <c r="C371" s="9" t="s">
        <v>394</v>
      </c>
      <c r="D371" s="9" t="s">
        <v>748</v>
      </c>
      <c r="E371" s="31" t="n">
        <v>0.055</v>
      </c>
      <c r="F371" s="47" t="n">
        <f aca="false">Direct_Cap!$B$18</f>
        <v>0.055</v>
      </c>
      <c r="G371" s="37" t="n">
        <f aca="false">IFERROR(IF(ISNUMBER(F371),F371-E371,"n/a"),"n/a")</f>
        <v>0</v>
      </c>
      <c r="H371" s="41" t="n">
        <v>5.0001E-005</v>
      </c>
      <c r="I371" s="39" t="str">
        <f aca="false">IFERROR(IF(ISNUMBER(F371),IF(ABS(F371-E371)&lt;=H371,"PASS","FAIL"),"FAIL"),"FAIL")</f>
        <v>PASS</v>
      </c>
    </row>
    <row r="372" customFormat="false" ht="15" hidden="false" customHeight="false" outlineLevel="0" collapsed="false">
      <c r="B372" s="40" t="n">
        <v>363</v>
      </c>
      <c r="C372" s="9" t="s">
        <v>394</v>
      </c>
      <c r="D372" s="9" t="s">
        <v>749</v>
      </c>
      <c r="E372" s="13" t="n">
        <v>12052103</v>
      </c>
      <c r="F372" s="19" t="n">
        <f aca="false">Direct_Cap!$C$19</f>
        <v>12052102.9565217</v>
      </c>
      <c r="G372" s="37" t="n">
        <f aca="false">IFERROR(IF(ISNUMBER(F372),F372-E372,"n/a"),"n/a")</f>
        <v>-0.0434782616794109</v>
      </c>
      <c r="H372" s="41" t="n">
        <v>0.500000001</v>
      </c>
      <c r="I372" s="39" t="str">
        <f aca="false">IFERROR(IF(ISNUMBER(F372),IF(ABS(F372-E372)&lt;=H372,"PASS","FAIL"),"FAIL"),"FAIL")</f>
        <v>PASS</v>
      </c>
    </row>
    <row r="373" customFormat="false" ht="15" hidden="false" customHeight="false" outlineLevel="0" collapsed="false">
      <c r="B373" s="40" t="n">
        <v>364</v>
      </c>
      <c r="C373" s="9" t="s">
        <v>394</v>
      </c>
      <c r="D373" s="9" t="s">
        <v>750</v>
      </c>
      <c r="E373" s="31" t="n">
        <v>0.0575</v>
      </c>
      <c r="F373" s="47" t="n">
        <f aca="false">Direct_Cap!$B$19</f>
        <v>0.0575</v>
      </c>
      <c r="G373" s="37" t="n">
        <f aca="false">IFERROR(IF(ISNUMBER(F373),F373-E373,"n/a"),"n/a")</f>
        <v>0</v>
      </c>
      <c r="H373" s="41" t="n">
        <v>5.0001E-005</v>
      </c>
      <c r="I373" s="39" t="str">
        <f aca="false">IFERROR(IF(ISNUMBER(F373),IF(ABS(F373-E373)&lt;=H373,"PASS","FAIL"),"FAIL"),"FAIL")</f>
        <v>PASS</v>
      </c>
    </row>
    <row r="374" customFormat="false" ht="15" hidden="false" customHeight="false" outlineLevel="0" collapsed="false">
      <c r="B374" s="40" t="n">
        <v>365</v>
      </c>
      <c r="C374" s="9" t="s">
        <v>394</v>
      </c>
      <c r="D374" s="9" t="s">
        <v>751</v>
      </c>
      <c r="E374" s="13" t="n">
        <v>11542812</v>
      </c>
      <c r="F374" s="19" t="n">
        <f aca="false">Direct_Cap!$C$20</f>
        <v>11542812</v>
      </c>
      <c r="G374" s="37" t="n">
        <f aca="false">IFERROR(IF(ISNUMBER(F374),F374-E374,"n/a"),"n/a")</f>
        <v>0</v>
      </c>
      <c r="H374" s="41" t="n">
        <v>0.500000001</v>
      </c>
      <c r="I374" s="39" t="str">
        <f aca="false">IFERROR(IF(ISNUMBER(F374),IF(ABS(F374-E374)&lt;=H374,"PASS","FAIL"),"FAIL"),"FAIL")</f>
        <v>PASS</v>
      </c>
    </row>
    <row r="375" customFormat="false" ht="15" hidden="false" customHeight="false" outlineLevel="0" collapsed="false">
      <c r="B375" s="40" t="n">
        <v>366</v>
      </c>
      <c r="C375" s="9" t="s">
        <v>394</v>
      </c>
      <c r="D375" s="9" t="s">
        <v>752</v>
      </c>
      <c r="E375" s="31" t="n">
        <v>0.06</v>
      </c>
      <c r="F375" s="47" t="n">
        <f aca="false">Direct_Cap!$B$20</f>
        <v>0.06</v>
      </c>
      <c r="G375" s="37" t="n">
        <f aca="false">IFERROR(IF(ISNUMBER(F375),F375-E375,"n/a"),"n/a")</f>
        <v>0</v>
      </c>
      <c r="H375" s="41" t="n">
        <v>5.0001E-005</v>
      </c>
      <c r="I375" s="39" t="str">
        <f aca="false">IFERROR(IF(ISNUMBER(F375),IF(ABS(F375-E375)&lt;=H375,"PASS","FAIL"),"FAIL"),"FAIL")</f>
        <v>PASS</v>
      </c>
    </row>
    <row r="376" customFormat="false" ht="15" hidden="false" customHeight="false" outlineLevel="0" collapsed="false">
      <c r="B376" s="40" t="n">
        <v>367</v>
      </c>
      <c r="C376" s="9" t="s">
        <v>394</v>
      </c>
      <c r="D376" s="9" t="s">
        <v>753</v>
      </c>
      <c r="E376" s="13" t="n">
        <v>11074264</v>
      </c>
      <c r="F376" s="19" t="n">
        <f aca="false">Direct_Cap!$C$21</f>
        <v>11074264.32</v>
      </c>
      <c r="G376" s="37" t="n">
        <f aca="false">IFERROR(IF(ISNUMBER(F376),F376-E376,"n/a"),"n/a")</f>
        <v>0.320000000298023</v>
      </c>
      <c r="H376" s="41" t="n">
        <v>0.500000001</v>
      </c>
      <c r="I376" s="39" t="str">
        <f aca="false">IFERROR(IF(ISNUMBER(F376),IF(ABS(F376-E376)&lt;=H376,"PASS","FAIL"),"FAIL"),"FAIL")</f>
        <v>PASS</v>
      </c>
    </row>
    <row r="377" customFormat="false" ht="15" hidden="false" customHeight="false" outlineLevel="0" collapsed="false">
      <c r="B377" s="40" t="n">
        <v>368</v>
      </c>
      <c r="C377" s="9" t="s">
        <v>394</v>
      </c>
      <c r="D377" s="9" t="s">
        <v>754</v>
      </c>
      <c r="E377" s="31" t="n">
        <v>0.0625</v>
      </c>
      <c r="F377" s="47" t="n">
        <f aca="false">Direct_Cap!$B$21</f>
        <v>0.0625</v>
      </c>
      <c r="G377" s="37" t="n">
        <f aca="false">IFERROR(IF(ISNUMBER(F377),F377-E377,"n/a"),"n/a")</f>
        <v>0</v>
      </c>
      <c r="H377" s="41" t="n">
        <v>5.0001E-005</v>
      </c>
      <c r="I377" s="39" t="str">
        <f aca="false">IFERROR(IF(ISNUMBER(F377),IF(ABS(F377-E377)&lt;=H377,"PASS","FAIL"),"FAIL"),"FAIL")</f>
        <v>PASS</v>
      </c>
    </row>
    <row r="378" customFormat="false" ht="15" hidden="false" customHeight="false" outlineLevel="0" collapsed="false">
      <c r="B378" s="40" t="n">
        <v>369</v>
      </c>
      <c r="C378" s="9" t="s">
        <v>394</v>
      </c>
      <c r="D378" s="9" t="s">
        <v>755</v>
      </c>
      <c r="E378" s="13" t="n">
        <v>555590</v>
      </c>
      <c r="F378" s="19" t="n">
        <f aca="false">Direct_Cap!$C$22</f>
        <v>555590.134387353</v>
      </c>
      <c r="G378" s="37" t="n">
        <f aca="false">IFERROR(IF(ISNUMBER(F378),F378-E378,"n/a"),"n/a")</f>
        <v>0.134387353435159</v>
      </c>
      <c r="H378" s="41" t="n">
        <v>0.500000001</v>
      </c>
      <c r="I378" s="39" t="str">
        <f aca="false">IFERROR(IF(ISNUMBER(F378),IF(ABS(F378-E378)&lt;=H378,"PASS","FAIL"),"FAIL"),"FAIL")</f>
        <v>PASS</v>
      </c>
    </row>
    <row r="379" customFormat="false" ht="15" hidden="false" customHeight="false" outlineLevel="0" collapsed="false">
      <c r="B379" s="40" t="n">
        <v>370</v>
      </c>
      <c r="C379" s="9" t="s">
        <v>394</v>
      </c>
      <c r="D379" s="9" t="s">
        <v>756</v>
      </c>
      <c r="E379" s="13" t="n">
        <v>509291</v>
      </c>
      <c r="F379" s="19" t="n">
        <f aca="false">Direct_Cap!$C$23</f>
        <v>509290.956521738</v>
      </c>
      <c r="G379" s="37" t="n">
        <f aca="false">IFERROR(IF(ISNUMBER(F379),F379-E379,"n/a"),"n/a")</f>
        <v>-0.0434782616794109</v>
      </c>
      <c r="H379" s="41" t="n">
        <v>0.500000001</v>
      </c>
      <c r="I379" s="39" t="str">
        <f aca="false">IFERROR(IF(ISNUMBER(F379),IF(ABS(F379-E379)&lt;=H379,"PASS","FAIL"),"FAIL"),"FAIL")</f>
        <v>PASS</v>
      </c>
    </row>
    <row r="380" customFormat="false" ht="15" hidden="false" customHeight="false" outlineLevel="0" collapsed="false">
      <c r="B380" s="40" t="n">
        <v>371</v>
      </c>
      <c r="C380" s="9" t="s">
        <v>394</v>
      </c>
      <c r="D380" s="9" t="s">
        <v>757</v>
      </c>
      <c r="E380" s="29" t="n">
        <v>0.046</v>
      </c>
      <c r="F380" s="36" t="n">
        <f aca="false">Direct_Cap!$C$24</f>
        <v>0.0460990199296885</v>
      </c>
      <c r="G380" s="37" t="n">
        <f aca="false">IFERROR(IF(ISNUMBER(F380),F380-E380,"n/a"),"n/a")</f>
        <v>9.9019929688457E-005</v>
      </c>
      <c r="H380" s="41" t="n">
        <v>0.000500001</v>
      </c>
      <c r="I380" s="39" t="str">
        <f aca="false">IFERROR(IF(ISNUMBER(F380),IF(ABS(F380-E380)&lt;=H380,"PASS","FAIL"),"FAIL"),"FAIL")</f>
        <v>PASS</v>
      </c>
    </row>
    <row r="381" customFormat="false" ht="15" hidden="false" customHeight="false" outlineLevel="0" collapsed="false">
      <c r="B381" s="40" t="n">
        <v>372</v>
      </c>
      <c r="C381" s="9" t="s">
        <v>394</v>
      </c>
      <c r="D381" s="9" t="s">
        <v>758</v>
      </c>
      <c r="E381" s="13" t="n">
        <v>12461008</v>
      </c>
      <c r="F381" s="19" t="n">
        <f aca="false">Direct_Cap!$C$28</f>
        <v>12461007.8608696</v>
      </c>
      <c r="G381" s="37" t="n">
        <f aca="false">IFERROR(IF(ISNUMBER(F381),F381-E381,"n/a"),"n/a")</f>
        <v>-0.139130434021354</v>
      </c>
      <c r="H381" s="41" t="n">
        <v>0.500000001</v>
      </c>
      <c r="I381" s="39" t="str">
        <f aca="false">IFERROR(IF(ISNUMBER(F381),IF(ABS(F381-E381)&lt;=H381,"PASS","FAIL"),"FAIL"),"FAIL")</f>
        <v>PASS</v>
      </c>
    </row>
    <row r="382" customFormat="false" ht="15" hidden="false" customHeight="false" outlineLevel="0" collapsed="false">
      <c r="B382" s="40" t="n">
        <v>373</v>
      </c>
      <c r="C382" s="9" t="s">
        <v>394</v>
      </c>
      <c r="D382" s="9" t="s">
        <v>759</v>
      </c>
      <c r="E382" s="29" t="n">
        <v>0.03</v>
      </c>
      <c r="F382" s="36" t="n">
        <f aca="false">Direct_Cap!$B$28</f>
        <v>0.03</v>
      </c>
      <c r="G382" s="37" t="n">
        <f aca="false">IFERROR(IF(ISNUMBER(F382),F382-E382,"n/a"),"n/a")</f>
        <v>0</v>
      </c>
      <c r="H382" s="41" t="n">
        <v>0.000500001</v>
      </c>
      <c r="I382" s="39" t="str">
        <f aca="false">IFERROR(IF(ISNUMBER(F382),IF(ABS(F382-E382)&lt;=H382,"PASS","FAIL"),"FAIL"),"FAIL")</f>
        <v>PASS</v>
      </c>
    </row>
    <row r="383" customFormat="false" ht="15" hidden="false" customHeight="false" outlineLevel="0" collapsed="false">
      <c r="B383" s="40" t="n">
        <v>374</v>
      </c>
      <c r="C383" s="9" t="s">
        <v>394</v>
      </c>
      <c r="D383" s="9" t="s">
        <v>760</v>
      </c>
      <c r="E383" s="13" t="n">
        <v>12256555</v>
      </c>
      <c r="F383" s="19" t="n">
        <f aca="false">Direct_Cap!$C$29</f>
        <v>12256555.4086957</v>
      </c>
      <c r="G383" s="37" t="n">
        <f aca="false">IFERROR(IF(ISNUMBER(F383),F383-E383,"n/a"),"n/a")</f>
        <v>0.40869564935565</v>
      </c>
      <c r="H383" s="41" t="n">
        <v>0.500000001</v>
      </c>
      <c r="I383" s="39" t="str">
        <f aca="false">IFERROR(IF(ISNUMBER(F383),IF(ABS(F383-E383)&lt;=H383,"PASS","FAIL"),"FAIL"),"FAIL")</f>
        <v>PASS</v>
      </c>
    </row>
    <row r="384" customFormat="false" ht="15" hidden="false" customHeight="false" outlineLevel="0" collapsed="false">
      <c r="B384" s="40" t="n">
        <v>375</v>
      </c>
      <c r="C384" s="9" t="s">
        <v>394</v>
      </c>
      <c r="D384" s="9" t="s">
        <v>761</v>
      </c>
      <c r="E384" s="29" t="n">
        <v>0.04</v>
      </c>
      <c r="F384" s="36" t="n">
        <f aca="false">Direct_Cap!$B$29</f>
        <v>0.04</v>
      </c>
      <c r="G384" s="37" t="n">
        <f aca="false">IFERROR(IF(ISNUMBER(F384),F384-E384,"n/a"),"n/a")</f>
        <v>0</v>
      </c>
      <c r="H384" s="41" t="n">
        <v>0.000500001</v>
      </c>
      <c r="I384" s="39" t="str">
        <f aca="false">IFERROR(IF(ISNUMBER(F384),IF(ABS(F384-E384)&lt;=H384,"PASS","FAIL"),"FAIL"),"FAIL")</f>
        <v>PASS</v>
      </c>
    </row>
    <row r="385" customFormat="false" ht="15" hidden="false" customHeight="false" outlineLevel="0" collapsed="false">
      <c r="B385" s="40" t="n">
        <v>376</v>
      </c>
      <c r="C385" s="9" t="s">
        <v>394</v>
      </c>
      <c r="D385" s="9" t="s">
        <v>762</v>
      </c>
      <c r="E385" s="13" t="n">
        <v>12052103</v>
      </c>
      <c r="F385" s="19" t="n">
        <f aca="false">Direct_Cap!$C$30</f>
        <v>12052102.9565217</v>
      </c>
      <c r="G385" s="37" t="n">
        <f aca="false">IFERROR(IF(ISNUMBER(F385),F385-E385,"n/a"),"n/a")</f>
        <v>-0.0434782616794109</v>
      </c>
      <c r="H385" s="41" t="n">
        <v>0.500000001</v>
      </c>
      <c r="I385" s="39" t="str">
        <f aca="false">IFERROR(IF(ISNUMBER(F385),IF(ABS(F385-E385)&lt;=H385,"PASS","FAIL"),"FAIL"),"FAIL")</f>
        <v>PASS</v>
      </c>
    </row>
    <row r="386" customFormat="false" ht="15" hidden="false" customHeight="false" outlineLevel="0" collapsed="false">
      <c r="B386" s="40" t="n">
        <v>377</v>
      </c>
      <c r="C386" s="9" t="s">
        <v>394</v>
      </c>
      <c r="D386" s="9" t="s">
        <v>763</v>
      </c>
      <c r="E386" s="29" t="n">
        <v>0.05</v>
      </c>
      <c r="F386" s="36" t="n">
        <f aca="false">Direct_Cap!$B$30</f>
        <v>0.05</v>
      </c>
      <c r="G386" s="37" t="n">
        <f aca="false">IFERROR(IF(ISNUMBER(F386),F386-E386,"n/a"),"n/a")</f>
        <v>0</v>
      </c>
      <c r="H386" s="41" t="n">
        <v>0.000500001</v>
      </c>
      <c r="I386" s="39" t="str">
        <f aca="false">IFERROR(IF(ISNUMBER(F386),IF(ABS(F386-E386)&lt;=H386,"PASS","FAIL"),"FAIL"),"FAIL")</f>
        <v>PASS</v>
      </c>
    </row>
    <row r="387" customFormat="false" ht="15" hidden="false" customHeight="false" outlineLevel="0" collapsed="false">
      <c r="B387" s="40" t="n">
        <v>378</v>
      </c>
      <c r="C387" s="9" t="s">
        <v>394</v>
      </c>
      <c r="D387" s="9" t="s">
        <v>764</v>
      </c>
      <c r="E387" s="13" t="n">
        <v>11847651</v>
      </c>
      <c r="F387" s="19" t="n">
        <f aca="false">Direct_Cap!$C$31</f>
        <v>11847650.5043478</v>
      </c>
      <c r="G387" s="37" t="n">
        <f aca="false">IFERROR(IF(ISNUMBER(F387),F387-E387,"n/a"),"n/a")</f>
        <v>-0.495652176439762</v>
      </c>
      <c r="H387" s="41" t="n">
        <v>0.500000001</v>
      </c>
      <c r="I387" s="39" t="str">
        <f aca="false">IFERROR(IF(ISNUMBER(F387),IF(ABS(F387-E387)&lt;=H387,"PASS","FAIL"),"FAIL"),"FAIL")</f>
        <v>PASS</v>
      </c>
    </row>
    <row r="388" customFormat="false" ht="15" hidden="false" customHeight="false" outlineLevel="0" collapsed="false">
      <c r="B388" s="40" t="n">
        <v>379</v>
      </c>
      <c r="C388" s="9" t="s">
        <v>394</v>
      </c>
      <c r="D388" s="9" t="s">
        <v>765</v>
      </c>
      <c r="E388" s="29" t="n">
        <v>0.06</v>
      </c>
      <c r="F388" s="36" t="n">
        <f aca="false">Direct_Cap!$B$31</f>
        <v>0.06</v>
      </c>
      <c r="G388" s="37" t="n">
        <f aca="false">IFERROR(IF(ISNUMBER(F388),F388-E388,"n/a"),"n/a")</f>
        <v>0</v>
      </c>
      <c r="H388" s="41" t="n">
        <v>0.000500001</v>
      </c>
      <c r="I388" s="39" t="str">
        <f aca="false">IFERROR(IF(ISNUMBER(F388),IF(ABS(F388-E388)&lt;=H388,"PASS","FAIL"),"FAIL"),"FAIL")</f>
        <v>PASS</v>
      </c>
    </row>
    <row r="389" customFormat="false" ht="15" hidden="false" customHeight="false" outlineLevel="0" collapsed="false">
      <c r="B389" s="40" t="n">
        <v>380</v>
      </c>
      <c r="C389" s="9" t="s">
        <v>394</v>
      </c>
      <c r="D389" s="9" t="s">
        <v>766</v>
      </c>
      <c r="E389" s="13" t="n">
        <v>11643198</v>
      </c>
      <c r="F389" s="19" t="n">
        <f aca="false">Direct_Cap!$C$32</f>
        <v>11643198.0521739</v>
      </c>
      <c r="G389" s="37" t="n">
        <f aca="false">IFERROR(IF(ISNUMBER(F389),F389-E389,"n/a"),"n/a")</f>
        <v>0.0521739106625319</v>
      </c>
      <c r="H389" s="41" t="n">
        <v>0.500000001</v>
      </c>
      <c r="I389" s="39" t="str">
        <f aca="false">IFERROR(IF(ISNUMBER(F389),IF(ABS(F389-E389)&lt;=H389,"PASS","FAIL"),"FAIL"),"FAIL")</f>
        <v>PASS</v>
      </c>
    </row>
    <row r="390" customFormat="false" ht="15" hidden="false" customHeight="false" outlineLevel="0" collapsed="false">
      <c r="B390" s="40" t="n">
        <v>381</v>
      </c>
      <c r="C390" s="9" t="s">
        <v>394</v>
      </c>
      <c r="D390" s="9" t="s">
        <v>767</v>
      </c>
      <c r="E390" s="29" t="n">
        <v>0.07</v>
      </c>
      <c r="F390" s="36" t="n">
        <f aca="false">Direct_Cap!$B$32</f>
        <v>0.07</v>
      </c>
      <c r="G390" s="37" t="n">
        <f aca="false">IFERROR(IF(ISNUMBER(F390),F390-E390,"n/a"),"n/a")</f>
        <v>0</v>
      </c>
      <c r="H390" s="41" t="n">
        <v>0.000500001</v>
      </c>
      <c r="I390" s="39" t="str">
        <f aca="false">IFERROR(IF(ISNUMBER(F390),IF(ABS(F390-E390)&lt;=H390,"PASS","FAIL"),"FAIL"),"FAIL")</f>
        <v>PASS</v>
      </c>
    </row>
    <row r="391" customFormat="false" ht="15" hidden="false" customHeight="false" outlineLevel="0" collapsed="false">
      <c r="B391" s="40" t="n">
        <v>382</v>
      </c>
      <c r="C391" s="9" t="s">
        <v>394</v>
      </c>
      <c r="D391" s="9" t="s">
        <v>768</v>
      </c>
      <c r="E391" s="13" t="n">
        <v>204452</v>
      </c>
      <c r="F391" s="19" t="n">
        <f aca="false">Direct_Cap!$C$33</f>
        <v>204452.452173915</v>
      </c>
      <c r="G391" s="37" t="n">
        <f aca="false">IFERROR(IF(ISNUMBER(F391),F391-E391,"n/a"),"n/a")</f>
        <v>0.452173914760351</v>
      </c>
      <c r="H391" s="41" t="n">
        <v>0.500000001</v>
      </c>
      <c r="I391" s="39" t="str">
        <f aca="false">IFERROR(IF(ISNUMBER(F391),IF(ABS(F391-E391)&lt;=H391,"PASS","FAIL"),"FAIL"),"FAIL")</f>
        <v>PASS</v>
      </c>
    </row>
    <row r="392" customFormat="false" ht="15" hidden="false" customHeight="false" outlineLevel="0" collapsed="false">
      <c r="B392" s="40" t="n">
        <v>383</v>
      </c>
      <c r="C392" s="9" t="s">
        <v>394</v>
      </c>
      <c r="D392" s="9" t="s">
        <v>769</v>
      </c>
      <c r="E392" s="13" t="n">
        <v>12911958</v>
      </c>
      <c r="F392" s="19" t="n">
        <f aca="false">Direct_Cap!$C$37</f>
        <v>12911958.2608696</v>
      </c>
      <c r="G392" s="37" t="n">
        <f aca="false">IFERROR(IF(ISNUMBER(F392),F392-E392,"n/a"),"n/a")</f>
        <v>0.260869566351175</v>
      </c>
      <c r="H392" s="41" t="n">
        <v>0.500000001</v>
      </c>
      <c r="I392" s="39" t="str">
        <f aca="false">IFERROR(IF(ISNUMBER(F392),IF(ABS(F392-E392)&lt;=H392,"PASS","FAIL"),"FAIL"),"FAIL")</f>
        <v>PASS</v>
      </c>
    </row>
    <row r="393" customFormat="false" ht="15" hidden="false" customHeight="false" outlineLevel="0" collapsed="false">
      <c r="B393" s="40" t="n">
        <v>384</v>
      </c>
      <c r="C393" s="9" t="s">
        <v>394</v>
      </c>
      <c r="D393" s="9" t="s">
        <v>770</v>
      </c>
      <c r="E393" s="25" t="n">
        <v>0.35</v>
      </c>
      <c r="F393" s="33" t="n">
        <f aca="false">Direct_Cap!$B$37</f>
        <v>0.35</v>
      </c>
      <c r="G393" s="37" t="n">
        <f aca="false">IFERROR(IF(ISNUMBER(F393),F393-E393,"n/a"),"n/a")</f>
        <v>0</v>
      </c>
      <c r="H393" s="41" t="n">
        <v>0.005000001</v>
      </c>
      <c r="I393" s="39" t="str">
        <f aca="false">IFERROR(IF(ISNUMBER(F393),IF(ABS(F393-E393)&lt;=H393,"PASS","FAIL"),"FAIL"),"FAIL")</f>
        <v>PASS</v>
      </c>
    </row>
    <row r="394" customFormat="false" ht="15" hidden="false" customHeight="false" outlineLevel="0" collapsed="false">
      <c r="B394" s="40" t="n">
        <v>385</v>
      </c>
      <c r="C394" s="9" t="s">
        <v>394</v>
      </c>
      <c r="D394" s="9" t="s">
        <v>771</v>
      </c>
      <c r="E394" s="13" t="n">
        <v>12509409</v>
      </c>
      <c r="F394" s="19" t="n">
        <f aca="false">Direct_Cap!$C$38</f>
        <v>12509409.3913043</v>
      </c>
      <c r="G394" s="37" t="n">
        <f aca="false">IFERROR(IF(ISNUMBER(F394),F394-E394,"n/a"),"n/a")</f>
        <v>0.391304347664118</v>
      </c>
      <c r="H394" s="41" t="n">
        <v>0.500000001</v>
      </c>
      <c r="I394" s="39" t="str">
        <f aca="false">IFERROR(IF(ISNUMBER(F394),IF(ABS(F394-E394)&lt;=H394,"PASS","FAIL"),"FAIL"),"FAIL")</f>
        <v>PASS</v>
      </c>
    </row>
    <row r="395" customFormat="false" ht="15" hidden="false" customHeight="false" outlineLevel="0" collapsed="false">
      <c r="B395" s="40" t="n">
        <v>386</v>
      </c>
      <c r="C395" s="9" t="s">
        <v>394</v>
      </c>
      <c r="D395" s="9" t="s">
        <v>772</v>
      </c>
      <c r="E395" s="25" t="n">
        <v>0.37</v>
      </c>
      <c r="F395" s="33" t="n">
        <f aca="false">Direct_Cap!$B$38</f>
        <v>0.37</v>
      </c>
      <c r="G395" s="37" t="n">
        <f aca="false">IFERROR(IF(ISNUMBER(F395),F395-E395,"n/a"),"n/a")</f>
        <v>0</v>
      </c>
      <c r="H395" s="41" t="n">
        <v>0.005000001</v>
      </c>
      <c r="I395" s="39" t="str">
        <f aca="false">IFERROR(IF(ISNUMBER(F395),IF(ABS(F395-E395)&lt;=H395,"PASS","FAIL"),"FAIL"),"FAIL")</f>
        <v>PASS</v>
      </c>
    </row>
    <row r="396" customFormat="false" ht="15" hidden="false" customHeight="false" outlineLevel="0" collapsed="false">
      <c r="B396" s="40" t="n">
        <v>387</v>
      </c>
      <c r="C396" s="9" t="s">
        <v>394</v>
      </c>
      <c r="D396" s="9" t="s">
        <v>773</v>
      </c>
      <c r="E396" s="13" t="n">
        <v>12106861</v>
      </c>
      <c r="F396" s="19" t="n">
        <f aca="false">Direct_Cap!$C$39</f>
        <v>12106860.5217391</v>
      </c>
      <c r="G396" s="37" t="n">
        <f aca="false">IFERROR(IF(ISNUMBER(F396),F396-E396,"n/a"),"n/a")</f>
        <v>-0.47826087102294</v>
      </c>
      <c r="H396" s="41" t="n">
        <v>0.500000001</v>
      </c>
      <c r="I396" s="39" t="str">
        <f aca="false">IFERROR(IF(ISNUMBER(F396),IF(ABS(F396-E396)&lt;=H396,"PASS","FAIL"),"FAIL"),"FAIL")</f>
        <v>PASS</v>
      </c>
    </row>
    <row r="397" customFormat="false" ht="15" hidden="false" customHeight="false" outlineLevel="0" collapsed="false">
      <c r="B397" s="40" t="n">
        <v>388</v>
      </c>
      <c r="C397" s="9" t="s">
        <v>394</v>
      </c>
      <c r="D397" s="9" t="s">
        <v>774</v>
      </c>
      <c r="E397" s="25" t="n">
        <v>0.39</v>
      </c>
      <c r="F397" s="33" t="n">
        <f aca="false">Direct_Cap!$B$39</f>
        <v>0.39</v>
      </c>
      <c r="G397" s="37" t="n">
        <f aca="false">IFERROR(IF(ISNUMBER(F397),F397-E397,"n/a"),"n/a")</f>
        <v>0</v>
      </c>
      <c r="H397" s="41" t="n">
        <v>0.005000001</v>
      </c>
      <c r="I397" s="39" t="str">
        <f aca="false">IFERROR(IF(ISNUMBER(F397),IF(ABS(F397-E397)&lt;=H397,"PASS","FAIL"),"FAIL"),"FAIL")</f>
        <v>PASS</v>
      </c>
    </row>
    <row r="398" customFormat="false" ht="15" hidden="false" customHeight="false" outlineLevel="0" collapsed="false">
      <c r="B398" s="40" t="n">
        <v>389</v>
      </c>
      <c r="C398" s="9" t="s">
        <v>394</v>
      </c>
      <c r="D398" s="9" t="s">
        <v>775</v>
      </c>
      <c r="E398" s="13" t="n">
        <v>11704312</v>
      </c>
      <c r="F398" s="19" t="n">
        <f aca="false">Direct_Cap!$C$40</f>
        <v>11704311.6521739</v>
      </c>
      <c r="G398" s="37" t="n">
        <f aca="false">IFERROR(IF(ISNUMBER(F398),F398-E398,"n/a"),"n/a")</f>
        <v>-0.347826085984707</v>
      </c>
      <c r="H398" s="41" t="n">
        <v>0.500000001</v>
      </c>
      <c r="I398" s="39" t="str">
        <f aca="false">IFERROR(IF(ISNUMBER(F398),IF(ABS(F398-E398)&lt;=H398,"PASS","FAIL"),"FAIL"),"FAIL")</f>
        <v>PASS</v>
      </c>
    </row>
    <row r="399" customFormat="false" ht="15" hidden="false" customHeight="false" outlineLevel="0" collapsed="false">
      <c r="B399" s="40" t="n">
        <v>390</v>
      </c>
      <c r="C399" s="9" t="s">
        <v>394</v>
      </c>
      <c r="D399" s="9" t="s">
        <v>776</v>
      </c>
      <c r="E399" s="25" t="n">
        <v>0.41</v>
      </c>
      <c r="F399" s="33" t="n">
        <f aca="false">Direct_Cap!$B$40</f>
        <v>0.41</v>
      </c>
      <c r="G399" s="37" t="n">
        <f aca="false">IFERROR(IF(ISNUMBER(F399),F399-E399,"n/a"),"n/a")</f>
        <v>0</v>
      </c>
      <c r="H399" s="41" t="n">
        <v>0.005000001</v>
      </c>
      <c r="I399" s="39" t="str">
        <f aca="false">IFERROR(IF(ISNUMBER(F399),IF(ABS(F399-E399)&lt;=H399,"PASS","FAIL"),"FAIL"),"FAIL")</f>
        <v>PASS</v>
      </c>
    </row>
    <row r="400" customFormat="false" ht="15" hidden="false" customHeight="false" outlineLevel="0" collapsed="false">
      <c r="B400" s="40" t="n">
        <v>391</v>
      </c>
      <c r="C400" s="9" t="s">
        <v>394</v>
      </c>
      <c r="D400" s="9" t="s">
        <v>777</v>
      </c>
      <c r="E400" s="13" t="n">
        <v>11301763</v>
      </c>
      <c r="F400" s="19" t="n">
        <f aca="false">Direct_Cap!$C$41</f>
        <v>11301762.7826087</v>
      </c>
      <c r="G400" s="37" t="n">
        <f aca="false">IFERROR(IF(ISNUMBER(F400),F400-E400,"n/a"),"n/a")</f>
        <v>-0.217391302809119</v>
      </c>
      <c r="H400" s="41" t="n">
        <v>0.500000001</v>
      </c>
      <c r="I400" s="39" t="str">
        <f aca="false">IFERROR(IF(ISNUMBER(F400),IF(ABS(F400-E400)&lt;=H400,"PASS","FAIL"),"FAIL"),"FAIL")</f>
        <v>PASS</v>
      </c>
    </row>
    <row r="401" customFormat="false" ht="15" hidden="false" customHeight="false" outlineLevel="0" collapsed="false">
      <c r="B401" s="40" t="n">
        <v>392</v>
      </c>
      <c r="C401" s="9" t="s">
        <v>394</v>
      </c>
      <c r="D401" s="9" t="s">
        <v>778</v>
      </c>
      <c r="E401" s="25" t="n">
        <v>0.43</v>
      </c>
      <c r="F401" s="33" t="n">
        <f aca="false">Direct_Cap!$B$41</f>
        <v>0.43</v>
      </c>
      <c r="G401" s="37" t="n">
        <f aca="false">IFERROR(IF(ISNUMBER(F401),F401-E401,"n/a"),"n/a")</f>
        <v>0</v>
      </c>
      <c r="H401" s="41" t="n">
        <v>0.005000001</v>
      </c>
      <c r="I401" s="39" t="str">
        <f aca="false">IFERROR(IF(ISNUMBER(F401),IF(ABS(F401-E401)&lt;=H401,"PASS","FAIL"),"FAIL"),"FAIL")</f>
        <v>PASS</v>
      </c>
    </row>
    <row r="402" customFormat="false" ht="15" hidden="false" customHeight="false" outlineLevel="0" collapsed="false">
      <c r="B402" s="40" t="n">
        <v>393</v>
      </c>
      <c r="C402" s="9" t="s">
        <v>394</v>
      </c>
      <c r="D402" s="9" t="s">
        <v>779</v>
      </c>
      <c r="E402" s="13" t="n">
        <v>402549</v>
      </c>
      <c r="F402" s="19" t="n">
        <f aca="false">Direct_Cap!$C$42</f>
        <v>402548.869565215</v>
      </c>
      <c r="G402" s="37" t="n">
        <f aca="false">IFERROR(IF(ISNUMBER(F402),F402-E402,"n/a"),"n/a")</f>
        <v>-0.130434785038233</v>
      </c>
      <c r="H402" s="41" t="n">
        <v>0.500000001</v>
      </c>
      <c r="I402" s="39" t="str">
        <f aca="false">IFERROR(IF(ISNUMBER(F402),IF(ABS(F402-E402)&lt;=H402,"PASS","FAIL"),"FAIL"),"FAIL")</f>
        <v>PASS</v>
      </c>
    </row>
    <row r="403" customFormat="false" ht="15" hidden="false" customHeight="false" outlineLevel="0" collapsed="false">
      <c r="B403" s="40" t="n">
        <v>394</v>
      </c>
      <c r="C403" s="9" t="s">
        <v>394</v>
      </c>
      <c r="D403" s="9" t="s">
        <v>780</v>
      </c>
      <c r="E403" s="13" t="n">
        <v>173913</v>
      </c>
      <c r="F403" s="19" t="n">
        <f aca="false">Direct_Cap!$C$45</f>
        <v>173913.043478261</v>
      </c>
      <c r="G403" s="37" t="n">
        <f aca="false">IFERROR(IF(ISNUMBER(F403),F403-E403,"n/a"),"n/a")</f>
        <v>0.0434782608645037</v>
      </c>
      <c r="H403" s="41" t="n">
        <v>0.500000001</v>
      </c>
      <c r="I403" s="39" t="str">
        <f aca="false">IFERROR(IF(ISNUMBER(F403),IF(ABS(F403-E403)&lt;=H403,"PASS","FAIL"),"FAIL"),"FAIL")</f>
        <v>PASS</v>
      </c>
    </row>
    <row r="404" customFormat="false" ht="15" hidden="false" customHeight="false" outlineLevel="0" collapsed="false">
      <c r="B404" s="40" t="n">
        <v>395</v>
      </c>
      <c r="C404" s="9" t="s">
        <v>394</v>
      </c>
      <c r="D404" s="9" t="s">
        <v>781</v>
      </c>
      <c r="E404" s="13" t="n">
        <v>137752</v>
      </c>
      <c r="F404" s="19" t="n">
        <f aca="false">Direct_Cap!$C$46</f>
        <v>137751.652173913</v>
      </c>
      <c r="G404" s="37" t="n">
        <f aca="false">IFERROR(IF(ISNUMBER(F404),F404-E404,"n/a"),"n/a")</f>
        <v>-0.347826086974237</v>
      </c>
      <c r="H404" s="41" t="n">
        <v>0.500000001</v>
      </c>
      <c r="I404" s="39" t="str">
        <f aca="false">IFERROR(IF(ISNUMBER(F404),IF(ABS(F404-E404)&lt;=H404,"PASS","FAIL"),"FAIL"),"FAIL")</f>
        <v>PASS</v>
      </c>
    </row>
    <row r="405" customFormat="false" ht="15" hidden="false" customHeight="false" outlineLevel="0" collapsed="false">
      <c r="B405" s="40" t="n">
        <v>396</v>
      </c>
      <c r="C405" s="9" t="s">
        <v>397</v>
      </c>
      <c r="D405" s="9" t="s">
        <v>782</v>
      </c>
      <c r="E405" s="31" t="n">
        <v>0.005</v>
      </c>
      <c r="F405" s="47" t="n">
        <f aca="false">DCF!$C$8</f>
        <v>0.005</v>
      </c>
      <c r="G405" s="37" t="n">
        <f aca="false">IFERROR(IF(ISNUMBER(F405),F405-E405,"n/a"),"n/a")</f>
        <v>0</v>
      </c>
      <c r="H405" s="41" t="n">
        <v>5.0001E-005</v>
      </c>
      <c r="I405" s="39" t="str">
        <f aca="false">IFERROR(IF(ISNUMBER(F405),IF(ABS(F405-E405)&lt;=H405,"PASS","FAIL"),"FAIL"),"FAIL")</f>
        <v>PASS</v>
      </c>
    </row>
    <row r="406" customFormat="false" ht="15" hidden="false" customHeight="false" outlineLevel="0" collapsed="false">
      <c r="B406" s="40" t="n">
        <v>397</v>
      </c>
      <c r="C406" s="9" t="s">
        <v>397</v>
      </c>
      <c r="D406" s="9" t="s">
        <v>783</v>
      </c>
      <c r="E406" s="13" t="n">
        <v>1162800</v>
      </c>
      <c r="F406" s="19" t="n">
        <f aca="false">DCF!$C$17</f>
        <v>1162800</v>
      </c>
      <c r="G406" s="37" t="n">
        <f aca="false">IFERROR(IF(ISNUMBER(F406),F406-E406,"n/a"),"n/a")</f>
        <v>0</v>
      </c>
      <c r="H406" s="41" t="n">
        <v>0.500000001</v>
      </c>
      <c r="I406" s="39" t="str">
        <f aca="false">IFERROR(IF(ISNUMBER(F406),IF(ABS(F406-E406)&lt;=H406,"PASS","FAIL"),"FAIL"),"FAIL")</f>
        <v>PASS</v>
      </c>
    </row>
    <row r="407" customFormat="false" ht="15" hidden="false" customHeight="false" outlineLevel="0" collapsed="false">
      <c r="B407" s="40" t="n">
        <v>398</v>
      </c>
      <c r="C407" s="9" t="s">
        <v>397</v>
      </c>
      <c r="D407" s="9" t="s">
        <v>784</v>
      </c>
      <c r="E407" s="13" t="n">
        <v>1137492</v>
      </c>
      <c r="F407" s="19" t="n">
        <f aca="false">DCF!$C$20</f>
        <v>1137492</v>
      </c>
      <c r="G407" s="37" t="n">
        <f aca="false">IFERROR(IF(ISNUMBER(F407),F407-E407,"n/a"),"n/a")</f>
        <v>0</v>
      </c>
      <c r="H407" s="41" t="n">
        <v>0.500000001</v>
      </c>
      <c r="I407" s="39" t="str">
        <f aca="false">IFERROR(IF(ISNUMBER(F407),IF(ABS(F407-E407)&lt;=H407,"PASS","FAIL"),"FAIL"),"FAIL")</f>
        <v>PASS</v>
      </c>
    </row>
    <row r="408" customFormat="false" ht="15" hidden="false" customHeight="false" outlineLevel="0" collapsed="false">
      <c r="B408" s="40" t="n">
        <v>399</v>
      </c>
      <c r="C408" s="9" t="s">
        <v>397</v>
      </c>
      <c r="D408" s="9" t="s">
        <v>785</v>
      </c>
      <c r="E408" s="13" t="n">
        <v>453812</v>
      </c>
      <c r="F408" s="19" t="n">
        <f aca="false">DCF!$C$23</f>
        <v>453812.22</v>
      </c>
      <c r="G408" s="37" t="n">
        <f aca="false">IFERROR(IF(ISNUMBER(F408),F408-E408,"n/a"),"n/a")</f>
        <v>0.21999999997206</v>
      </c>
      <c r="H408" s="41" t="n">
        <v>0.500000001</v>
      </c>
      <c r="I408" s="39" t="str">
        <f aca="false">IFERROR(IF(ISNUMBER(F408),IF(ABS(F408-E408)&lt;=H408,"PASS","FAIL"),"FAIL"),"FAIL")</f>
        <v>PASS</v>
      </c>
    </row>
    <row r="409" customFormat="false" ht="15" hidden="false" customHeight="false" outlineLevel="0" collapsed="false">
      <c r="B409" s="40" t="n">
        <v>400</v>
      </c>
      <c r="C409" s="9" t="s">
        <v>397</v>
      </c>
      <c r="D409" s="9" t="s">
        <v>786</v>
      </c>
      <c r="E409" s="13" t="n">
        <v>683680</v>
      </c>
      <c r="F409" s="19" t="n">
        <f aca="false">DCF!$C$24</f>
        <v>683679.78</v>
      </c>
      <c r="G409" s="37" t="n">
        <f aca="false">IFERROR(IF(ISNUMBER(F409),F409-E409,"n/a"),"n/a")</f>
        <v>-0.21999999997206</v>
      </c>
      <c r="H409" s="41" t="n">
        <v>0.500000001</v>
      </c>
      <c r="I409" s="39" t="str">
        <f aca="false">IFERROR(IF(ISNUMBER(F409),IF(ABS(F409-E409)&lt;=H409,"PASS","FAIL"),"FAIL"),"FAIL")</f>
        <v>PASS</v>
      </c>
    </row>
    <row r="410" customFormat="false" ht="15" hidden="false" customHeight="false" outlineLevel="0" collapsed="false">
      <c r="B410" s="40" t="n">
        <v>401</v>
      </c>
      <c r="C410" s="9" t="s">
        <v>397</v>
      </c>
      <c r="D410" s="9" t="s">
        <v>787</v>
      </c>
      <c r="E410" s="13" t="n">
        <v>150000</v>
      </c>
      <c r="F410" s="19" t="n">
        <f aca="false">DCF!$C$25</f>
        <v>150000</v>
      </c>
      <c r="G410" s="37" t="n">
        <f aca="false">IFERROR(IF(ISNUMBER(F410),F410-E410,"n/a"),"n/a")</f>
        <v>0</v>
      </c>
      <c r="H410" s="41" t="n">
        <v>0.500000001</v>
      </c>
      <c r="I410" s="39" t="str">
        <f aca="false">IFERROR(IF(ISNUMBER(F410),IF(ABS(F410-E410)&lt;=H410,"PASS","FAIL"),"FAIL"),"FAIL")</f>
        <v>PASS</v>
      </c>
    </row>
    <row r="411" customFormat="false" ht="15" hidden="false" customHeight="false" outlineLevel="0" collapsed="false">
      <c r="B411" s="40" t="n">
        <v>402</v>
      </c>
      <c r="C411" s="9" t="s">
        <v>397</v>
      </c>
      <c r="D411" s="9" t="s">
        <v>788</v>
      </c>
      <c r="E411" s="13" t="n">
        <v>533680</v>
      </c>
      <c r="F411" s="19" t="n">
        <f aca="false">DCF!$C$26</f>
        <v>533679.78</v>
      </c>
      <c r="G411" s="37" t="n">
        <f aca="false">IFERROR(IF(ISNUMBER(F411),F411-E411,"n/a"),"n/a")</f>
        <v>-0.21999999997206</v>
      </c>
      <c r="H411" s="41" t="n">
        <v>0.500000001</v>
      </c>
      <c r="I411" s="39" t="str">
        <f aca="false">IFERROR(IF(ISNUMBER(F411),IF(ABS(F411-E411)&lt;=H411,"PASS","FAIL"),"FAIL"),"FAIL")</f>
        <v>PASS</v>
      </c>
    </row>
    <row r="412" customFormat="false" ht="15" hidden="false" customHeight="false" outlineLevel="0" collapsed="false">
      <c r="B412" s="40" t="n">
        <v>403</v>
      </c>
      <c r="C412" s="9" t="s">
        <v>397</v>
      </c>
      <c r="D412" s="9" t="s">
        <v>789</v>
      </c>
      <c r="E412" s="13" t="n">
        <v>1217096</v>
      </c>
      <c r="F412" s="19" t="n">
        <f aca="false">DCF!$D$17</f>
        <v>1217095.72020942</v>
      </c>
      <c r="G412" s="37" t="n">
        <f aca="false">IFERROR(IF(ISNUMBER(F412),F412-E412,"n/a"),"n/a")</f>
        <v>-0.279790575848892</v>
      </c>
      <c r="H412" s="41" t="n">
        <v>0.500000001</v>
      </c>
      <c r="I412" s="39" t="str">
        <f aca="false">IFERROR(IF(ISNUMBER(F412),IF(ABS(F412-E412)&lt;=H412,"PASS","FAIL"),"FAIL"),"FAIL")</f>
        <v>PASS</v>
      </c>
    </row>
    <row r="413" customFormat="false" ht="15" hidden="false" customHeight="false" outlineLevel="0" collapsed="false">
      <c r="B413" s="40" t="n">
        <v>404</v>
      </c>
      <c r="C413" s="9" t="s">
        <v>397</v>
      </c>
      <c r="D413" s="9" t="s">
        <v>790</v>
      </c>
      <c r="E413" s="13" t="n">
        <v>1190058</v>
      </c>
      <c r="F413" s="19" t="n">
        <f aca="false">DCF!$D$20</f>
        <v>1190057.89419895</v>
      </c>
      <c r="G413" s="37" t="n">
        <f aca="false">IFERROR(IF(ISNUMBER(F413),F413-E413,"n/a"),"n/a")</f>
        <v>-0.105801047058776</v>
      </c>
      <c r="H413" s="41" t="n">
        <v>0.500000001</v>
      </c>
      <c r="I413" s="39" t="str">
        <f aca="false">IFERROR(IF(ISNUMBER(F413),IF(ABS(F413-E413)&lt;=H413,"PASS","FAIL"),"FAIL"),"FAIL")</f>
        <v>PASS</v>
      </c>
    </row>
    <row r="414" customFormat="false" ht="15" hidden="false" customHeight="false" outlineLevel="0" collapsed="false">
      <c r="B414" s="40" t="n">
        <v>405</v>
      </c>
      <c r="C414" s="9" t="s">
        <v>397</v>
      </c>
      <c r="D414" s="9" t="s">
        <v>791</v>
      </c>
      <c r="E414" s="13" t="n">
        <v>468072</v>
      </c>
      <c r="F414" s="19" t="n">
        <f aca="false">DCF!$D$23</f>
        <v>468072.026296963</v>
      </c>
      <c r="G414" s="37" t="n">
        <f aca="false">IFERROR(IF(ISNUMBER(F414),F414-E414,"n/a"),"n/a")</f>
        <v>0.0262969633331522</v>
      </c>
      <c r="H414" s="41" t="n">
        <v>0.500000001</v>
      </c>
      <c r="I414" s="39" t="str">
        <f aca="false">IFERROR(IF(ISNUMBER(F414),IF(ABS(F414-E414)&lt;=H414,"PASS","FAIL"),"FAIL"),"FAIL")</f>
        <v>PASS</v>
      </c>
    </row>
    <row r="415" customFormat="false" ht="15" hidden="false" customHeight="false" outlineLevel="0" collapsed="false">
      <c r="B415" s="40" t="n">
        <v>406</v>
      </c>
      <c r="C415" s="9" t="s">
        <v>397</v>
      </c>
      <c r="D415" s="9" t="s">
        <v>792</v>
      </c>
      <c r="E415" s="13" t="n">
        <v>721986</v>
      </c>
      <c r="F415" s="19" t="n">
        <f aca="false">DCF!$D$24</f>
        <v>721985.86790199</v>
      </c>
      <c r="G415" s="37" t="n">
        <f aca="false">IFERROR(IF(ISNUMBER(F415),F415-E415,"n/a"),"n/a")</f>
        <v>-0.132098010391928</v>
      </c>
      <c r="H415" s="41" t="n">
        <v>0.500000001</v>
      </c>
      <c r="I415" s="39" t="str">
        <f aca="false">IFERROR(IF(ISNUMBER(F415),IF(ABS(F415-E415)&lt;=H415,"PASS","FAIL"),"FAIL"),"FAIL")</f>
        <v>PASS</v>
      </c>
    </row>
    <row r="416" customFormat="false" ht="15" hidden="false" customHeight="false" outlineLevel="0" collapsed="false">
      <c r="B416" s="40" t="n">
        <v>407</v>
      </c>
      <c r="C416" s="9" t="s">
        <v>397</v>
      </c>
      <c r="D416" s="9" t="s">
        <v>793</v>
      </c>
      <c r="E416" s="13" t="n">
        <v>0</v>
      </c>
      <c r="F416" s="19" t="n">
        <f aca="false">DCF!$D$25</f>
        <v>0</v>
      </c>
      <c r="G416" s="37" t="n">
        <f aca="false">IFERROR(IF(ISNUMBER(F416),F416-E416,"n/a"),"n/a")</f>
        <v>0</v>
      </c>
      <c r="H416" s="41" t="n">
        <v>0.500000001</v>
      </c>
      <c r="I416" s="39" t="str">
        <f aca="false">IFERROR(IF(ISNUMBER(F416),IF(ABS(F416-E416)&lt;=H416,"PASS","FAIL"),"FAIL"),"FAIL")</f>
        <v>PASS</v>
      </c>
    </row>
    <row r="417" customFormat="false" ht="15" hidden="false" customHeight="false" outlineLevel="0" collapsed="false">
      <c r="B417" s="40" t="n">
        <v>408</v>
      </c>
      <c r="C417" s="9" t="s">
        <v>397</v>
      </c>
      <c r="D417" s="9" t="s">
        <v>794</v>
      </c>
      <c r="E417" s="13" t="n">
        <v>721986</v>
      </c>
      <c r="F417" s="19" t="n">
        <f aca="false">DCF!$D$26</f>
        <v>721985.86790199</v>
      </c>
      <c r="G417" s="37" t="n">
        <f aca="false">IFERROR(IF(ISNUMBER(F417),F417-E417,"n/a"),"n/a")</f>
        <v>-0.132098010391928</v>
      </c>
      <c r="H417" s="41" t="n">
        <v>0.500000001</v>
      </c>
      <c r="I417" s="39" t="str">
        <f aca="false">IFERROR(IF(ISNUMBER(F417),IF(ABS(F417-E417)&lt;=H417,"PASS","FAIL"),"FAIL"),"FAIL")</f>
        <v>PASS</v>
      </c>
    </row>
    <row r="418" customFormat="false" ht="15" hidden="false" customHeight="false" outlineLevel="0" collapsed="false">
      <c r="B418" s="40" t="n">
        <v>409</v>
      </c>
      <c r="C418" s="9" t="s">
        <v>397</v>
      </c>
      <c r="D418" s="9" t="s">
        <v>795</v>
      </c>
      <c r="E418" s="13" t="n">
        <v>1250369</v>
      </c>
      <c r="F418" s="19" t="n">
        <f aca="false">DCF!$E$17</f>
        <v>1250369.19709983</v>
      </c>
      <c r="G418" s="37" t="n">
        <f aca="false">IFERROR(IF(ISNUMBER(F418),F418-E418,"n/a"),"n/a")</f>
        <v>0.197099831420928</v>
      </c>
      <c r="H418" s="41" t="n">
        <v>0.500000001</v>
      </c>
      <c r="I418" s="39" t="str">
        <f aca="false">IFERROR(IF(ISNUMBER(F418),IF(ABS(F418-E418)&lt;=H418,"PASS","FAIL"),"FAIL"),"FAIL")</f>
        <v>PASS</v>
      </c>
    </row>
    <row r="419" customFormat="false" ht="15" hidden="false" customHeight="false" outlineLevel="0" collapsed="false">
      <c r="B419" s="40" t="n">
        <v>410</v>
      </c>
      <c r="C419" s="9" t="s">
        <v>397</v>
      </c>
      <c r="D419" s="9" t="s">
        <v>796</v>
      </c>
      <c r="E419" s="13" t="n">
        <v>1222682</v>
      </c>
      <c r="F419" s="19" t="n">
        <f aca="false">DCF!$E$20</f>
        <v>1222682.20604484</v>
      </c>
      <c r="G419" s="37" t="n">
        <f aca="false">IFERROR(IF(ISNUMBER(F419),F419-E419,"n/a"),"n/a")</f>
        <v>0.206044839695096</v>
      </c>
      <c r="H419" s="41" t="n">
        <v>0.500000001</v>
      </c>
      <c r="I419" s="39" t="str">
        <f aca="false">IFERROR(IF(ISNUMBER(F419),IF(ABS(F419-E419)&lt;=H419,"PASS","FAIL"),"FAIL"),"FAIL")</f>
        <v>PASS</v>
      </c>
    </row>
    <row r="420" customFormat="false" ht="15" hidden="false" customHeight="false" outlineLevel="0" collapsed="false">
      <c r="B420" s="40" t="n">
        <v>411</v>
      </c>
      <c r="C420" s="9" t="s">
        <v>397</v>
      </c>
      <c r="D420" s="9" t="s">
        <v>797</v>
      </c>
      <c r="E420" s="13" t="n">
        <v>482006</v>
      </c>
      <c r="F420" s="19" t="n">
        <f aca="false">DCF!$E$23</f>
        <v>482006.477211569</v>
      </c>
      <c r="G420" s="37" t="n">
        <f aca="false">IFERROR(IF(ISNUMBER(F420),F420-E420,"n/a"),"n/a")</f>
        <v>0.477211569435895</v>
      </c>
      <c r="H420" s="41" t="n">
        <v>0.500000001</v>
      </c>
      <c r="I420" s="39" t="str">
        <f aca="false">IFERROR(IF(ISNUMBER(F420),IF(ABS(F420-E420)&lt;=H420,"PASS","FAIL"),"FAIL"),"FAIL")</f>
        <v>PASS</v>
      </c>
    </row>
    <row r="421" customFormat="false" ht="15" hidden="false" customHeight="false" outlineLevel="0" collapsed="false">
      <c r="B421" s="40" t="n">
        <v>412</v>
      </c>
      <c r="C421" s="9" t="s">
        <v>397</v>
      </c>
      <c r="D421" s="9" t="s">
        <v>798</v>
      </c>
      <c r="E421" s="13" t="n">
        <v>740676</v>
      </c>
      <c r="F421" s="19" t="n">
        <f aca="false">DCF!$E$24</f>
        <v>740675.72883327</v>
      </c>
      <c r="G421" s="37" t="n">
        <f aca="false">IFERROR(IF(ISNUMBER(F421),F421-E421,"n/a"),"n/a")</f>
        <v>-0.271166729740799</v>
      </c>
      <c r="H421" s="41" t="n">
        <v>0.500000001</v>
      </c>
      <c r="I421" s="39" t="str">
        <f aca="false">IFERROR(IF(ISNUMBER(F421),IF(ABS(F421-E421)&lt;=H421,"PASS","FAIL"),"FAIL"),"FAIL")</f>
        <v>PASS</v>
      </c>
    </row>
    <row r="422" customFormat="false" ht="15" hidden="false" customHeight="false" outlineLevel="0" collapsed="false">
      <c r="B422" s="40" t="n">
        <v>413</v>
      </c>
      <c r="C422" s="9" t="s">
        <v>397</v>
      </c>
      <c r="D422" s="9" t="s">
        <v>799</v>
      </c>
      <c r="E422" s="13" t="n">
        <v>0</v>
      </c>
      <c r="F422" s="19" t="n">
        <f aca="false">DCF!$E$25</f>
        <v>0</v>
      </c>
      <c r="G422" s="37" t="n">
        <f aca="false">IFERROR(IF(ISNUMBER(F422),F422-E422,"n/a"),"n/a")</f>
        <v>0</v>
      </c>
      <c r="H422" s="41" t="n">
        <v>0.500000001</v>
      </c>
      <c r="I422" s="39" t="str">
        <f aca="false">IFERROR(IF(ISNUMBER(F422),IF(ABS(F422-E422)&lt;=H422,"PASS","FAIL"),"FAIL"),"FAIL")</f>
        <v>PASS</v>
      </c>
    </row>
    <row r="423" customFormat="false" ht="15" hidden="false" customHeight="false" outlineLevel="0" collapsed="false">
      <c r="B423" s="40" t="n">
        <v>414</v>
      </c>
      <c r="C423" s="9" t="s">
        <v>397</v>
      </c>
      <c r="D423" s="9" t="s">
        <v>800</v>
      </c>
      <c r="E423" s="13" t="n">
        <v>740676</v>
      </c>
      <c r="F423" s="19" t="n">
        <f aca="false">DCF!$E$26</f>
        <v>740675.72883327</v>
      </c>
      <c r="G423" s="37" t="n">
        <f aca="false">IFERROR(IF(ISNUMBER(F423),F423-E423,"n/a"),"n/a")</f>
        <v>-0.271166729740799</v>
      </c>
      <c r="H423" s="41" t="n">
        <v>0.500000001</v>
      </c>
      <c r="I423" s="39" t="str">
        <f aca="false">IFERROR(IF(ISNUMBER(F423),IF(ABS(F423-E423)&lt;=H423,"PASS","FAIL"),"FAIL"),"FAIL")</f>
        <v>PASS</v>
      </c>
    </row>
    <row r="424" customFormat="false" ht="15" hidden="false" customHeight="false" outlineLevel="0" collapsed="false">
      <c r="B424" s="40" t="n">
        <v>415</v>
      </c>
      <c r="C424" s="9" t="s">
        <v>397</v>
      </c>
      <c r="D424" s="9" t="s">
        <v>801</v>
      </c>
      <c r="E424" s="13" t="n">
        <v>1289331</v>
      </c>
      <c r="F424" s="19" t="n">
        <f aca="false">DCF!$F$17</f>
        <v>1289330.70128146</v>
      </c>
      <c r="G424" s="37" t="n">
        <f aca="false">IFERROR(IF(ISNUMBER(F424),F424-E424,"n/a"),"n/a")</f>
        <v>-0.298718537669629</v>
      </c>
      <c r="H424" s="41" t="n">
        <v>0.500000001</v>
      </c>
      <c r="I424" s="39" t="str">
        <f aca="false">IFERROR(IF(ISNUMBER(F424),IF(ABS(F424-E424)&lt;=H424,"PASS","FAIL"),"FAIL"),"FAIL")</f>
        <v>PASS</v>
      </c>
    </row>
    <row r="425" customFormat="false" ht="15" hidden="false" customHeight="false" outlineLevel="0" collapsed="false">
      <c r="B425" s="40" t="n">
        <v>416</v>
      </c>
      <c r="C425" s="9" t="s">
        <v>397</v>
      </c>
      <c r="D425" s="9" t="s">
        <v>802</v>
      </c>
      <c r="E425" s="13" t="n">
        <v>1260741</v>
      </c>
      <c r="F425" s="19" t="n">
        <f aca="false">DCF!$F$20</f>
        <v>1260740.57908139</v>
      </c>
      <c r="G425" s="37" t="n">
        <f aca="false">IFERROR(IF(ISNUMBER(F425),F425-E425,"n/a"),"n/a")</f>
        <v>-0.420918610878289</v>
      </c>
      <c r="H425" s="41" t="n">
        <v>0.500000001</v>
      </c>
      <c r="I425" s="39" t="str">
        <f aca="false">IFERROR(IF(ISNUMBER(F425),IF(ABS(F425-E425)&lt;=H425,"PASS","FAIL"),"FAIL"),"FAIL")</f>
        <v>PASS</v>
      </c>
    </row>
    <row r="426" customFormat="false" ht="15" hidden="false" customHeight="false" outlineLevel="0" collapsed="false">
      <c r="B426" s="40" t="n">
        <v>417</v>
      </c>
      <c r="C426" s="9" t="s">
        <v>397</v>
      </c>
      <c r="D426" s="9" t="s">
        <v>803</v>
      </c>
      <c r="E426" s="13" t="n">
        <v>496515</v>
      </c>
      <c r="F426" s="19" t="n">
        <f aca="false">DCF!$F$23</f>
        <v>496514.898267849</v>
      </c>
      <c r="G426" s="37" t="n">
        <f aca="false">IFERROR(IF(ISNUMBER(F426),F426-E426,"n/a"),"n/a")</f>
        <v>-0.101732151291799</v>
      </c>
      <c r="H426" s="41" t="n">
        <v>0.500000001</v>
      </c>
      <c r="I426" s="39" t="str">
        <f aca="false">IFERROR(IF(ISNUMBER(F426),IF(ABS(F426-E426)&lt;=H426,"PASS","FAIL"),"FAIL"),"FAIL")</f>
        <v>PASS</v>
      </c>
    </row>
    <row r="427" customFormat="false" ht="15" hidden="false" customHeight="false" outlineLevel="0" collapsed="false">
      <c r="B427" s="40" t="n">
        <v>418</v>
      </c>
      <c r="C427" s="9" t="s">
        <v>397</v>
      </c>
      <c r="D427" s="9" t="s">
        <v>804</v>
      </c>
      <c r="E427" s="13" t="n">
        <v>764226</v>
      </c>
      <c r="F427" s="19" t="n">
        <f aca="false">DCF!$F$24</f>
        <v>764225.680813541</v>
      </c>
      <c r="G427" s="37" t="n">
        <f aca="false">IFERROR(IF(ISNUMBER(F427),F427-E427,"n/a"),"n/a")</f>
        <v>-0.319186459528282</v>
      </c>
      <c r="H427" s="41" t="n">
        <v>0.500000001</v>
      </c>
      <c r="I427" s="39" t="str">
        <f aca="false">IFERROR(IF(ISNUMBER(F427),IF(ABS(F427-E427)&lt;=H427,"PASS","FAIL"),"FAIL"),"FAIL")</f>
        <v>PASS</v>
      </c>
    </row>
    <row r="428" customFormat="false" ht="15" hidden="false" customHeight="false" outlineLevel="0" collapsed="false">
      <c r="B428" s="40" t="n">
        <v>419</v>
      </c>
      <c r="C428" s="9" t="s">
        <v>397</v>
      </c>
      <c r="D428" s="9" t="s">
        <v>805</v>
      </c>
      <c r="E428" s="13" t="n">
        <v>0</v>
      </c>
      <c r="F428" s="19" t="n">
        <f aca="false">DCF!$F$25</f>
        <v>0</v>
      </c>
      <c r="G428" s="37" t="n">
        <f aca="false">IFERROR(IF(ISNUMBER(F428),F428-E428,"n/a"),"n/a")</f>
        <v>0</v>
      </c>
      <c r="H428" s="41" t="n">
        <v>0.500000001</v>
      </c>
      <c r="I428" s="39" t="str">
        <f aca="false">IFERROR(IF(ISNUMBER(F428),IF(ABS(F428-E428)&lt;=H428,"PASS","FAIL"),"FAIL"),"FAIL")</f>
        <v>PASS</v>
      </c>
    </row>
    <row r="429" customFormat="false" ht="15" hidden="false" customHeight="false" outlineLevel="0" collapsed="false">
      <c r="B429" s="40" t="n">
        <v>420</v>
      </c>
      <c r="C429" s="9" t="s">
        <v>397</v>
      </c>
      <c r="D429" s="9" t="s">
        <v>806</v>
      </c>
      <c r="E429" s="13" t="n">
        <v>764226</v>
      </c>
      <c r="F429" s="19" t="n">
        <f aca="false">DCF!$F$26</f>
        <v>764225.680813541</v>
      </c>
      <c r="G429" s="37" t="n">
        <f aca="false">IFERROR(IF(ISNUMBER(F429),F429-E429,"n/a"),"n/a")</f>
        <v>-0.319186459528282</v>
      </c>
      <c r="H429" s="41" t="n">
        <v>0.500000001</v>
      </c>
      <c r="I429" s="39" t="str">
        <f aca="false">IFERROR(IF(ISNUMBER(F429),IF(ABS(F429-E429)&lt;=H429,"PASS","FAIL"),"FAIL"),"FAIL")</f>
        <v>PASS</v>
      </c>
    </row>
    <row r="430" customFormat="false" ht="15" hidden="false" customHeight="false" outlineLevel="0" collapsed="false">
      <c r="B430" s="40" t="n">
        <v>421</v>
      </c>
      <c r="C430" s="9" t="s">
        <v>397</v>
      </c>
      <c r="D430" s="9" t="s">
        <v>807</v>
      </c>
      <c r="E430" s="13" t="n">
        <v>1332763</v>
      </c>
      <c r="F430" s="19" t="n">
        <f aca="false">DCF!$G$17</f>
        <v>1332763.44921875</v>
      </c>
      <c r="G430" s="37" t="n">
        <f aca="false">IFERROR(IF(ISNUMBER(F430),F430-E430,"n/a"),"n/a")</f>
        <v>0.449218747671694</v>
      </c>
      <c r="H430" s="41" t="n">
        <v>0.500000001</v>
      </c>
      <c r="I430" s="39" t="str">
        <f aca="false">IFERROR(IF(ISNUMBER(F430),IF(ABS(F430-E430)&lt;=H430,"PASS","FAIL"),"FAIL"),"FAIL")</f>
        <v>PASS</v>
      </c>
    </row>
    <row r="431" customFormat="false" ht="15" hidden="false" customHeight="false" outlineLevel="0" collapsed="false">
      <c r="B431" s="40" t="n">
        <v>422</v>
      </c>
      <c r="C431" s="9" t="s">
        <v>397</v>
      </c>
      <c r="D431" s="9" t="s">
        <v>808</v>
      </c>
      <c r="E431" s="13" t="n">
        <v>1303078</v>
      </c>
      <c r="F431" s="19" t="n">
        <f aca="false">DCF!$G$20</f>
        <v>1303077.98200773</v>
      </c>
      <c r="G431" s="37" t="n">
        <f aca="false">IFERROR(IF(ISNUMBER(F431),F431-E431,"n/a"),"n/a")</f>
        <v>-0.0179922697134316</v>
      </c>
      <c r="H431" s="41" t="n">
        <v>0.500000001</v>
      </c>
      <c r="I431" s="39" t="str">
        <f aca="false">IFERROR(IF(ISNUMBER(F431),IF(ABS(F431-E431)&lt;=H431,"PASS","FAIL"),"FAIL"),"FAIL")</f>
        <v>PASS</v>
      </c>
    </row>
    <row r="432" customFormat="false" ht="15" hidden="false" customHeight="false" outlineLevel="0" collapsed="false">
      <c r="B432" s="40" t="n">
        <v>423</v>
      </c>
      <c r="C432" s="9" t="s">
        <v>397</v>
      </c>
      <c r="D432" s="9" t="s">
        <v>809</v>
      </c>
      <c r="E432" s="13" t="n">
        <v>511568</v>
      </c>
      <c r="F432" s="19" t="n">
        <f aca="false">DCF!$G$23</f>
        <v>511568.376710271</v>
      </c>
      <c r="G432" s="37" t="n">
        <f aca="false">IFERROR(IF(ISNUMBER(F432),F432-E432,"n/a"),"n/a")</f>
        <v>0.376710270647891</v>
      </c>
      <c r="H432" s="41" t="n">
        <v>0.500000001</v>
      </c>
      <c r="I432" s="39" t="str">
        <f aca="false">IFERROR(IF(ISNUMBER(F432),IF(ABS(F432-E432)&lt;=H432,"PASS","FAIL"),"FAIL"),"FAIL")</f>
        <v>PASS</v>
      </c>
    </row>
    <row r="433" customFormat="false" ht="15" hidden="false" customHeight="false" outlineLevel="0" collapsed="false">
      <c r="B433" s="40" t="n">
        <v>424</v>
      </c>
      <c r="C433" s="9" t="s">
        <v>397</v>
      </c>
      <c r="D433" s="9" t="s">
        <v>810</v>
      </c>
      <c r="E433" s="13" t="n">
        <v>791510</v>
      </c>
      <c r="F433" s="19" t="n">
        <f aca="false">DCF!$G$24</f>
        <v>791509.60529746</v>
      </c>
      <c r="G433" s="37" t="n">
        <f aca="false">IFERROR(IF(ISNUMBER(F433),F433-E433,"n/a"),"n/a")</f>
        <v>-0.394702540361322</v>
      </c>
      <c r="H433" s="41" t="n">
        <v>0.500000001</v>
      </c>
      <c r="I433" s="39" t="str">
        <f aca="false">IFERROR(IF(ISNUMBER(F433),IF(ABS(F433-E433)&lt;=H433,"PASS","FAIL"),"FAIL"),"FAIL")</f>
        <v>PASS</v>
      </c>
    </row>
    <row r="434" customFormat="false" ht="15" hidden="false" customHeight="false" outlineLevel="0" collapsed="false">
      <c r="B434" s="40" t="n">
        <v>425</v>
      </c>
      <c r="C434" s="9" t="s">
        <v>397</v>
      </c>
      <c r="D434" s="9" t="s">
        <v>811</v>
      </c>
      <c r="E434" s="13" t="n">
        <v>0</v>
      </c>
      <c r="F434" s="19" t="n">
        <f aca="false">DCF!$G$25</f>
        <v>0</v>
      </c>
      <c r="G434" s="37" t="n">
        <f aca="false">IFERROR(IF(ISNUMBER(F434),F434-E434,"n/a"),"n/a")</f>
        <v>0</v>
      </c>
      <c r="H434" s="41" t="n">
        <v>0.500000001</v>
      </c>
      <c r="I434" s="39" t="str">
        <f aca="false">IFERROR(IF(ISNUMBER(F434),IF(ABS(F434-E434)&lt;=H434,"PASS","FAIL"),"FAIL"),"FAIL")</f>
        <v>PASS</v>
      </c>
    </row>
    <row r="435" customFormat="false" ht="15" hidden="false" customHeight="false" outlineLevel="0" collapsed="false">
      <c r="B435" s="40" t="n">
        <v>426</v>
      </c>
      <c r="C435" s="9" t="s">
        <v>397</v>
      </c>
      <c r="D435" s="9" t="s">
        <v>812</v>
      </c>
      <c r="E435" s="13" t="n">
        <v>791510</v>
      </c>
      <c r="F435" s="19" t="n">
        <f aca="false">DCF!$G$26</f>
        <v>791509.60529746</v>
      </c>
      <c r="G435" s="37" t="n">
        <f aca="false">IFERROR(IF(ISNUMBER(F435),F435-E435,"n/a"),"n/a")</f>
        <v>-0.394702540361322</v>
      </c>
      <c r="H435" s="41" t="n">
        <v>0.500000001</v>
      </c>
      <c r="I435" s="39" t="str">
        <f aca="false">IFERROR(IF(ISNUMBER(F435),IF(ABS(F435-E435)&lt;=H435,"PASS","FAIL"),"FAIL"),"FAIL")</f>
        <v>PASS</v>
      </c>
    </row>
    <row r="436" customFormat="false" ht="15" hidden="false" customHeight="false" outlineLevel="0" collapsed="false">
      <c r="B436" s="40" t="n">
        <v>427</v>
      </c>
      <c r="C436" s="9" t="s">
        <v>397</v>
      </c>
      <c r="D436" s="9" t="s">
        <v>813</v>
      </c>
      <c r="E436" s="13" t="n">
        <v>1380897</v>
      </c>
      <c r="F436" s="19" t="n">
        <f aca="false">DCF!$H$17</f>
        <v>1380896.71378861</v>
      </c>
      <c r="G436" s="37" t="n">
        <f aca="false">IFERROR(IF(ISNUMBER(F436),F436-E436,"n/a"),"n/a")</f>
        <v>-0.286211390746757</v>
      </c>
      <c r="H436" s="41" t="n">
        <v>0.500000001</v>
      </c>
      <c r="I436" s="39" t="str">
        <f aca="false">IFERROR(IF(ISNUMBER(F436),IF(ABS(F436-E436)&lt;=H436,"PASS","FAIL"),"FAIL"),"FAIL")</f>
        <v>PASS</v>
      </c>
    </row>
    <row r="437" customFormat="false" ht="15" hidden="false" customHeight="false" outlineLevel="0" collapsed="false">
      <c r="B437" s="40" t="n">
        <v>428</v>
      </c>
      <c r="C437" s="9" t="s">
        <v>397</v>
      </c>
      <c r="D437" s="9" t="s">
        <v>814</v>
      </c>
      <c r="E437" s="13" t="n">
        <v>1349913</v>
      </c>
      <c r="F437" s="19" t="n">
        <f aca="false">DCF!$H$20</f>
        <v>1349913.1645066</v>
      </c>
      <c r="G437" s="37" t="n">
        <f aca="false">IFERROR(IF(ISNUMBER(F437),F437-E437,"n/a"),"n/a")</f>
        <v>0.164506596513093</v>
      </c>
      <c r="H437" s="41" t="n">
        <v>0.500000001</v>
      </c>
      <c r="I437" s="39" t="str">
        <f aca="false">IFERROR(IF(ISNUMBER(F437),IF(ABS(F437-E437)&lt;=H437,"PASS","FAIL"),"FAIL"),"FAIL")</f>
        <v>PASS</v>
      </c>
    </row>
    <row r="438" customFormat="false" ht="15" hidden="false" customHeight="false" outlineLevel="0" collapsed="false">
      <c r="B438" s="40" t="n">
        <v>429</v>
      </c>
      <c r="C438" s="9" t="s">
        <v>397</v>
      </c>
      <c r="D438" s="9" t="s">
        <v>815</v>
      </c>
      <c r="E438" s="13" t="n">
        <v>527186</v>
      </c>
      <c r="F438" s="19" t="n">
        <f aca="false">DCF!$H$23</f>
        <v>527186.427517931</v>
      </c>
      <c r="G438" s="37" t="n">
        <f aca="false">IFERROR(IF(ISNUMBER(F438),F438-E438,"n/a"),"n/a")</f>
        <v>0.427517930977047</v>
      </c>
      <c r="H438" s="41" t="n">
        <v>0.500000001</v>
      </c>
      <c r="I438" s="39" t="str">
        <f aca="false">IFERROR(IF(ISNUMBER(F438),IF(ABS(F438-E438)&lt;=H438,"PASS","FAIL"),"FAIL"),"FAIL")</f>
        <v>PASS</v>
      </c>
    </row>
    <row r="439" customFormat="false" ht="15" hidden="false" customHeight="false" outlineLevel="0" collapsed="false">
      <c r="B439" s="40" t="n">
        <v>430</v>
      </c>
      <c r="C439" s="9" t="s">
        <v>397</v>
      </c>
      <c r="D439" s="9" t="s">
        <v>816</v>
      </c>
      <c r="E439" s="13" t="n">
        <v>822727</v>
      </c>
      <c r="F439" s="19" t="n">
        <f aca="false">DCF!$H$24</f>
        <v>822726.736988666</v>
      </c>
      <c r="G439" s="37" t="n">
        <f aca="false">IFERROR(IF(ISNUMBER(F439),F439-E439,"n/a"),"n/a")</f>
        <v>-0.263011334463954</v>
      </c>
      <c r="H439" s="41" t="n">
        <v>0.500000001</v>
      </c>
      <c r="I439" s="39" t="str">
        <f aca="false">IFERROR(IF(ISNUMBER(F439),IF(ABS(F439-E439)&lt;=H439,"PASS","FAIL"),"FAIL"),"FAIL")</f>
        <v>PASS</v>
      </c>
    </row>
    <row r="440" customFormat="false" ht="15" hidden="false" customHeight="false" outlineLevel="0" collapsed="false">
      <c r="B440" s="40" t="n">
        <v>431</v>
      </c>
      <c r="C440" s="9" t="s">
        <v>397</v>
      </c>
      <c r="D440" s="9" t="s">
        <v>817</v>
      </c>
      <c r="E440" s="13" t="n">
        <v>0</v>
      </c>
      <c r="F440" s="19" t="n">
        <f aca="false">DCF!$H$25</f>
        <v>0</v>
      </c>
      <c r="G440" s="37" t="n">
        <f aca="false">IFERROR(IF(ISNUMBER(F440),F440-E440,"n/a"),"n/a")</f>
        <v>0</v>
      </c>
      <c r="H440" s="41" t="n">
        <v>0.500000001</v>
      </c>
      <c r="I440" s="39" t="str">
        <f aca="false">IFERROR(IF(ISNUMBER(F440),IF(ABS(F440-E440)&lt;=H440,"PASS","FAIL"),"FAIL"),"FAIL")</f>
        <v>PASS</v>
      </c>
    </row>
    <row r="441" customFormat="false" ht="15" hidden="false" customHeight="false" outlineLevel="0" collapsed="false">
      <c r="B441" s="40" t="n">
        <v>432</v>
      </c>
      <c r="C441" s="9" t="s">
        <v>397</v>
      </c>
      <c r="D441" s="9" t="s">
        <v>818</v>
      </c>
      <c r="E441" s="13" t="n">
        <v>822727</v>
      </c>
      <c r="F441" s="19" t="n">
        <f aca="false">DCF!$H$26</f>
        <v>822726.736988666</v>
      </c>
      <c r="G441" s="37" t="n">
        <f aca="false">IFERROR(IF(ISNUMBER(F441),F441-E441,"n/a"),"n/a")</f>
        <v>-0.263011334463954</v>
      </c>
      <c r="H441" s="41" t="n">
        <v>0.500000001</v>
      </c>
      <c r="I441" s="39" t="str">
        <f aca="false">IFERROR(IF(ISNUMBER(F441),IF(ABS(F441-E441)&lt;=H441,"PASS","FAIL"),"FAIL"),"FAIL")</f>
        <v>PASS</v>
      </c>
    </row>
    <row r="442" customFormat="false" ht="15" hidden="false" customHeight="false" outlineLevel="0" collapsed="false">
      <c r="B442" s="40" t="n">
        <v>433</v>
      </c>
      <c r="C442" s="9" t="s">
        <v>397</v>
      </c>
      <c r="D442" s="9" t="s">
        <v>819</v>
      </c>
      <c r="E442" s="13" t="n">
        <v>1415419</v>
      </c>
      <c r="F442" s="19" t="n">
        <f aca="false">DCF!$I$17</f>
        <v>1415419.13163332</v>
      </c>
      <c r="G442" s="37" t="n">
        <f aca="false">IFERROR(IF(ISNUMBER(F442),F442-E442,"n/a"),"n/a")</f>
        <v>0.131633324315771</v>
      </c>
      <c r="H442" s="41" t="n">
        <v>0.500000001</v>
      </c>
      <c r="I442" s="39" t="str">
        <f aca="false">IFERROR(IF(ISNUMBER(F442),IF(ABS(F442-E442)&lt;=H442,"PASS","FAIL"),"FAIL"),"FAIL")</f>
        <v>PASS</v>
      </c>
    </row>
    <row r="443" customFormat="false" ht="15" hidden="false" customHeight="false" outlineLevel="0" collapsed="false">
      <c r="B443" s="40" t="n">
        <v>434</v>
      </c>
      <c r="C443" s="9" t="s">
        <v>397</v>
      </c>
      <c r="D443" s="9" t="s">
        <v>820</v>
      </c>
      <c r="E443" s="13" t="n">
        <v>1383851</v>
      </c>
      <c r="F443" s="19" t="n">
        <f aca="false">DCF!$I$20</f>
        <v>1383851.3000513</v>
      </c>
      <c r="G443" s="37" t="n">
        <f aca="false">IFERROR(IF(ISNUMBER(F443),F443-E443,"n/a"),"n/a")</f>
        <v>0.300051298225299</v>
      </c>
      <c r="H443" s="41" t="n">
        <v>0.500000001</v>
      </c>
      <c r="I443" s="39" t="str">
        <f aca="false">IFERROR(IF(ISNUMBER(F443),IF(ABS(F443-E443)&lt;=H443,"PASS","FAIL"),"FAIL"),"FAIL")</f>
        <v>PASS</v>
      </c>
    </row>
    <row r="444" customFormat="false" ht="15" hidden="false" customHeight="false" outlineLevel="0" collapsed="false">
      <c r="B444" s="40" t="n">
        <v>435</v>
      </c>
      <c r="C444" s="9" t="s">
        <v>397</v>
      </c>
      <c r="D444" s="9" t="s">
        <v>821</v>
      </c>
      <c r="E444" s="13" t="n">
        <v>542772</v>
      </c>
      <c r="F444" s="19" t="n">
        <f aca="false">DCF!$I$23</f>
        <v>542772.446264802</v>
      </c>
      <c r="G444" s="37" t="n">
        <f aca="false">IFERROR(IF(ISNUMBER(F444),F444-E444,"n/a"),"n/a")</f>
        <v>0.446264801546931</v>
      </c>
      <c r="H444" s="41" t="n">
        <v>0.500000001</v>
      </c>
      <c r="I444" s="39" t="str">
        <f aca="false">IFERROR(IF(ISNUMBER(F444),IF(ABS(F444-E444)&lt;=H444,"PASS","FAIL"),"FAIL"),"FAIL")</f>
        <v>PASS</v>
      </c>
    </row>
    <row r="445" customFormat="false" ht="15" hidden="false" customHeight="false" outlineLevel="0" collapsed="false">
      <c r="B445" s="40" t="n">
        <v>436</v>
      </c>
      <c r="C445" s="9" t="s">
        <v>397</v>
      </c>
      <c r="D445" s="9" t="s">
        <v>822</v>
      </c>
      <c r="E445" s="13" t="n">
        <v>841079</v>
      </c>
      <c r="F445" s="19" t="n">
        <f aca="false">DCF!$I$24</f>
        <v>841078.853786497</v>
      </c>
      <c r="G445" s="37" t="n">
        <f aca="false">IFERROR(IF(ISNUMBER(F445),F445-E445,"n/a"),"n/a")</f>
        <v>-0.146213503321633</v>
      </c>
      <c r="H445" s="41" t="n">
        <v>0.500000001</v>
      </c>
      <c r="I445" s="39" t="str">
        <f aca="false">IFERROR(IF(ISNUMBER(F445),IF(ABS(F445-E445)&lt;=H445,"PASS","FAIL"),"FAIL"),"FAIL")</f>
        <v>PASS</v>
      </c>
    </row>
    <row r="446" customFormat="false" ht="15" hidden="false" customHeight="false" outlineLevel="0" collapsed="false">
      <c r="B446" s="40" t="n">
        <v>437</v>
      </c>
      <c r="C446" s="9" t="s">
        <v>397</v>
      </c>
      <c r="D446" s="9" t="s">
        <v>823</v>
      </c>
      <c r="E446" s="13" t="n">
        <v>0</v>
      </c>
      <c r="F446" s="19" t="n">
        <f aca="false">DCF!$I$25</f>
        <v>0</v>
      </c>
      <c r="G446" s="37" t="n">
        <f aca="false">IFERROR(IF(ISNUMBER(F446),F446-E446,"n/a"),"n/a")</f>
        <v>0</v>
      </c>
      <c r="H446" s="41" t="n">
        <v>0.500000001</v>
      </c>
      <c r="I446" s="39" t="str">
        <f aca="false">IFERROR(IF(ISNUMBER(F446),IF(ABS(F446-E446)&lt;=H446,"PASS","FAIL"),"FAIL"),"FAIL")</f>
        <v>PASS</v>
      </c>
    </row>
    <row r="447" customFormat="false" ht="15" hidden="false" customHeight="false" outlineLevel="0" collapsed="false">
      <c r="B447" s="40" t="n">
        <v>438</v>
      </c>
      <c r="C447" s="9" t="s">
        <v>397</v>
      </c>
      <c r="D447" s="9" t="s">
        <v>824</v>
      </c>
      <c r="E447" s="13" t="n">
        <v>841079</v>
      </c>
      <c r="F447" s="19" t="n">
        <f aca="false">DCF!$I$26</f>
        <v>841078.853786497</v>
      </c>
      <c r="G447" s="37" t="n">
        <f aca="false">IFERROR(IF(ISNUMBER(F447),F447-E447,"n/a"),"n/a")</f>
        <v>-0.146213503321633</v>
      </c>
      <c r="H447" s="41" t="n">
        <v>0.500000001</v>
      </c>
      <c r="I447" s="39" t="str">
        <f aca="false">IFERROR(IF(ISNUMBER(F447),IF(ABS(F447-E447)&lt;=H447,"PASS","FAIL"),"FAIL"),"FAIL")</f>
        <v>PASS</v>
      </c>
    </row>
    <row r="448" customFormat="false" ht="15" hidden="false" customHeight="false" outlineLevel="0" collapsed="false">
      <c r="B448" s="40" t="n">
        <v>439</v>
      </c>
      <c r="C448" s="9" t="s">
        <v>397</v>
      </c>
      <c r="D448" s="9" t="s">
        <v>825</v>
      </c>
      <c r="E448" s="13" t="n">
        <v>1450805</v>
      </c>
      <c r="F448" s="19" t="n">
        <f aca="false">DCF!$J$17</f>
        <v>1450804.60992416</v>
      </c>
      <c r="G448" s="37" t="n">
        <f aca="false">IFERROR(IF(ISNUMBER(F448),F448-E448,"n/a"),"n/a")</f>
        <v>-0.39007584261708</v>
      </c>
      <c r="H448" s="41" t="n">
        <v>0.500000001</v>
      </c>
      <c r="I448" s="39" t="str">
        <f aca="false">IFERROR(IF(ISNUMBER(F448),IF(ABS(F448-E448)&lt;=H448,"PASS","FAIL"),"FAIL"),"FAIL")</f>
        <v>PASS</v>
      </c>
    </row>
    <row r="449" customFormat="false" ht="15" hidden="false" customHeight="false" outlineLevel="0" collapsed="false">
      <c r="B449" s="40" t="n">
        <v>440</v>
      </c>
      <c r="C449" s="9" t="s">
        <v>397</v>
      </c>
      <c r="D449" s="9" t="s">
        <v>826</v>
      </c>
      <c r="E449" s="13" t="n">
        <v>1418644</v>
      </c>
      <c r="F449" s="19" t="n">
        <f aca="false">DCF!$J$20</f>
        <v>1418643.59817758</v>
      </c>
      <c r="G449" s="37" t="n">
        <f aca="false">IFERROR(IF(ISNUMBER(F449),F449-E449,"n/a"),"n/a")</f>
        <v>-0.401822421234101</v>
      </c>
      <c r="H449" s="41" t="n">
        <v>0.500000001</v>
      </c>
      <c r="I449" s="39" t="str">
        <f aca="false">IFERROR(IF(ISNUMBER(F449),IF(ABS(F449-E449)&lt;=H449,"PASS","FAIL"),"FAIL"),"FAIL")</f>
        <v>PASS</v>
      </c>
    </row>
    <row r="450" customFormat="false" ht="15" hidden="false" customHeight="false" outlineLevel="0" collapsed="false">
      <c r="B450" s="40" t="n">
        <v>441</v>
      </c>
      <c r="C450" s="9" t="s">
        <v>397</v>
      </c>
      <c r="D450" s="9" t="s">
        <v>827</v>
      </c>
      <c r="E450" s="13" t="n">
        <v>558820</v>
      </c>
      <c r="F450" s="19" t="n">
        <f aca="false">DCF!$J$23</f>
        <v>558820.306222112</v>
      </c>
      <c r="G450" s="37" t="n">
        <f aca="false">IFERROR(IF(ISNUMBER(F450),F450-E450,"n/a"),"n/a")</f>
        <v>0.306222111568786</v>
      </c>
      <c r="H450" s="41" t="n">
        <v>0.500000001</v>
      </c>
      <c r="I450" s="39" t="str">
        <f aca="false">IFERROR(IF(ISNUMBER(F450),IF(ABS(F450-E450)&lt;=H450,"PASS","FAIL"),"FAIL"),"FAIL")</f>
        <v>PASS</v>
      </c>
    </row>
    <row r="451" customFormat="false" ht="15" hidden="false" customHeight="false" outlineLevel="0" collapsed="false">
      <c r="B451" s="40" t="n">
        <v>442</v>
      </c>
      <c r="C451" s="9" t="s">
        <v>397</v>
      </c>
      <c r="D451" s="9" t="s">
        <v>828</v>
      </c>
      <c r="E451" s="13" t="n">
        <v>859823</v>
      </c>
      <c r="F451" s="19" t="n">
        <f aca="false">DCF!$J$24</f>
        <v>859823.291955467</v>
      </c>
      <c r="G451" s="37" t="n">
        <f aca="false">IFERROR(IF(ISNUMBER(F451),F451-E451,"n/a"),"n/a")</f>
        <v>0.291955467197113</v>
      </c>
      <c r="H451" s="41" t="n">
        <v>0.500000001</v>
      </c>
      <c r="I451" s="39" t="str">
        <f aca="false">IFERROR(IF(ISNUMBER(F451),IF(ABS(F451-E451)&lt;=H451,"PASS","FAIL"),"FAIL"),"FAIL")</f>
        <v>PASS</v>
      </c>
    </row>
    <row r="452" customFormat="false" ht="15" hidden="false" customHeight="false" outlineLevel="0" collapsed="false">
      <c r="B452" s="40" t="n">
        <v>443</v>
      </c>
      <c r="C452" s="9" t="s">
        <v>397</v>
      </c>
      <c r="D452" s="9" t="s">
        <v>829</v>
      </c>
      <c r="E452" s="13" t="n">
        <v>0</v>
      </c>
      <c r="F452" s="19" t="n">
        <f aca="false">DCF!$J$25</f>
        <v>0</v>
      </c>
      <c r="G452" s="37" t="n">
        <f aca="false">IFERROR(IF(ISNUMBER(F452),F452-E452,"n/a"),"n/a")</f>
        <v>0</v>
      </c>
      <c r="H452" s="41" t="n">
        <v>0.500000001</v>
      </c>
      <c r="I452" s="39" t="str">
        <f aca="false">IFERROR(IF(ISNUMBER(F452),IF(ABS(F452-E452)&lt;=H452,"PASS","FAIL"),"FAIL"),"FAIL")</f>
        <v>PASS</v>
      </c>
    </row>
    <row r="453" customFormat="false" ht="15" hidden="false" customHeight="false" outlineLevel="0" collapsed="false">
      <c r="B453" s="40" t="n">
        <v>444</v>
      </c>
      <c r="C453" s="9" t="s">
        <v>397</v>
      </c>
      <c r="D453" s="9" t="s">
        <v>830</v>
      </c>
      <c r="E453" s="13" t="n">
        <v>859823</v>
      </c>
      <c r="F453" s="19" t="n">
        <f aca="false">DCF!$J$26</f>
        <v>859823.291955467</v>
      </c>
      <c r="G453" s="37" t="n">
        <f aca="false">IFERROR(IF(ISNUMBER(F453),F453-E453,"n/a"),"n/a")</f>
        <v>0.291955467197113</v>
      </c>
      <c r="H453" s="41" t="n">
        <v>0.500000001</v>
      </c>
      <c r="I453" s="39" t="str">
        <f aca="false">IFERROR(IF(ISNUMBER(F453),IF(ABS(F453-E453)&lt;=H453,"PASS","FAIL"),"FAIL"),"FAIL")</f>
        <v>PASS</v>
      </c>
    </row>
    <row r="454" customFormat="false" ht="15" hidden="false" customHeight="false" outlineLevel="0" collapsed="false">
      <c r="B454" s="40" t="n">
        <v>445</v>
      </c>
      <c r="C454" s="9" t="s">
        <v>397</v>
      </c>
      <c r="D454" s="9" t="s">
        <v>831</v>
      </c>
      <c r="E454" s="13" t="n">
        <v>1487075</v>
      </c>
      <c r="F454" s="19" t="n">
        <f aca="false">DCF!$K$17</f>
        <v>1487074.72517226</v>
      </c>
      <c r="G454" s="37" t="n">
        <f aca="false">IFERROR(IF(ISNUMBER(F454),F454-E454,"n/a"),"n/a")</f>
        <v>-0.274827738758177</v>
      </c>
      <c r="H454" s="41" t="n">
        <v>0.500000001</v>
      </c>
      <c r="I454" s="39" t="str">
        <f aca="false">IFERROR(IF(ISNUMBER(F454),IF(ABS(F454-E454)&lt;=H454,"PASS","FAIL"),"FAIL"),"FAIL")</f>
        <v>PASS</v>
      </c>
    </row>
    <row r="455" customFormat="false" ht="15" hidden="false" customHeight="false" outlineLevel="0" collapsed="false">
      <c r="B455" s="40" t="n">
        <v>446</v>
      </c>
      <c r="C455" s="9" t="s">
        <v>397</v>
      </c>
      <c r="D455" s="9" t="s">
        <v>832</v>
      </c>
      <c r="E455" s="13" t="n">
        <v>1454312</v>
      </c>
      <c r="F455" s="19" t="n">
        <f aca="false">DCF!$K$20</f>
        <v>1454311.58422577</v>
      </c>
      <c r="G455" s="37" t="n">
        <f aca="false">IFERROR(IF(ISNUMBER(F455),F455-E455,"n/a"),"n/a")</f>
        <v>-0.41577423340641</v>
      </c>
      <c r="H455" s="41" t="n">
        <v>0.500000001</v>
      </c>
      <c r="I455" s="39" t="str">
        <f aca="false">IFERROR(IF(ISNUMBER(F455),IF(ABS(F455-E455)&lt;=H455,"PASS","FAIL"),"FAIL"),"FAIL")</f>
        <v>PASS</v>
      </c>
    </row>
    <row r="456" customFormat="false" ht="15" hidden="false" customHeight="false" outlineLevel="0" collapsed="false">
      <c r="B456" s="40" t="n">
        <v>447</v>
      </c>
      <c r="C456" s="9" t="s">
        <v>397</v>
      </c>
      <c r="D456" s="9" t="s">
        <v>833</v>
      </c>
      <c r="E456" s="13" t="n">
        <v>575344</v>
      </c>
      <c r="F456" s="19" t="n">
        <f aca="false">DCF!$K$23</f>
        <v>575343.719142375</v>
      </c>
      <c r="G456" s="37" t="n">
        <f aca="false">IFERROR(IF(ISNUMBER(F456),F456-E456,"n/a"),"n/a")</f>
        <v>-0.28085762495175</v>
      </c>
      <c r="H456" s="41" t="n">
        <v>0.500000001</v>
      </c>
      <c r="I456" s="39" t="str">
        <f aca="false">IFERROR(IF(ISNUMBER(F456),IF(ABS(F456-E456)&lt;=H456,"PASS","FAIL"),"FAIL"),"FAIL")</f>
        <v>PASS</v>
      </c>
    </row>
    <row r="457" customFormat="false" ht="15" hidden="false" customHeight="false" outlineLevel="0" collapsed="false">
      <c r="B457" s="40" t="n">
        <v>448</v>
      </c>
      <c r="C457" s="9" t="s">
        <v>397</v>
      </c>
      <c r="D457" s="9" t="s">
        <v>834</v>
      </c>
      <c r="E457" s="13" t="n">
        <v>878968</v>
      </c>
      <c r="F457" s="19" t="n">
        <f aca="false">DCF!$K$24</f>
        <v>878967.865083392</v>
      </c>
      <c r="G457" s="37" t="n">
        <f aca="false">IFERROR(IF(ISNUMBER(F457),F457-E457,"n/a"),"n/a")</f>
        <v>-0.13491660845466</v>
      </c>
      <c r="H457" s="41" t="n">
        <v>0.500000001</v>
      </c>
      <c r="I457" s="39" t="str">
        <f aca="false">IFERROR(IF(ISNUMBER(F457),IF(ABS(F457-E457)&lt;=H457,"PASS","FAIL"),"FAIL"),"FAIL")</f>
        <v>PASS</v>
      </c>
    </row>
    <row r="458" customFormat="false" ht="15" hidden="false" customHeight="false" outlineLevel="0" collapsed="false">
      <c r="B458" s="40" t="n">
        <v>449</v>
      </c>
      <c r="C458" s="9" t="s">
        <v>397</v>
      </c>
      <c r="D458" s="9" t="s">
        <v>835</v>
      </c>
      <c r="E458" s="13" t="n">
        <v>0</v>
      </c>
      <c r="F458" s="19" t="n">
        <f aca="false">DCF!$K$25</f>
        <v>0</v>
      </c>
      <c r="G458" s="37" t="n">
        <f aca="false">IFERROR(IF(ISNUMBER(F458),F458-E458,"n/a"),"n/a")</f>
        <v>0</v>
      </c>
      <c r="H458" s="41" t="n">
        <v>0.500000001</v>
      </c>
      <c r="I458" s="39" t="str">
        <f aca="false">IFERROR(IF(ISNUMBER(F458),IF(ABS(F458-E458)&lt;=H458,"PASS","FAIL"),"FAIL"),"FAIL")</f>
        <v>PASS</v>
      </c>
    </row>
    <row r="459" customFormat="false" ht="15" hidden="false" customHeight="false" outlineLevel="0" collapsed="false">
      <c r="B459" s="40" t="n">
        <v>450</v>
      </c>
      <c r="C459" s="9" t="s">
        <v>397</v>
      </c>
      <c r="D459" s="9" t="s">
        <v>836</v>
      </c>
      <c r="E459" s="13" t="n">
        <v>878968</v>
      </c>
      <c r="F459" s="19" t="n">
        <f aca="false">DCF!$K$26</f>
        <v>878967.865083392</v>
      </c>
      <c r="G459" s="37" t="n">
        <f aca="false">IFERROR(IF(ISNUMBER(F459),F459-E459,"n/a"),"n/a")</f>
        <v>-0.13491660845466</v>
      </c>
      <c r="H459" s="41" t="n">
        <v>0.500000001</v>
      </c>
      <c r="I459" s="39" t="str">
        <f aca="false">IFERROR(IF(ISNUMBER(F459),IF(ABS(F459-E459)&lt;=H459,"PASS","FAIL"),"FAIL"),"FAIL")</f>
        <v>PASS</v>
      </c>
    </row>
    <row r="460" customFormat="false" ht="15" hidden="false" customHeight="false" outlineLevel="0" collapsed="false">
      <c r="B460" s="40" t="n">
        <v>451</v>
      </c>
      <c r="C460" s="9" t="s">
        <v>397</v>
      </c>
      <c r="D460" s="9" t="s">
        <v>837</v>
      </c>
      <c r="E460" s="13" t="n">
        <v>1524252</v>
      </c>
      <c r="F460" s="19" t="n">
        <f aca="false">DCF!$L$17</f>
        <v>1524251.59330157</v>
      </c>
      <c r="G460" s="37" t="n">
        <f aca="false">IFERROR(IF(ISNUMBER(F460),F460-E460,"n/a"),"n/a")</f>
        <v>-0.406698432285339</v>
      </c>
      <c r="H460" s="41" t="n">
        <v>0.500000001</v>
      </c>
      <c r="I460" s="39" t="str">
        <f aca="false">IFERROR(IF(ISNUMBER(F460),IF(ABS(F460-E460)&lt;=H460,"PASS","FAIL"),"FAIL"),"FAIL")</f>
        <v>PASS</v>
      </c>
    </row>
    <row r="461" customFormat="false" ht="15" hidden="false" customHeight="false" outlineLevel="0" collapsed="false">
      <c r="B461" s="40" t="n">
        <v>452</v>
      </c>
      <c r="C461" s="9" t="s">
        <v>397</v>
      </c>
      <c r="D461" s="9" t="s">
        <v>838</v>
      </c>
      <c r="E461" s="13" t="n">
        <v>1490877</v>
      </c>
      <c r="F461" s="19" t="n">
        <f aca="false">DCF!$L$20</f>
        <v>1490877.32680797</v>
      </c>
      <c r="G461" s="37" t="n">
        <f aca="false">IFERROR(IF(ISNUMBER(F461),F461-E461,"n/a"),"n/a")</f>
        <v>0.32680797111243</v>
      </c>
      <c r="H461" s="41" t="n">
        <v>0.500000001</v>
      </c>
      <c r="I461" s="39" t="str">
        <f aca="false">IFERROR(IF(ISNUMBER(F461),IF(ABS(F461-E461)&lt;=H461,"PASS","FAIL"),"FAIL"),"FAIL")</f>
        <v>PASS</v>
      </c>
    </row>
    <row r="462" customFormat="false" ht="15" hidden="false" customHeight="false" outlineLevel="0" collapsed="false">
      <c r="B462" s="40" t="n">
        <v>453</v>
      </c>
      <c r="C462" s="9" t="s">
        <v>397</v>
      </c>
      <c r="D462" s="9" t="s">
        <v>839</v>
      </c>
      <c r="E462" s="13" t="n">
        <v>592357</v>
      </c>
      <c r="F462" s="19" t="n">
        <f aca="false">DCF!$L$23</f>
        <v>592356.804543586</v>
      </c>
      <c r="G462" s="37" t="n">
        <f aca="false">IFERROR(IF(ISNUMBER(F462),F462-E462,"n/a"),"n/a")</f>
        <v>-0.195456413552165</v>
      </c>
      <c r="H462" s="41" t="n">
        <v>0.500000001</v>
      </c>
      <c r="I462" s="39" t="str">
        <f aca="false">IFERROR(IF(ISNUMBER(F462),IF(ABS(F462-E462)&lt;=H462,"PASS","FAIL"),"FAIL"),"FAIL")</f>
        <v>PASS</v>
      </c>
    </row>
    <row r="463" customFormat="false" ht="15" hidden="false" customHeight="false" outlineLevel="0" collapsed="false">
      <c r="B463" s="40" t="n">
        <v>454</v>
      </c>
      <c r="C463" s="9" t="s">
        <v>397</v>
      </c>
      <c r="D463" s="9" t="s">
        <v>840</v>
      </c>
      <c r="E463" s="13" t="n">
        <v>898521</v>
      </c>
      <c r="F463" s="19" t="n">
        <f aca="false">DCF!$L$24</f>
        <v>898520.522264385</v>
      </c>
      <c r="G463" s="37" t="n">
        <f aca="false">IFERROR(IF(ISNUMBER(F463),F463-E463,"n/a"),"n/a")</f>
        <v>-0.477735615335405</v>
      </c>
      <c r="H463" s="41" t="n">
        <v>0.500000001</v>
      </c>
      <c r="I463" s="39" t="str">
        <f aca="false">IFERROR(IF(ISNUMBER(F463),IF(ABS(F463-E463)&lt;=H463,"PASS","FAIL"),"FAIL"),"FAIL")</f>
        <v>PASS</v>
      </c>
    </row>
    <row r="464" customFormat="false" ht="15" hidden="false" customHeight="false" outlineLevel="0" collapsed="false">
      <c r="B464" s="40" t="n">
        <v>455</v>
      </c>
      <c r="C464" s="9" t="s">
        <v>397</v>
      </c>
      <c r="D464" s="9" t="s">
        <v>841</v>
      </c>
      <c r="E464" s="13" t="n">
        <v>0</v>
      </c>
      <c r="F464" s="19" t="n">
        <f aca="false">DCF!$L$25</f>
        <v>0</v>
      </c>
      <c r="G464" s="37" t="n">
        <f aca="false">IFERROR(IF(ISNUMBER(F464),F464-E464,"n/a"),"n/a")</f>
        <v>0</v>
      </c>
      <c r="H464" s="41" t="n">
        <v>0.500000001</v>
      </c>
      <c r="I464" s="39" t="str">
        <f aca="false">IFERROR(IF(ISNUMBER(F464),IF(ABS(F464-E464)&lt;=H464,"PASS","FAIL"),"FAIL"),"FAIL")</f>
        <v>PASS</v>
      </c>
    </row>
    <row r="465" customFormat="false" ht="15" hidden="false" customHeight="false" outlineLevel="0" collapsed="false">
      <c r="B465" s="40" t="n">
        <v>456</v>
      </c>
      <c r="C465" s="9" t="s">
        <v>397</v>
      </c>
      <c r="D465" s="9" t="s">
        <v>842</v>
      </c>
      <c r="E465" s="13" t="n">
        <v>898521</v>
      </c>
      <c r="F465" s="19" t="n">
        <f aca="false">DCF!$L$26</f>
        <v>898520.522264385</v>
      </c>
      <c r="G465" s="37" t="n">
        <f aca="false">IFERROR(IF(ISNUMBER(F465),F465-E465,"n/a"),"n/a")</f>
        <v>-0.477735615335405</v>
      </c>
      <c r="H465" s="41" t="n">
        <v>0.500000001</v>
      </c>
      <c r="I465" s="39" t="str">
        <f aca="false">IFERROR(IF(ISNUMBER(F465),IF(ABS(F465-E465)&lt;=H465,"PASS","FAIL"),"FAIL"),"FAIL")</f>
        <v>PASS</v>
      </c>
    </row>
    <row r="466" customFormat="false" ht="15" hidden="false" customHeight="false" outlineLevel="0" collapsed="false">
      <c r="B466" s="40" t="n">
        <v>457</v>
      </c>
      <c r="C466" s="9" t="s">
        <v>397</v>
      </c>
      <c r="D466" s="9" t="s">
        <v>843</v>
      </c>
      <c r="E466" s="13" t="n">
        <v>1562358</v>
      </c>
      <c r="F466" s="19" t="n">
        <f aca="false">DCF!$M$17</f>
        <v>1562357.88313411</v>
      </c>
      <c r="G466" s="37" t="n">
        <f aca="false">IFERROR(IF(ISNUMBER(F466),F466-E466,"n/a"),"n/a")</f>
        <v>-0.116865893127397</v>
      </c>
      <c r="H466" s="41" t="n">
        <v>0.500000001</v>
      </c>
      <c r="I466" s="39" t="str">
        <f aca="false">IFERROR(IF(ISNUMBER(F466),IF(ABS(F466-E466)&lt;=H466,"PASS","FAIL"),"FAIL"),"FAIL")</f>
        <v>PASS</v>
      </c>
    </row>
    <row r="467" customFormat="false" ht="15" hidden="false" customHeight="false" outlineLevel="0" collapsed="false">
      <c r="B467" s="40" t="n">
        <v>458</v>
      </c>
      <c r="C467" s="9" t="s">
        <v>397</v>
      </c>
      <c r="D467" s="9" t="s">
        <v>844</v>
      </c>
      <c r="E467" s="13" t="n">
        <v>1528363</v>
      </c>
      <c r="F467" s="19" t="n">
        <f aca="false">DCF!$M$20</f>
        <v>1528363.45154403</v>
      </c>
      <c r="G467" s="37" t="n">
        <f aca="false">IFERROR(IF(ISNUMBER(F467),F467-E467,"n/a"),"n/a")</f>
        <v>0.451544027775526</v>
      </c>
      <c r="H467" s="41" t="n">
        <v>0.500000001</v>
      </c>
      <c r="I467" s="39" t="str">
        <f aca="false">IFERROR(IF(ISNUMBER(F467),IF(ABS(F467-E467)&lt;=H467,"PASS","FAIL"),"FAIL"),"FAIL")</f>
        <v>PASS</v>
      </c>
    </row>
    <row r="468" customFormat="false" ht="15" hidden="false" customHeight="false" outlineLevel="0" collapsed="false">
      <c r="B468" s="40" t="n">
        <v>459</v>
      </c>
      <c r="C468" s="9" t="s">
        <v>397</v>
      </c>
      <c r="D468" s="9" t="s">
        <v>845</v>
      </c>
      <c r="E468" s="13" t="n">
        <v>609874</v>
      </c>
      <c r="F468" s="19" t="n">
        <f aca="false">DCF!$M$23</f>
        <v>609874.101852508</v>
      </c>
      <c r="G468" s="37" t="n">
        <f aca="false">IFERROR(IF(ISNUMBER(F468),F468-E468,"n/a"),"n/a")</f>
        <v>0.101852507679723</v>
      </c>
      <c r="H468" s="41" t="n">
        <v>0.500000001</v>
      </c>
      <c r="I468" s="39" t="str">
        <f aca="false">IFERROR(IF(ISNUMBER(F468),IF(ABS(F468-E468)&lt;=H468,"PASS","FAIL"),"FAIL"),"FAIL")</f>
        <v>PASS</v>
      </c>
    </row>
    <row r="469" customFormat="false" ht="15" hidden="false" customHeight="false" outlineLevel="0" collapsed="false">
      <c r="B469" s="40" t="n">
        <v>460</v>
      </c>
      <c r="C469" s="9" t="s">
        <v>397</v>
      </c>
      <c r="D469" s="9" t="s">
        <v>846</v>
      </c>
      <c r="E469" s="13" t="n">
        <v>918489</v>
      </c>
      <c r="F469" s="19" t="n">
        <f aca="false">DCF!$M$24</f>
        <v>918489.34969152</v>
      </c>
      <c r="G469" s="37" t="n">
        <f aca="false">IFERROR(IF(ISNUMBER(F469),F469-E469,"n/a"),"n/a")</f>
        <v>0.349691520095803</v>
      </c>
      <c r="H469" s="41" t="n">
        <v>0.500000001</v>
      </c>
      <c r="I469" s="39" t="str">
        <f aca="false">IFERROR(IF(ISNUMBER(F469),IF(ABS(F469-E469)&lt;=H469,"PASS","FAIL"),"FAIL"),"FAIL")</f>
        <v>PASS</v>
      </c>
    </row>
    <row r="470" customFormat="false" ht="15" hidden="false" customHeight="false" outlineLevel="0" collapsed="false">
      <c r="B470" s="40" t="n">
        <v>461</v>
      </c>
      <c r="C470" s="9" t="s">
        <v>397</v>
      </c>
      <c r="D470" s="9" t="s">
        <v>847</v>
      </c>
      <c r="E470" s="13" t="n">
        <v>14695830</v>
      </c>
      <c r="F470" s="19" t="n">
        <f aca="false">DCF!$C$31</f>
        <v>14695829.5950643</v>
      </c>
      <c r="G470" s="37" t="n">
        <f aca="false">IFERROR(IF(ISNUMBER(F470),F470-E470,"n/a"),"n/a")</f>
        <v>-0.404935678467155</v>
      </c>
      <c r="H470" s="41" t="n">
        <v>0.500000001</v>
      </c>
      <c r="I470" s="39" t="str">
        <f aca="false">IFERROR(IF(ISNUMBER(F470),IF(ABS(F470-E470)&lt;=H470,"PASS","FAIL"),"FAIL"),"FAIL")</f>
        <v>PASS</v>
      </c>
    </row>
    <row r="471" customFormat="false" ht="15" hidden="false" customHeight="false" outlineLevel="0" collapsed="false">
      <c r="B471" s="40" t="n">
        <v>462</v>
      </c>
      <c r="C471" s="9" t="s">
        <v>397</v>
      </c>
      <c r="D471" s="9" t="s">
        <v>848</v>
      </c>
      <c r="E471" s="13" t="n">
        <v>293917</v>
      </c>
      <c r="F471" s="19" t="n">
        <f aca="false">DCF!$C$32</f>
        <v>293916.591901286</v>
      </c>
      <c r="G471" s="37" t="n">
        <f aca="false">IFERROR(IF(ISNUMBER(F471),F471-E471,"n/a"),"n/a")</f>
        <v>-0.408098713553045</v>
      </c>
      <c r="H471" s="41" t="n">
        <v>0.500000001</v>
      </c>
      <c r="I471" s="39" t="str">
        <f aca="false">IFERROR(IF(ISNUMBER(F471),IF(ABS(F471-E471)&lt;=H471,"PASS","FAIL"),"FAIL"),"FAIL")</f>
        <v>PASS</v>
      </c>
    </row>
    <row r="472" customFormat="false" ht="15" hidden="false" customHeight="false" outlineLevel="0" collapsed="false">
      <c r="B472" s="40" t="n">
        <v>463</v>
      </c>
      <c r="C472" s="9" t="s">
        <v>397</v>
      </c>
      <c r="D472" s="9" t="s">
        <v>849</v>
      </c>
      <c r="E472" s="13" t="n">
        <v>14401913</v>
      </c>
      <c r="F472" s="19" t="n">
        <f aca="false">DCF!$C$33</f>
        <v>14401913.003163</v>
      </c>
      <c r="G472" s="37" t="n">
        <f aca="false">IFERROR(IF(ISNUMBER(F472),F472-E472,"n/a"),"n/a")</f>
        <v>0.00316303595900536</v>
      </c>
      <c r="H472" s="41" t="n">
        <v>0.500000001</v>
      </c>
      <c r="I472" s="39" t="str">
        <f aca="false">IFERROR(IF(ISNUMBER(F472),IF(ABS(F472-E472)&lt;=H472,"PASS","FAIL"),"FAIL"),"FAIL")</f>
        <v>PASS</v>
      </c>
    </row>
    <row r="473" customFormat="false" ht="15" hidden="false" customHeight="false" outlineLevel="0" collapsed="false">
      <c r="B473" s="40" t="n">
        <v>464</v>
      </c>
      <c r="C473" s="9" t="s">
        <v>397</v>
      </c>
      <c r="D473" s="9" t="s">
        <v>850</v>
      </c>
      <c r="E473" s="13" t="n">
        <v>6827275</v>
      </c>
      <c r="F473" s="19" t="n">
        <f aca="false">DCF!$C$34</f>
        <v>6827274.97529613</v>
      </c>
      <c r="G473" s="37" t="n">
        <f aca="false">IFERROR(IF(ISNUMBER(F473),F473-E473,"n/a"),"n/a")</f>
        <v>-0.0247038686648011</v>
      </c>
      <c r="H473" s="41" t="n">
        <v>0.500000001</v>
      </c>
      <c r="I473" s="39" t="str">
        <f aca="false">IFERROR(IF(ISNUMBER(F473),IF(ABS(F473-E473)&lt;=H473,"PASS","FAIL"),"FAIL"),"FAIL")</f>
        <v>PASS</v>
      </c>
    </row>
    <row r="474" customFormat="false" ht="15" hidden="false" customHeight="false" outlineLevel="0" collapsed="false">
      <c r="B474" s="40" t="n">
        <v>465</v>
      </c>
      <c r="C474" s="9" t="s">
        <v>397</v>
      </c>
      <c r="D474" s="9" t="s">
        <v>851</v>
      </c>
      <c r="E474" s="13" t="n">
        <v>5193808</v>
      </c>
      <c r="F474" s="19" t="n">
        <f aca="false">DCF!$C$35</f>
        <v>5193807.67716763</v>
      </c>
      <c r="G474" s="37" t="n">
        <f aca="false">IFERROR(IF(ISNUMBER(F474),F474-E474,"n/a"),"n/a")</f>
        <v>-0.322832373902202</v>
      </c>
      <c r="H474" s="41" t="n">
        <v>0.500000001</v>
      </c>
      <c r="I474" s="39" t="str">
        <f aca="false">IFERROR(IF(ISNUMBER(F474),IF(ABS(F474-E474)&lt;=H474,"PASS","FAIL"),"FAIL"),"FAIL")</f>
        <v>PASS</v>
      </c>
    </row>
    <row r="475" customFormat="false" ht="15" hidden="false" customHeight="false" outlineLevel="0" collapsed="false">
      <c r="B475" s="40" t="n">
        <v>466</v>
      </c>
      <c r="C475" s="9" t="s">
        <v>397</v>
      </c>
      <c r="D475" s="9" t="s">
        <v>852</v>
      </c>
      <c r="E475" s="29" t="n">
        <v>0.568</v>
      </c>
      <c r="F475" s="36" t="n">
        <f aca="false">DCF!$C$37</f>
        <v>0.567941771359243</v>
      </c>
      <c r="G475" s="37" t="n">
        <f aca="false">IFERROR(IF(ISNUMBER(F475),F475-E475,"n/a"),"n/a")</f>
        <v>-5.82286407571075E-005</v>
      </c>
      <c r="H475" s="41" t="n">
        <v>0.000500001</v>
      </c>
      <c r="I475" s="39" t="str">
        <f aca="false">IFERROR(IF(ISNUMBER(F475),IF(ABS(F475-E475)&lt;=H475,"PASS","FAIL"),"FAIL"),"FAIL")</f>
        <v>PASS</v>
      </c>
    </row>
    <row r="476" customFormat="false" ht="15" hidden="false" customHeight="false" outlineLevel="0" collapsed="false">
      <c r="B476" s="40" t="n">
        <v>467</v>
      </c>
      <c r="C476" s="9" t="s">
        <v>397</v>
      </c>
      <c r="D476" s="9" t="s">
        <v>853</v>
      </c>
      <c r="E476" s="31" t="n">
        <v>0.0569</v>
      </c>
      <c r="F476" s="47" t="n">
        <f aca="false">DCF!$C$38</f>
        <v>0.0568733948318605</v>
      </c>
      <c r="G476" s="37" t="n">
        <f aca="false">IFERROR(IF(ISNUMBER(F476),F476-E476,"n/a"),"n/a")</f>
        <v>-2.66051681395221E-005</v>
      </c>
      <c r="H476" s="41" t="n">
        <v>5.0001E-005</v>
      </c>
      <c r="I476" s="39" t="str">
        <f aca="false">IFERROR(IF(ISNUMBER(F476),IF(ABS(F476-E476)&lt;=H476,"PASS","FAIL"),"FAIL"),"FAIL")</f>
        <v>PASS</v>
      </c>
    </row>
    <row r="477" customFormat="false" ht="15" hidden="false" customHeight="false" outlineLevel="0" collapsed="false">
      <c r="B477" s="40" t="n">
        <v>468</v>
      </c>
      <c r="C477" s="9" t="s">
        <v>397</v>
      </c>
      <c r="D477" s="9" t="s">
        <v>854</v>
      </c>
      <c r="E477" s="13" t="n">
        <v>12000000</v>
      </c>
      <c r="F477" s="19" t="n">
        <f aca="false">DCF!$C$41</f>
        <v>12000000</v>
      </c>
      <c r="G477" s="37" t="n">
        <f aca="false">IFERROR(IF(ISNUMBER(F477),F477-E477,"n/a"),"n/a")</f>
        <v>0</v>
      </c>
      <c r="H477" s="41" t="n">
        <v>0.500000001</v>
      </c>
      <c r="I477" s="39" t="str">
        <f aca="false">IFERROR(IF(ISNUMBER(F477),IF(ABS(F477-E477)&lt;=H477,"PASS","FAIL"),"FAIL"),"FAIL")</f>
        <v>PASS</v>
      </c>
    </row>
    <row r="478" customFormat="false" ht="15" hidden="false" customHeight="false" outlineLevel="0" collapsed="false">
      <c r="B478" s="40" t="n">
        <v>469</v>
      </c>
      <c r="C478" s="9" t="s">
        <v>397</v>
      </c>
      <c r="D478" s="9" t="s">
        <v>855</v>
      </c>
      <c r="E478" s="13" t="n">
        <v>166667</v>
      </c>
      <c r="F478" s="19" t="n">
        <f aca="false">DCF!$C$42</f>
        <v>166666.666666667</v>
      </c>
      <c r="G478" s="37" t="n">
        <f aca="false">IFERROR(IF(ISNUMBER(F478),F478-E478,"n/a"),"n/a")</f>
        <v>-0.333333333343035</v>
      </c>
      <c r="H478" s="41" t="n">
        <v>0.500000001</v>
      </c>
      <c r="I478" s="39" t="str">
        <f aca="false">IFERROR(IF(ISNUMBER(F478),IF(ABS(F478-E478)&lt;=H478,"PASS","FAIL"),"FAIL"),"FAIL")</f>
        <v>PASS</v>
      </c>
    </row>
    <row r="479" customFormat="false" ht="15" hidden="false" customHeight="false" outlineLevel="0" collapsed="false">
      <c r="B479" s="40" t="n">
        <v>470</v>
      </c>
      <c r="C479" s="9" t="s">
        <v>397</v>
      </c>
      <c r="D479" s="9" t="s">
        <v>856</v>
      </c>
      <c r="E479" s="13" t="n">
        <v>50000</v>
      </c>
      <c r="F479" s="19" t="n">
        <f aca="false">DCF!$C$43</f>
        <v>50000</v>
      </c>
      <c r="G479" s="37" t="n">
        <f aca="false">IFERROR(IF(ISNUMBER(F479),F479-E479,"n/a"),"n/a")</f>
        <v>0</v>
      </c>
      <c r="H479" s="41" t="n">
        <v>0.500000001</v>
      </c>
      <c r="I479" s="39" t="str">
        <f aca="false">IFERROR(IF(ISNUMBER(F479),IF(ABS(F479-E479)&lt;=H479,"PASS","FAIL"),"FAIL"),"FAIL")</f>
        <v>PASS</v>
      </c>
    </row>
    <row r="480" customFormat="false" ht="15" hidden="false" customHeight="false" outlineLevel="0" collapsed="false">
      <c r="B480" s="40" t="n">
        <v>471</v>
      </c>
      <c r="C480" s="9" t="s">
        <v>397</v>
      </c>
      <c r="D480" s="9" t="s">
        <v>857</v>
      </c>
      <c r="E480" s="13" t="n">
        <v>12050000</v>
      </c>
      <c r="F480" s="19" t="n">
        <f aca="false">DCF!$C$44</f>
        <v>12050000</v>
      </c>
      <c r="G480" s="37" t="n">
        <f aca="false">IFERROR(IF(ISNUMBER(F480),F480-E480,"n/a"),"n/a")</f>
        <v>0</v>
      </c>
      <c r="H480" s="41" t="n">
        <v>0.500000001</v>
      </c>
      <c r="I480" s="39" t="str">
        <f aca="false">IFERROR(IF(ISNUMBER(F480),IF(ABS(F480-E480)&lt;=H480,"PASS","FAIL"),"FAIL"),"FAIL")</f>
        <v>PASS</v>
      </c>
    </row>
    <row r="481" customFormat="false" ht="15" hidden="false" customHeight="false" outlineLevel="0" collapsed="false">
      <c r="B481" s="40" t="n">
        <v>472</v>
      </c>
      <c r="C481" s="9" t="s">
        <v>397</v>
      </c>
      <c r="D481" s="9" t="s">
        <v>858</v>
      </c>
      <c r="E481" s="29" t="n">
        <v>0.056</v>
      </c>
      <c r="F481" s="36" t="n">
        <f aca="false">DCF!$C$45</f>
        <v>0.0560292830394802</v>
      </c>
      <c r="G481" s="37" t="n">
        <f aca="false">IFERROR(IF(ISNUMBER(F481),F481-E481,"n/a"),"n/a")</f>
        <v>2.92830394801949E-005</v>
      </c>
      <c r="H481" s="41" t="n">
        <v>0.000500001</v>
      </c>
      <c r="I481" s="39" t="str">
        <f aca="false">IFERROR(IF(ISNUMBER(F481),IF(ABS(F481-E481)&lt;=H481,"PASS","FAIL"),"FAIL"),"FAIL")</f>
        <v>PASS</v>
      </c>
    </row>
    <row r="482" customFormat="false" ht="15" hidden="false" customHeight="false" outlineLevel="0" collapsed="false">
      <c r="B482" s="40" t="n">
        <v>473</v>
      </c>
      <c r="C482" s="9" t="s">
        <v>397</v>
      </c>
      <c r="D482" s="9" t="s">
        <v>859</v>
      </c>
      <c r="E482" s="31" t="n">
        <v>0.0308</v>
      </c>
      <c r="F482" s="47" t="n">
        <f aca="false">DCF!$C$46</f>
        <v>0.030827843231688</v>
      </c>
      <c r="G482" s="37" t="n">
        <f aca="false">IFERROR(IF(ISNUMBER(F482),F482-E482,"n/a"),"n/a")</f>
        <v>2.7843231687967E-005</v>
      </c>
      <c r="H482" s="41" t="n">
        <v>5.0001E-005</v>
      </c>
      <c r="I482" s="39" t="str">
        <f aca="false">IFERROR(IF(ISNUMBER(F482),IF(ABS(F482-E482)&lt;=H482,"PASS","FAIL"),"FAIL"),"FAIL")</f>
        <v>PASS</v>
      </c>
    </row>
    <row r="483" customFormat="false" ht="15" hidden="false" customHeight="false" outlineLevel="0" collapsed="false">
      <c r="B483" s="40" t="n">
        <v>474</v>
      </c>
      <c r="C483" s="9" t="s">
        <v>402</v>
      </c>
      <c r="D483" s="9" t="s">
        <v>860</v>
      </c>
      <c r="E483" s="25" t="n">
        <v>0.65</v>
      </c>
      <c r="F483" s="33" t="n">
        <f aca="false">Lending!$C$6</f>
        <v>0.65</v>
      </c>
      <c r="G483" s="37" t="n">
        <f aca="false">IFERROR(IF(ISNUMBER(F483),F483-E483,"n/a"),"n/a")</f>
        <v>0</v>
      </c>
      <c r="H483" s="41" t="n">
        <v>0.005000001</v>
      </c>
      <c r="I483" s="39" t="str">
        <f aca="false">IFERROR(IF(ISNUMBER(F483),IF(ABS(F483-E483)&lt;=H483,"PASS","FAIL"),"FAIL"),"FAIL")</f>
        <v>PASS</v>
      </c>
    </row>
    <row r="484" customFormat="false" ht="15" hidden="false" customHeight="false" outlineLevel="0" collapsed="false">
      <c r="B484" s="40" t="n">
        <v>475</v>
      </c>
      <c r="C484" s="9" t="s">
        <v>402</v>
      </c>
      <c r="D484" s="9" t="s">
        <v>861</v>
      </c>
      <c r="E484" s="12" t="n">
        <v>1.25</v>
      </c>
      <c r="F484" s="45" t="n">
        <f aca="false">Lending!$C$7</f>
        <v>1.25</v>
      </c>
      <c r="G484" s="37" t="n">
        <f aca="false">IFERROR(IF(ISNUMBER(F484),F484-E484,"n/a"),"n/a")</f>
        <v>0</v>
      </c>
      <c r="H484" s="41" t="n">
        <v>0.005000001</v>
      </c>
      <c r="I484" s="39" t="str">
        <f aca="false">IFERROR(IF(ISNUMBER(F484),IF(ABS(F484-E484)&lt;=H484,"PASS","FAIL"),"FAIL"),"FAIL")</f>
        <v>PASS</v>
      </c>
    </row>
    <row r="485" customFormat="false" ht="15" hidden="false" customHeight="false" outlineLevel="0" collapsed="false">
      <c r="B485" s="40" t="n">
        <v>476</v>
      </c>
      <c r="C485" s="9" t="s">
        <v>402</v>
      </c>
      <c r="D485" s="9" t="s">
        <v>862</v>
      </c>
      <c r="E485" s="13" t="n">
        <v>12100000</v>
      </c>
      <c r="F485" s="19" t="n">
        <f aca="false">Lending!$C$14</f>
        <v>12100000</v>
      </c>
      <c r="G485" s="37" t="n">
        <f aca="false">IFERROR(IF(ISNUMBER(F485),F485-E485,"n/a"),"n/a")</f>
        <v>0</v>
      </c>
      <c r="H485" s="41" t="n">
        <v>0.500000001</v>
      </c>
      <c r="I485" s="39" t="str">
        <f aca="false">IFERROR(IF(ISNUMBER(F485),IF(ABS(F485-E485)&lt;=H485,"PASS","FAIL"),"FAIL"),"FAIL")</f>
        <v>PASS</v>
      </c>
    </row>
    <row r="486" customFormat="false" ht="15" hidden="false" customHeight="false" outlineLevel="0" collapsed="false">
      <c r="B486" s="40" t="n">
        <v>477</v>
      </c>
      <c r="C486" s="9" t="s">
        <v>402</v>
      </c>
      <c r="D486" s="9" t="s">
        <v>863</v>
      </c>
      <c r="E486" s="13" t="n">
        <v>7865000</v>
      </c>
      <c r="F486" s="19" t="n">
        <f aca="false">Lending!$C$15</f>
        <v>7865000</v>
      </c>
      <c r="G486" s="37" t="n">
        <f aca="false">IFERROR(IF(ISNUMBER(F486),F486-E486,"n/a"),"n/a")</f>
        <v>0</v>
      </c>
      <c r="H486" s="41" t="n">
        <v>0.500000001</v>
      </c>
      <c r="I486" s="39" t="str">
        <f aca="false">IFERROR(IF(ISNUMBER(F486),IF(ABS(F486-E486)&lt;=H486,"PASS","FAIL"),"FAIL"),"FAIL")</f>
        <v>PASS</v>
      </c>
    </row>
    <row r="487" customFormat="false" ht="15" hidden="false" customHeight="false" outlineLevel="0" collapsed="false">
      <c r="B487" s="40" t="n">
        <v>478</v>
      </c>
      <c r="C487" s="9" t="s">
        <v>402</v>
      </c>
      <c r="D487" s="9" t="s">
        <v>864</v>
      </c>
      <c r="E487" s="13" t="n">
        <v>7731876</v>
      </c>
      <c r="F487" s="19" t="n">
        <f aca="false">Lending!$C$16</f>
        <v>7731876.43154856</v>
      </c>
      <c r="G487" s="37" t="n">
        <f aca="false">IFERROR(IF(ISNUMBER(F487),F487-E487,"n/a"),"n/a")</f>
        <v>0.431548557244241</v>
      </c>
      <c r="H487" s="41" t="n">
        <v>0.500000001</v>
      </c>
      <c r="I487" s="39" t="str">
        <f aca="false">IFERROR(IF(ISNUMBER(F487),IF(ABS(F487-E487)&lt;=H487,"PASS","FAIL"),"FAIL"),"FAIL")</f>
        <v>PASS</v>
      </c>
    </row>
    <row r="488" customFormat="false" ht="15" hidden="false" customHeight="false" outlineLevel="0" collapsed="false">
      <c r="B488" s="40" t="n">
        <v>479</v>
      </c>
      <c r="C488" s="9" t="s">
        <v>402</v>
      </c>
      <c r="D488" s="9" t="s">
        <v>865</v>
      </c>
      <c r="E488" s="13" t="n">
        <v>7731876</v>
      </c>
      <c r="F488" s="19" t="n">
        <f aca="false">Lending!$C$17</f>
        <v>7731876.43154856</v>
      </c>
      <c r="G488" s="37" t="n">
        <f aca="false">IFERROR(IF(ISNUMBER(F488),F488-E488,"n/a"),"n/a")</f>
        <v>0.431548557244241</v>
      </c>
      <c r="H488" s="41" t="n">
        <v>0.500000001</v>
      </c>
      <c r="I488" s="39" t="str">
        <f aca="false">IFERROR(IF(ISNUMBER(F488),IF(ABS(F488-E488)&lt;=H488,"PASS","FAIL"),"FAIL"),"FAIL")</f>
        <v>PASS</v>
      </c>
    </row>
    <row r="489" customFormat="false" ht="15" hidden="false" customHeight="false" outlineLevel="0" collapsed="false">
      <c r="B489" s="40" t="n">
        <v>480</v>
      </c>
      <c r="C489" s="9" t="s">
        <v>402</v>
      </c>
      <c r="D489" s="9" t="s">
        <v>866</v>
      </c>
      <c r="E489" s="13" t="n">
        <v>133124</v>
      </c>
      <c r="F489" s="19" t="n">
        <f aca="false">Lending!$C$19</f>
        <v>133123.568451443</v>
      </c>
      <c r="G489" s="37" t="n">
        <f aca="false">IFERROR(IF(ISNUMBER(F489),F489-E489,"n/a"),"n/a")</f>
        <v>-0.431548557244241</v>
      </c>
      <c r="H489" s="41" t="n">
        <v>0.500000001</v>
      </c>
      <c r="I489" s="39" t="str">
        <f aca="false">IFERROR(IF(ISNUMBER(F489),IF(ABS(F489-E489)&lt;=H489,"PASS","FAIL"),"FAIL"),"FAIL")</f>
        <v>PASS</v>
      </c>
    </row>
    <row r="490" customFormat="false" ht="15" hidden="false" customHeight="false" outlineLevel="0" collapsed="false">
      <c r="B490" s="40" t="n">
        <v>481</v>
      </c>
      <c r="C490" s="9" t="s">
        <v>402</v>
      </c>
      <c r="D490" s="9" t="s">
        <v>867</v>
      </c>
      <c r="E490" s="13" t="n">
        <v>8352500</v>
      </c>
      <c r="F490" s="19" t="n">
        <f aca="false">Lending!$C$20</f>
        <v>8352500</v>
      </c>
      <c r="G490" s="37" t="n">
        <f aca="false">IFERROR(IF(ISNUMBER(F490),F490-E490,"n/a"),"n/a")</f>
        <v>0</v>
      </c>
      <c r="H490" s="41" t="n">
        <v>0.500000001</v>
      </c>
      <c r="I490" s="39" t="str">
        <f aca="false">IFERROR(IF(ISNUMBER(F490),IF(ABS(F490-E490)&lt;=H490,"PASS","FAIL"),"FAIL"),"FAIL")</f>
        <v>PASS</v>
      </c>
    </row>
    <row r="491" customFormat="false" ht="15" hidden="false" customHeight="false" outlineLevel="0" collapsed="false">
      <c r="B491" s="40" t="n">
        <v>482</v>
      </c>
      <c r="C491" s="9" t="s">
        <v>402</v>
      </c>
      <c r="D491" s="9" t="s">
        <v>868</v>
      </c>
      <c r="E491" s="13" t="n">
        <v>8352500</v>
      </c>
      <c r="F491" s="19" t="n">
        <f aca="false">Lending!$C$21</f>
        <v>8352500</v>
      </c>
      <c r="G491" s="37" t="n">
        <f aca="false">IFERROR(IF(ISNUMBER(F491),F491-E491,"n/a"),"n/a")</f>
        <v>0</v>
      </c>
      <c r="H491" s="41" t="n">
        <v>0.500000001</v>
      </c>
      <c r="I491" s="39" t="str">
        <f aca="false">IFERROR(IF(ISNUMBER(F491),IF(ABS(F491-E491)&lt;=H491,"PASS","FAIL"),"FAIL"),"FAIL")</f>
        <v>PASS</v>
      </c>
    </row>
    <row r="492" customFormat="false" ht="15" hidden="false" customHeight="false" outlineLevel="0" collapsed="false">
      <c r="B492" s="40" t="n">
        <v>483</v>
      </c>
      <c r="C492" s="9" t="s">
        <v>402</v>
      </c>
      <c r="D492" s="9" t="s">
        <v>869</v>
      </c>
      <c r="E492" s="13" t="n">
        <v>620624</v>
      </c>
      <c r="F492" s="19" t="n">
        <f aca="false">Lending!$C$22</f>
        <v>620623.568451443</v>
      </c>
      <c r="G492" s="37" t="n">
        <f aca="false">IFERROR(IF(ISNUMBER(F492),F492-E492,"n/a"),"n/a")</f>
        <v>-0.431548557244241</v>
      </c>
      <c r="H492" s="41" t="n">
        <v>0.500000001</v>
      </c>
      <c r="I492" s="39" t="str">
        <f aca="false">IFERROR(IF(ISNUMBER(F492),IF(ABS(F492-E492)&lt;=H492,"PASS","FAIL"),"FAIL"),"FAIL")</f>
        <v>PASS</v>
      </c>
    </row>
    <row r="493" customFormat="false" ht="15" hidden="false" customHeight="false" outlineLevel="0" collapsed="false">
      <c r="B493" s="40" t="n">
        <v>484</v>
      </c>
      <c r="C493" s="9" t="s">
        <v>402</v>
      </c>
      <c r="D493" s="9" t="s">
        <v>870</v>
      </c>
      <c r="E493" s="13" t="n">
        <v>562257</v>
      </c>
      <c r="F493" s="19" t="n">
        <f aca="false">Lending!$C$23</f>
        <v>562257.216</v>
      </c>
      <c r="G493" s="37" t="n">
        <f aca="false">IFERROR(IF(ISNUMBER(F493),F493-E493,"n/a"),"n/a")</f>
        <v>0.216000000014901</v>
      </c>
      <c r="H493" s="41" t="n">
        <v>0.500000001</v>
      </c>
      <c r="I493" s="39" t="str">
        <f aca="false">IFERROR(IF(ISNUMBER(F493),IF(ABS(F493-E493)&lt;=H493,"PASS","FAIL"),"FAIL"),"FAIL")</f>
        <v>PASS</v>
      </c>
    </row>
    <row r="494" customFormat="false" ht="15" hidden="false" customHeight="false" outlineLevel="0" collapsed="false">
      <c r="B494" s="40" t="n">
        <v>485</v>
      </c>
      <c r="C494" s="9" t="s">
        <v>402</v>
      </c>
      <c r="D494" s="9" t="s">
        <v>871</v>
      </c>
      <c r="E494" s="12" t="n">
        <v>1.25</v>
      </c>
      <c r="F494" s="45" t="n">
        <f aca="false">Lending!$C$24</f>
        <v>1.25</v>
      </c>
      <c r="G494" s="37" t="n">
        <f aca="false">IFERROR(IF(ISNUMBER(F494),F494-E494,"n/a"),"n/a")</f>
        <v>0</v>
      </c>
      <c r="H494" s="41" t="n">
        <v>0.005000001</v>
      </c>
      <c r="I494" s="39" t="str">
        <f aca="false">IFERROR(IF(ISNUMBER(F494),IF(ABS(F494-E494)&lt;=H494,"PASS","FAIL"),"FAIL"),"FAIL")</f>
        <v>PASS</v>
      </c>
    </row>
    <row r="495" customFormat="false" ht="15" hidden="false" customHeight="false" outlineLevel="0" collapsed="false">
      <c r="B495" s="40" t="n">
        <v>486</v>
      </c>
      <c r="C495" s="9" t="s">
        <v>402</v>
      </c>
      <c r="D495" s="9" t="s">
        <v>872</v>
      </c>
      <c r="E495" s="29" t="n">
        <v>0.602</v>
      </c>
      <c r="F495" s="36" t="n">
        <f aca="false">Lending!$C$25</f>
        <v>0.601702446034907</v>
      </c>
      <c r="G495" s="37" t="n">
        <f aca="false">IFERROR(IF(ISNUMBER(F495),F495-E495,"n/a"),"n/a")</f>
        <v>-0.000297553965092789</v>
      </c>
      <c r="H495" s="41" t="n">
        <v>0.000500001</v>
      </c>
      <c r="I495" s="39" t="str">
        <f aca="false">IFERROR(IF(ISNUMBER(F495),IF(ABS(F495-E495)&lt;=H495,"PASS","FAIL"),"FAIL"),"FAIL")</f>
        <v>PASS</v>
      </c>
    </row>
    <row r="496" customFormat="false" ht="15" hidden="false" customHeight="false" outlineLevel="0" collapsed="false">
      <c r="B496" s="40" t="n">
        <v>487</v>
      </c>
      <c r="C496" s="9" t="s">
        <v>402</v>
      </c>
      <c r="D496" s="9" t="s">
        <v>873</v>
      </c>
      <c r="E496" s="29" t="n">
        <v>0.639</v>
      </c>
      <c r="F496" s="36" t="n">
        <f aca="false">Lending!$C$26</f>
        <v>0.638998052194096</v>
      </c>
      <c r="G496" s="37" t="n">
        <f aca="false">IFERROR(IF(ISNUMBER(F496),F496-E496,"n/a"),"n/a")</f>
        <v>-1.9478059043454E-006</v>
      </c>
      <c r="H496" s="41" t="n">
        <v>0.000500001</v>
      </c>
      <c r="I496" s="39" t="str">
        <f aca="false">IFERROR(IF(ISNUMBER(F496),IF(ABS(F496-E496)&lt;=H496,"PASS","FAIL"),"FAIL"),"FAIL")</f>
        <v>PASS</v>
      </c>
    </row>
    <row r="497" customFormat="false" ht="15" hidden="false" customHeight="false" outlineLevel="0" collapsed="false">
      <c r="B497" s="40" t="n">
        <v>488</v>
      </c>
      <c r="C497" s="9" t="s">
        <v>402</v>
      </c>
      <c r="D497" s="9" t="s">
        <v>874</v>
      </c>
      <c r="E497" s="13" t="n">
        <v>5118124</v>
      </c>
      <c r="F497" s="19" t="n">
        <f aca="false">Lending!$C$27</f>
        <v>5118123.56845144</v>
      </c>
      <c r="G497" s="37" t="n">
        <f aca="false">IFERROR(IF(ISNUMBER(F497),F497-E497,"n/a"),"n/a")</f>
        <v>-0.431548557244241</v>
      </c>
      <c r="H497" s="41" t="n">
        <v>0.500000001</v>
      </c>
      <c r="I497" s="39" t="str">
        <f aca="false">IFERROR(IF(ISNUMBER(F497),IF(ABS(F497-E497)&lt;=H497,"PASS","FAIL"),"FAIL"),"FAIL")</f>
        <v>PASS</v>
      </c>
    </row>
    <row r="498" customFormat="false" ht="15" hidden="false" customHeight="false" outlineLevel="0" collapsed="false">
      <c r="B498" s="40" t="n">
        <v>489</v>
      </c>
      <c r="C498" s="9" t="s">
        <v>402</v>
      </c>
      <c r="D498" s="9" t="s">
        <v>875</v>
      </c>
      <c r="E498" s="13" t="n">
        <v>4497500</v>
      </c>
      <c r="F498" s="19" t="n">
        <f aca="false">Lending!$C$28</f>
        <v>4497500</v>
      </c>
      <c r="G498" s="37" t="n">
        <f aca="false">IFERROR(IF(ISNUMBER(F498),F498-E498,"n/a"),"n/a")</f>
        <v>0</v>
      </c>
      <c r="H498" s="41" t="n">
        <v>0.500000001</v>
      </c>
      <c r="I498" s="39" t="str">
        <f aca="false">IFERROR(IF(ISNUMBER(F498),IF(ABS(F498-E498)&lt;=H498,"PASS","FAIL"),"FAIL"),"FAIL")</f>
        <v>PASS</v>
      </c>
    </row>
    <row r="499" customFormat="false" ht="15" hidden="false" customHeight="false" outlineLevel="0" collapsed="false">
      <c r="B499" s="40" t="n">
        <v>490</v>
      </c>
      <c r="C499" s="9" t="s">
        <v>402</v>
      </c>
      <c r="D499" s="9" t="s">
        <v>876</v>
      </c>
      <c r="E499" s="13" t="n">
        <v>1638000</v>
      </c>
      <c r="F499" s="19" t="n">
        <f aca="false">Lending!$C$33</f>
        <v>1638000</v>
      </c>
      <c r="G499" s="37" t="n">
        <f aca="false">IFERROR(IF(ISNUMBER(F499),F499-E499,"n/a"),"n/a")</f>
        <v>0</v>
      </c>
      <c r="H499" s="41" t="n">
        <v>0.500000001</v>
      </c>
      <c r="I499" s="39" t="str">
        <f aca="false">IFERROR(IF(ISNUMBER(F499),IF(ABS(F499-E499)&lt;=H499,"PASS","FAIL"),"FAIL"),"FAIL")</f>
        <v>PASS</v>
      </c>
    </row>
    <row r="500" customFormat="false" ht="15" hidden="false" customHeight="false" outlineLevel="0" collapsed="false">
      <c r="B500" s="40" t="n">
        <v>491</v>
      </c>
      <c r="C500" s="9" t="s">
        <v>402</v>
      </c>
      <c r="D500" s="9" t="s">
        <v>877</v>
      </c>
      <c r="E500" s="13" t="n">
        <v>20160000</v>
      </c>
      <c r="F500" s="19" t="n">
        <f aca="false">Lending!$C$39</f>
        <v>20160000</v>
      </c>
      <c r="G500" s="37" t="n">
        <f aca="false">IFERROR(IF(ISNUMBER(F500),F500-E500,"n/a"),"n/a")</f>
        <v>0</v>
      </c>
      <c r="H500" s="41" t="n">
        <v>0.500000001</v>
      </c>
      <c r="I500" s="39" t="str">
        <f aca="false">IFERROR(IF(ISNUMBER(F500),IF(ABS(F500-E500)&lt;=H500,"PASS","FAIL"),"FAIL"),"FAIL")</f>
        <v>PASS</v>
      </c>
    </row>
    <row r="501" customFormat="false" ht="15" hidden="false" customHeight="false" outlineLevel="0" collapsed="false">
      <c r="B501" s="40" t="n">
        <v>492</v>
      </c>
      <c r="C501" s="9" t="s">
        <v>402</v>
      </c>
      <c r="D501" s="9" t="s">
        <v>878</v>
      </c>
      <c r="E501" s="13" t="n">
        <v>1200000</v>
      </c>
      <c r="F501" s="19" t="n">
        <f aca="false">Lending!$C$40</f>
        <v>1200000</v>
      </c>
      <c r="G501" s="37" t="n">
        <f aca="false">IFERROR(IF(ISNUMBER(F501),F501-E501,"n/a"),"n/a")</f>
        <v>0</v>
      </c>
      <c r="H501" s="41" t="n">
        <v>0.500000001</v>
      </c>
      <c r="I501" s="39" t="str">
        <f aca="false">IFERROR(IF(ISNUMBER(F501),IF(ABS(F501-E501)&lt;=H501,"PASS","FAIL"),"FAIL"),"FAIL")</f>
        <v>PASS</v>
      </c>
    </row>
    <row r="502" customFormat="false" ht="15" hidden="false" customHeight="false" outlineLevel="0" collapsed="false">
      <c r="B502" s="40" t="n">
        <v>493</v>
      </c>
      <c r="C502" s="9" t="s">
        <v>402</v>
      </c>
      <c r="D502" s="9" t="s">
        <v>879</v>
      </c>
      <c r="E502" s="13" t="n">
        <v>18960000</v>
      </c>
      <c r="F502" s="19" t="n">
        <f aca="false">Lending!$C$41</f>
        <v>18960000</v>
      </c>
      <c r="G502" s="37" t="n">
        <f aca="false">IFERROR(IF(ISNUMBER(F502),F502-E502,"n/a"),"n/a")</f>
        <v>0</v>
      </c>
      <c r="H502" s="41" t="n">
        <v>0.500000001</v>
      </c>
      <c r="I502" s="39" t="str">
        <f aca="false">IFERROR(IF(ISNUMBER(F502),IF(ABS(F502-E502)&lt;=H502,"PASS","FAIL"),"FAIL"),"FAIL")</f>
        <v>PASS</v>
      </c>
    </row>
    <row r="503" customFormat="false" ht="15" hidden="false" customHeight="false" outlineLevel="0" collapsed="false">
      <c r="B503" s="40" t="n">
        <v>494</v>
      </c>
      <c r="C503" s="9" t="s">
        <v>402</v>
      </c>
      <c r="D503" s="9" t="s">
        <v>880</v>
      </c>
      <c r="E503" s="25" t="n">
        <v>0.65</v>
      </c>
      <c r="F503" s="33" t="n">
        <f aca="false">Lending!$C$42</f>
        <v>0.65</v>
      </c>
      <c r="G503" s="37" t="n">
        <f aca="false">IFERROR(IF(ISNUMBER(F503),F503-E503,"n/a"),"n/a")</f>
        <v>0</v>
      </c>
      <c r="H503" s="41" t="n">
        <v>0.005000001</v>
      </c>
      <c r="I503" s="39" t="str">
        <f aca="false">IFERROR(IF(ISNUMBER(F503),IF(ABS(F503-E503)&lt;=H503,"PASS","FAIL"),"FAIL"),"FAIL")</f>
        <v>PASS</v>
      </c>
    </row>
    <row r="504" customFormat="false" ht="15" hidden="false" customHeight="false" outlineLevel="0" collapsed="false">
      <c r="B504" s="40" t="n">
        <v>495</v>
      </c>
      <c r="C504" s="9" t="s">
        <v>402</v>
      </c>
      <c r="D504" s="9" t="s">
        <v>881</v>
      </c>
      <c r="E504" s="25" t="n">
        <v>0.6</v>
      </c>
      <c r="F504" s="33" t="n">
        <f aca="false">Lending!$C$43</f>
        <v>0.6</v>
      </c>
      <c r="G504" s="37" t="n">
        <f aca="false">IFERROR(IF(ISNUMBER(F504),F504-E504,"n/a"),"n/a")</f>
        <v>0</v>
      </c>
      <c r="H504" s="41" t="n">
        <v>0.005000001</v>
      </c>
      <c r="I504" s="39" t="str">
        <f aca="false">IFERROR(IF(ISNUMBER(F504),IF(ABS(F504-E504)&lt;=H504,"PASS","FAIL"),"FAIL"),"FAIL")</f>
        <v>PASS</v>
      </c>
    </row>
    <row r="505" customFormat="false" ht="15" hidden="false" customHeight="false" outlineLevel="0" collapsed="false">
      <c r="B505" s="40" t="n">
        <v>496</v>
      </c>
      <c r="C505" s="9" t="s">
        <v>402</v>
      </c>
      <c r="D505" s="9" t="s">
        <v>882</v>
      </c>
      <c r="E505" s="13" t="n">
        <v>11438700</v>
      </c>
      <c r="F505" s="19" t="n">
        <f aca="false">Lending!$C$44</f>
        <v>11438700</v>
      </c>
      <c r="G505" s="37" t="n">
        <f aca="false">IFERROR(IF(ISNUMBER(F505),F505-E505,"n/a"),"n/a")</f>
        <v>0</v>
      </c>
      <c r="H505" s="41" t="n">
        <v>0.500000001</v>
      </c>
      <c r="I505" s="39" t="str">
        <f aca="false">IFERROR(IF(ISNUMBER(F505),IF(ABS(F505-E505)&lt;=H505,"PASS","FAIL"),"FAIL"),"FAIL")</f>
        <v>PASS</v>
      </c>
    </row>
    <row r="506" customFormat="false" ht="15" hidden="false" customHeight="false" outlineLevel="0" collapsed="false">
      <c r="B506" s="40" t="n">
        <v>497</v>
      </c>
      <c r="C506" s="9" t="s">
        <v>402</v>
      </c>
      <c r="D506" s="9" t="s">
        <v>883</v>
      </c>
      <c r="E506" s="13" t="n">
        <v>12096000</v>
      </c>
      <c r="F506" s="19" t="n">
        <f aca="false">Lending!$C$45</f>
        <v>12096000</v>
      </c>
      <c r="G506" s="37" t="n">
        <f aca="false">IFERROR(IF(ISNUMBER(F506),F506-E506,"n/a"),"n/a")</f>
        <v>0</v>
      </c>
      <c r="H506" s="41" t="n">
        <v>0.500000001</v>
      </c>
      <c r="I506" s="39" t="str">
        <f aca="false">IFERROR(IF(ISNUMBER(F506),IF(ABS(F506-E506)&lt;=H506,"PASS","FAIL"),"FAIL"),"FAIL")</f>
        <v>PASS</v>
      </c>
    </row>
    <row r="507" customFormat="false" ht="15" hidden="false" customHeight="false" outlineLevel="0" collapsed="false">
      <c r="B507" s="40" t="n">
        <v>498</v>
      </c>
      <c r="C507" s="9" t="s">
        <v>402</v>
      </c>
      <c r="D507" s="9" t="s">
        <v>884</v>
      </c>
      <c r="E507" s="13" t="n">
        <v>11438700</v>
      </c>
      <c r="F507" s="19" t="n">
        <f aca="false">Lending!$C$46</f>
        <v>11438700</v>
      </c>
      <c r="G507" s="37" t="n">
        <f aca="false">IFERROR(IF(ISNUMBER(F507),F507-E507,"n/a"),"n/a")</f>
        <v>0</v>
      </c>
      <c r="H507" s="41" t="n">
        <v>0.500000001</v>
      </c>
      <c r="I507" s="39" t="str">
        <f aca="false">IFERROR(IF(ISNUMBER(F507),IF(ABS(F507-E507)&lt;=H507,"PASS","FAIL"),"FAIL"),"FAIL")</f>
        <v>PASS</v>
      </c>
    </row>
    <row r="508" customFormat="false" ht="15" hidden="false" customHeight="false" outlineLevel="0" collapsed="false">
      <c r="B508" s="40" t="n">
        <v>499</v>
      </c>
      <c r="C508" s="9" t="s">
        <v>402</v>
      </c>
      <c r="D508" s="9" t="s">
        <v>885</v>
      </c>
      <c r="E508" s="12" t="n">
        <v>1.27</v>
      </c>
      <c r="F508" s="45" t="n">
        <f aca="false">Lending!$C$48</f>
        <v>1.27239814694835</v>
      </c>
      <c r="G508" s="37" t="n">
        <f aca="false">IFERROR(IF(ISNUMBER(F508),F508-E508,"n/a"),"n/a")</f>
        <v>0.00239814694834672</v>
      </c>
      <c r="H508" s="41" t="n">
        <v>0.005000001</v>
      </c>
      <c r="I508" s="39" t="str">
        <f aca="false">IFERROR(IF(ISNUMBER(F508),IF(ABS(F508-E508)&lt;=H508,"PASS","FAIL"),"FAIL"),"FAIL")</f>
        <v>PASS</v>
      </c>
    </row>
    <row r="509" customFormat="false" ht="15" hidden="false" customHeight="false" outlineLevel="0" collapsed="false">
      <c r="B509" s="40" t="n">
        <v>500</v>
      </c>
      <c r="C509" s="9" t="s">
        <v>402</v>
      </c>
      <c r="D509" s="9" t="s">
        <v>886</v>
      </c>
      <c r="E509" s="13" t="n">
        <v>6159300</v>
      </c>
      <c r="F509" s="19" t="n">
        <f aca="false">Lending!$C$49</f>
        <v>6159300</v>
      </c>
      <c r="G509" s="37" t="n">
        <f aca="false">IFERROR(IF(ISNUMBER(F509),F509-E509,"n/a"),"n/a")</f>
        <v>0</v>
      </c>
      <c r="H509" s="41" t="n">
        <v>0.500000001</v>
      </c>
      <c r="I509" s="39" t="str">
        <f aca="false">IFERROR(IF(ISNUMBER(F509),IF(ABS(F509-E509)&lt;=H509,"PASS","FAIL"),"FAIL"),"FAIL")</f>
        <v>PASS</v>
      </c>
    </row>
    <row r="510" customFormat="false" ht="15" hidden="false" customHeight="false" outlineLevel="0" collapsed="false">
      <c r="B510" s="40" t="n">
        <v>501</v>
      </c>
      <c r="C510" s="9" t="s">
        <v>405</v>
      </c>
      <c r="D510" s="9" t="s">
        <v>887</v>
      </c>
      <c r="E510" s="31" t="n">
        <v>0.051</v>
      </c>
      <c r="F510" s="47" t="n">
        <f aca="false">Review!$C$6</f>
        <v>0.051</v>
      </c>
      <c r="G510" s="37" t="n">
        <f aca="false">IFERROR(IF(ISNUMBER(F510),F510-E510,"n/a"),"n/a")</f>
        <v>0</v>
      </c>
      <c r="H510" s="41" t="n">
        <v>5.0001E-005</v>
      </c>
      <c r="I510" s="39" t="str">
        <f aca="false">IFERROR(IF(ISNUMBER(F510),IF(ABS(F510-E510)&lt;=H510,"PASS","FAIL"),"FAIL"),"FAIL")</f>
        <v>PASS</v>
      </c>
    </row>
    <row r="511" customFormat="false" ht="15" hidden="false" customHeight="false" outlineLevel="0" collapsed="false">
      <c r="B511" s="40" t="n">
        <v>502</v>
      </c>
      <c r="C511" s="9" t="s">
        <v>405</v>
      </c>
      <c r="D511" s="9" t="s">
        <v>888</v>
      </c>
      <c r="E511" s="13" t="n">
        <v>13609934</v>
      </c>
      <c r="F511" s="19" t="n">
        <f aca="false">Review!$C$7</f>
        <v>13609934.1176471</v>
      </c>
      <c r="G511" s="37" t="n">
        <f aca="false">IFERROR(IF(ISNUMBER(F511),F511-E511,"n/a"),"n/a")</f>
        <v>0.117647059261799</v>
      </c>
      <c r="H511" s="41" t="n">
        <v>0.500000001</v>
      </c>
      <c r="I511" s="39" t="str">
        <f aca="false">IFERROR(IF(ISNUMBER(F511),IF(ABS(F511-E511)&lt;=H511,"PASS","FAIL"),"FAIL"),"FAIL")</f>
        <v>PASS</v>
      </c>
    </row>
    <row r="512" customFormat="false" ht="15" hidden="false" customHeight="false" outlineLevel="0" collapsed="false">
      <c r="B512" s="40" t="n">
        <v>503</v>
      </c>
      <c r="C512" s="9" t="s">
        <v>405</v>
      </c>
      <c r="D512" s="9" t="s">
        <v>889</v>
      </c>
      <c r="E512" s="13" t="n">
        <v>1557831</v>
      </c>
      <c r="F512" s="19" t="n">
        <f aca="false">Review!$C$8</f>
        <v>1557831.16112532</v>
      </c>
      <c r="G512" s="37" t="n">
        <f aca="false">IFERROR(IF(ISNUMBER(F512),F512-E512,"n/a"),"n/a")</f>
        <v>0.16112532094121</v>
      </c>
      <c r="H512" s="41" t="n">
        <v>0.500000001</v>
      </c>
      <c r="I512" s="39" t="str">
        <f aca="false">IFERROR(IF(ISNUMBER(F512),IF(ABS(F512-E512)&lt;=H512,"PASS","FAIL"),"FAIL"),"FAIL")</f>
        <v>PASS</v>
      </c>
    </row>
    <row r="513" customFormat="false" ht="15" hidden="false" customHeight="false" outlineLevel="0" collapsed="false">
      <c r="B513" s="40" t="n">
        <v>504</v>
      </c>
      <c r="C513" s="9" t="s">
        <v>405</v>
      </c>
      <c r="D513" s="9" t="s">
        <v>890</v>
      </c>
      <c r="E513" s="29" t="n">
        <v>0.129</v>
      </c>
      <c r="F513" s="36" t="n">
        <f aca="false">Review!$C$9</f>
        <v>0.12925803627344</v>
      </c>
      <c r="G513" s="37" t="n">
        <f aca="false">IFERROR(IF(ISNUMBER(F513),F513-E513,"n/a"),"n/a")</f>
        <v>0.000258036273440038</v>
      </c>
      <c r="H513" s="41" t="n">
        <v>0.000500001</v>
      </c>
      <c r="I513" s="39" t="str">
        <f aca="false">IFERROR(IF(ISNUMBER(F513),IF(ABS(F513-E513)&lt;=H513,"PASS","FAIL"),"FAIL"),"FAIL")</f>
        <v>PASS</v>
      </c>
    </row>
    <row r="514" customFormat="false" ht="15" hidden="false" customHeight="false" outlineLevel="0" collapsed="false">
      <c r="B514" s="40" t="n">
        <v>505</v>
      </c>
      <c r="C514" s="9" t="s">
        <v>405</v>
      </c>
      <c r="D514" s="9" t="s">
        <v>891</v>
      </c>
      <c r="E514" s="13" t="n">
        <v>12782957</v>
      </c>
      <c r="F514" s="19" t="n">
        <f aca="false">Review!$C$12</f>
        <v>12782956.5217391</v>
      </c>
      <c r="G514" s="37" t="n">
        <f aca="false">IFERROR(IF(ISNUMBER(F514),F514-E514,"n/a"),"n/a")</f>
        <v>-0.47826087102294</v>
      </c>
      <c r="H514" s="41" t="n">
        <v>0.500000001</v>
      </c>
      <c r="I514" s="39" t="str">
        <f aca="false">IFERROR(IF(ISNUMBER(F514),IF(ABS(F514-E514)&lt;=H514,"PASS","FAIL"),"FAIL"),"FAIL")</f>
        <v>PASS</v>
      </c>
    </row>
    <row r="515" customFormat="false" ht="15" hidden="false" customHeight="false" outlineLevel="0" collapsed="false">
      <c r="B515" s="40" t="n">
        <v>506</v>
      </c>
      <c r="C515" s="9" t="s">
        <v>405</v>
      </c>
      <c r="D515" s="9" t="s">
        <v>892</v>
      </c>
      <c r="E515" s="13" t="n">
        <v>730854</v>
      </c>
      <c r="F515" s="19" t="n">
        <f aca="false">Review!$C$13</f>
        <v>730853.565217391</v>
      </c>
      <c r="G515" s="37" t="n">
        <f aca="false">IFERROR(IF(ISNUMBER(F515),F515-E515,"n/a"),"n/a")</f>
        <v>-0.434782609343529</v>
      </c>
      <c r="H515" s="41" t="n">
        <v>0.500000001</v>
      </c>
      <c r="I515" s="39" t="str">
        <f aca="false">IFERROR(IF(ISNUMBER(F515),IF(ABS(F515-E515)&lt;=H515,"PASS","FAIL"),"FAIL"),"FAIL")</f>
        <v>PASS</v>
      </c>
    </row>
    <row r="516" customFormat="false" ht="15" hidden="false" customHeight="false" outlineLevel="0" collapsed="false">
      <c r="B516" s="40" t="n">
        <v>507</v>
      </c>
      <c r="C516" s="9" t="s">
        <v>405</v>
      </c>
      <c r="D516" s="9" t="s">
        <v>893</v>
      </c>
      <c r="E516" s="29" t="n">
        <v>0.061</v>
      </c>
      <c r="F516" s="36" t="n">
        <f aca="false">Review!$C$14</f>
        <v>0.0606411651023861</v>
      </c>
      <c r="G516" s="37" t="n">
        <f aca="false">IFERROR(IF(ISNUMBER(F516),F516-E516,"n/a"),"n/a")</f>
        <v>-0.000358834897613874</v>
      </c>
      <c r="H516" s="41" t="n">
        <v>0.000500001</v>
      </c>
      <c r="I516" s="39" t="str">
        <f aca="false">IFERROR(IF(ISNUMBER(F516),IF(ABS(F516-E516)&lt;=H516,"PASS","FAIL"),"FAIL"),"FAIL")</f>
        <v>PASS</v>
      </c>
    </row>
    <row r="517" customFormat="false" ht="15" hidden="false" customHeight="false" outlineLevel="0" collapsed="false">
      <c r="B517" s="40" t="n">
        <v>508</v>
      </c>
      <c r="C517" s="9" t="s">
        <v>405</v>
      </c>
      <c r="D517" s="9" t="s">
        <v>894</v>
      </c>
      <c r="E517" s="13" t="n">
        <v>724422</v>
      </c>
      <c r="F517" s="19" t="n">
        <f aca="false">Review!$C$17</f>
        <v>724421.52</v>
      </c>
      <c r="G517" s="37" t="n">
        <f aca="false">IFERROR(IF(ISNUMBER(F517),F517-E517,"n/a"),"n/a")</f>
        <v>-0.479999999981374</v>
      </c>
      <c r="H517" s="41" t="n">
        <v>0.500000001</v>
      </c>
      <c r="I517" s="39" t="str">
        <f aca="false">IFERROR(IF(ISNUMBER(F517),IF(ABS(F517-E517)&lt;=H517,"PASS","FAIL"),"FAIL"),"FAIL")</f>
        <v>PASS</v>
      </c>
    </row>
    <row r="518" customFormat="false" ht="15" hidden="false" customHeight="false" outlineLevel="0" collapsed="false">
      <c r="B518" s="40" t="n">
        <v>509</v>
      </c>
      <c r="C518" s="9" t="s">
        <v>405</v>
      </c>
      <c r="D518" s="9" t="s">
        <v>895</v>
      </c>
      <c r="E518" s="13" t="n">
        <v>12427755</v>
      </c>
      <c r="F518" s="19" t="n">
        <f aca="false">Review!$C$18</f>
        <v>12427755.1304348</v>
      </c>
      <c r="G518" s="37" t="n">
        <f aca="false">IFERROR(IF(ISNUMBER(F518),F518-E518,"n/a"),"n/a")</f>
        <v>0.130434783175588</v>
      </c>
      <c r="H518" s="41" t="n">
        <v>0.500000001</v>
      </c>
      <c r="I518" s="39" t="str">
        <f aca="false">IFERROR(IF(ISNUMBER(F518),IF(ABS(F518-E518)&lt;=H518,"PASS","FAIL"),"FAIL"),"FAIL")</f>
        <v>PASS</v>
      </c>
    </row>
    <row r="519" customFormat="false" ht="15" hidden="false" customHeight="false" outlineLevel="0" collapsed="false">
      <c r="B519" s="40" t="n">
        <v>510</v>
      </c>
      <c r="C519" s="9" t="s">
        <v>405</v>
      </c>
      <c r="D519" s="9" t="s">
        <v>896</v>
      </c>
      <c r="E519" s="13" t="n">
        <v>375652</v>
      </c>
      <c r="F519" s="19" t="n">
        <f aca="false">Review!$C$19</f>
        <v>375652.173913045</v>
      </c>
      <c r="G519" s="37" t="n">
        <f aca="false">IFERROR(IF(ISNUMBER(F519),F519-E519,"n/a"),"n/a")</f>
        <v>0.173913044854999</v>
      </c>
      <c r="H519" s="41" t="n">
        <v>0.500000001</v>
      </c>
      <c r="I519" s="39" t="str">
        <f aca="false">IFERROR(IF(ISNUMBER(F519),IF(ABS(F519-E519)&lt;=H519,"PASS","FAIL"),"FAIL"),"FAIL")</f>
        <v>PASS</v>
      </c>
    </row>
    <row r="520" customFormat="false" ht="15" hidden="false" customHeight="false" outlineLevel="0" collapsed="false">
      <c r="B520" s="40" t="n">
        <v>511</v>
      </c>
      <c r="C520" s="9" t="s">
        <v>405</v>
      </c>
      <c r="D520" s="9" t="s">
        <v>897</v>
      </c>
      <c r="E520" s="29" t="n">
        <v>0.031</v>
      </c>
      <c r="F520" s="36" t="n">
        <f aca="false">Review!$C$20</f>
        <v>0.0311690146747185</v>
      </c>
      <c r="G520" s="37" t="n">
        <f aca="false">IFERROR(IF(ISNUMBER(F520),F520-E520,"n/a"),"n/a")</f>
        <v>0.000169014674718547</v>
      </c>
      <c r="H520" s="41" t="n">
        <v>0.000500001</v>
      </c>
      <c r="I520" s="39" t="str">
        <f aca="false">IFERROR(IF(ISNUMBER(F520),IF(ABS(F520-E520)&lt;=H520,"PASS","FAIL"),"FAIL"),"FAIL")</f>
        <v>PASS</v>
      </c>
    </row>
    <row r="521" customFormat="false" ht="15" hidden="false" customHeight="false" outlineLevel="0" collapsed="false">
      <c r="B521" s="40" t="n">
        <v>512</v>
      </c>
      <c r="C521" s="9" t="s">
        <v>405</v>
      </c>
      <c r="D521" s="9" t="s">
        <v>898</v>
      </c>
      <c r="E521" s="29" t="n">
        <v>0.045</v>
      </c>
      <c r="F521" s="36" t="n">
        <f aca="false">Review!$C$23</f>
        <v>0.045</v>
      </c>
      <c r="G521" s="37" t="n">
        <f aca="false">IFERROR(IF(ISNUMBER(F521),F521-E521,"n/a"),"n/a")</f>
        <v>0</v>
      </c>
      <c r="H521" s="41" t="n">
        <v>0.000500001</v>
      </c>
      <c r="I521" s="39" t="str">
        <f aca="false">IFERROR(IF(ISNUMBER(F521),IF(ABS(F521-E521)&lt;=H521,"PASS","FAIL"),"FAIL"),"FAIL")</f>
        <v>PASS</v>
      </c>
    </row>
    <row r="522" customFormat="false" ht="15" hidden="false" customHeight="false" outlineLevel="0" collapsed="false">
      <c r="B522" s="40" t="n">
        <v>513</v>
      </c>
      <c r="C522" s="9" t="s">
        <v>405</v>
      </c>
      <c r="D522" s="9" t="s">
        <v>899</v>
      </c>
      <c r="E522" s="13" t="n">
        <v>14437421</v>
      </c>
      <c r="F522" s="19" t="n">
        <f aca="false">Review!$C$49</f>
        <v>14437421.2872526</v>
      </c>
      <c r="G522" s="37" t="n">
        <f aca="false">IFERROR(IF(ISNUMBER(F522),F522-E522,"n/a"),"n/a")</f>
        <v>0.287252556532621</v>
      </c>
      <c r="H522" s="41" t="n">
        <v>0.500000001</v>
      </c>
      <c r="I522" s="39" t="str">
        <f aca="false">IFERROR(IF(ISNUMBER(F522),IF(ABS(F522-E522)&lt;=H522,"PASS","FAIL"),"FAIL"),"FAIL")</f>
        <v>PASS</v>
      </c>
    </row>
    <row r="523" customFormat="false" ht="15" hidden="false" customHeight="false" outlineLevel="0" collapsed="false">
      <c r="B523" s="40" t="n">
        <v>514</v>
      </c>
      <c r="C523" s="9" t="s">
        <v>405</v>
      </c>
      <c r="D523" s="9" t="s">
        <v>900</v>
      </c>
      <c r="E523" s="13" t="n">
        <v>2416339</v>
      </c>
      <c r="F523" s="19" t="n">
        <f aca="false">Review!$C$50</f>
        <v>2416338.6347888</v>
      </c>
      <c r="G523" s="37" t="n">
        <f aca="false">IFERROR(IF(ISNUMBER(F523),F523-E523,"n/a"),"n/a")</f>
        <v>-0.365211199969053</v>
      </c>
      <c r="H523" s="41" t="n">
        <v>0.500000001</v>
      </c>
      <c r="I523" s="39" t="str">
        <f aca="false">IFERROR(IF(ISNUMBER(F523),IF(ABS(F523-E523)&lt;=H523,"PASS","FAIL"),"FAIL"),"FAIL")</f>
        <v>PASS</v>
      </c>
    </row>
    <row r="524" customFormat="false" ht="15" hidden="false" customHeight="false" outlineLevel="0" collapsed="false">
      <c r="B524" s="40" t="n">
        <v>515</v>
      </c>
      <c r="C524" s="9" t="s">
        <v>405</v>
      </c>
      <c r="D524" s="9" t="s">
        <v>901</v>
      </c>
      <c r="E524" s="29" t="n">
        <v>0.201</v>
      </c>
      <c r="F524" s="36" t="n">
        <f aca="false">Review!$C$51</f>
        <v>0.201008403705931</v>
      </c>
      <c r="G524" s="37" t="n">
        <f aca="false">IFERROR(IF(ISNUMBER(F524),F524-E524,"n/a"),"n/a")</f>
        <v>8.40370593110928E-006</v>
      </c>
      <c r="H524" s="41" t="n">
        <v>0.000500001</v>
      </c>
      <c r="I524" s="39" t="str">
        <f aca="false">IFERROR(IF(ISNUMBER(F524),IF(ABS(F524-E524)&lt;=H524,"PASS","FAIL"),"FAIL"),"FAIL")</f>
        <v>PASS</v>
      </c>
    </row>
    <row r="525" customFormat="false" ht="15" hidden="false" customHeight="false" outlineLevel="0" collapsed="false">
      <c r="B525" s="40" t="n">
        <v>516</v>
      </c>
      <c r="C525" s="9" t="s">
        <v>405</v>
      </c>
      <c r="D525" s="9" t="s">
        <v>902</v>
      </c>
      <c r="E525" s="13" t="n">
        <v>12614759</v>
      </c>
      <c r="F525" s="19" t="n">
        <f aca="false">Review!$C$80</f>
        <v>12614758.7372721</v>
      </c>
      <c r="G525" s="37" t="n">
        <f aca="false">IFERROR(IF(ISNUMBER(F525),F525-E525,"n/a"),"n/a")</f>
        <v>-0.262727884575725</v>
      </c>
      <c r="H525" s="41" t="n">
        <v>0.500000001</v>
      </c>
      <c r="I525" s="39" t="str">
        <f aca="false">IFERROR(IF(ISNUMBER(F525),IF(ABS(F525-E525)&lt;=H525,"PASS","FAIL"),"FAIL"),"FAIL")</f>
        <v>PASS</v>
      </c>
    </row>
    <row r="526" customFormat="false" ht="15" hidden="false" customHeight="false" outlineLevel="0" collapsed="false">
      <c r="B526" s="40" t="n">
        <v>517</v>
      </c>
      <c r="C526" s="9" t="s">
        <v>405</v>
      </c>
      <c r="D526" s="9" t="s">
        <v>903</v>
      </c>
      <c r="E526" s="13" t="n">
        <v>593676</v>
      </c>
      <c r="F526" s="19" t="n">
        <f aca="false">Review!$C$81</f>
        <v>593676.084808359</v>
      </c>
      <c r="G526" s="37" t="n">
        <f aca="false">IFERROR(IF(ISNUMBER(F526),F526-E526,"n/a"),"n/a")</f>
        <v>0.0848083589226008</v>
      </c>
      <c r="H526" s="41" t="n">
        <v>0.500000001</v>
      </c>
      <c r="I526" s="39" t="str">
        <f aca="false">IFERROR(IF(ISNUMBER(F526),IF(ABS(F526-E526)&lt;=H526,"PASS","FAIL"),"FAIL"),"FAIL")</f>
        <v>PASS</v>
      </c>
    </row>
    <row r="527" customFormat="false" ht="15" hidden="false" customHeight="false" outlineLevel="0" collapsed="false">
      <c r="B527" s="40" t="n">
        <v>518</v>
      </c>
      <c r="C527" s="9" t="s">
        <v>405</v>
      </c>
      <c r="D527" s="9" t="s">
        <v>904</v>
      </c>
      <c r="E527" s="29" t="n">
        <v>0.049</v>
      </c>
      <c r="F527" s="36" t="n">
        <f aca="false">Review!$C$82</f>
        <v>0.0493862409877602</v>
      </c>
      <c r="G527" s="37" t="n">
        <f aca="false">IFERROR(IF(ISNUMBER(F527),F527-E527,"n/a"),"n/a")</f>
        <v>0.000386240987760217</v>
      </c>
      <c r="H527" s="41" t="n">
        <v>0.000500001</v>
      </c>
      <c r="I527" s="39" t="str">
        <f aca="false">IFERROR(IF(ISNUMBER(F527),IF(ABS(F527-E527)&lt;=H527,"PASS","FAIL"),"FAIL"),"FAIL")</f>
        <v>PASS</v>
      </c>
    </row>
  </sheetData>
  <mergeCells count="1">
    <mergeCell ref="C7:D7"/>
  </mergeCells>
  <conditionalFormatting sqref="I10:I527">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2026-09-25T20:27:51Z</dcterms:created>
  <dc:creator>openpyxl</dc:creator>
  <dc:description/>
  <dc:language>en-US</dc:language>
  <cp:lastModifiedBy/>
  <dcterms:modified xsi:type="dcterms:W3CDTF">2026-09-25T20:27:52Z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