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Reconciliation" sheetId="2" state="visible" r:id="rId4"/>
    <sheet name="Price_and_Bridge" sheetId="3" state="visible" r:id="rId5"/>
    <sheet name="Exchange_Tax" sheetId="4" state="visible" r:id="rId6"/>
    <sheet name="Investment_Value" sheetId="5" state="visible" r:id="rId7"/>
    <sheet name="Special" sheetId="6" state="visible" r:id="rId8"/>
    <sheet name="Rules"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<sst xmlns="http://schemas.openxmlformats.org/spreadsheetml/2006/main" count="761" uniqueCount="554">
  <si>
    <t xml:space="preserve">Appraisal_Reconciliation_and_Bridge.xlsx: from three indications to one opinion, and from the opinion to the price</t>
  </si>
  <si>
    <t xml:space="preserve">Companion workbook to Real Estate Appraisal: Appraisal by the Numbers: The Three Approaches, Reconciliation, and Why the Appraised Value Differs from the Price, With the Models Supplied. By Julian R. Sterling. julianrsterling.com/appraisal</t>
  </si>
  <si>
    <t xml:space="preserve">What it is</t>
  </si>
  <si>
    <t xml:space="preserve">The reconciliation of the three approaches, the contract price and the eight components of the gap between value and price, the tax at stake in the buyer's exchange, the buyer's own DCF (investment value), the partial interest and hotel cases, and the numeric constants of the rules the book cites.</t>
  </si>
  <si>
    <t xml:space="preserve">Where it is in the book</t>
  </si>
  <si>
    <t xml:space="preserve">Chapters 12 (reconciliation), 13 to 17 (the price, the bridge, investment value, the exchange), 21 (special situations), Chapter 2 and Appendix C (the rules).</t>
  </si>
  <si>
    <t xml:space="preserve">Sheets</t>
  </si>
  <si>
    <t xml:space="preserve">Reconciliation; Price_and_Bridge; Exchange_Tax; Investment_Value; Special; Rules; Checks.</t>
  </si>
  <si>
    <t xml:space="preserve">Conventions</t>
  </si>
  <si>
    <t xml:space="preserve">Yellow cells with blue type are inputs; grey cells are formulas. Change an input and every sheet follows. Money in US dollars, annual figures unless a label says a month. Rents are monthly per unit. A cap rate is NOI divided by price, with NOI on the appraiser's basis (market management fee and reserves). Commercial values are rounded to 50,000 and residential values to 1,000 only where the book rounds. No macros, no circular references, no external links, nothing locked, protected or hidden.</t>
  </si>
  <si>
    <t xml:space="preserve">Kestrel Park Apartments, Auberon, the Westlake submarket, every comparable, party and person are fictional. Every rent, expense, cap rate and cost figure is the book's assumption, not market data.</t>
  </si>
  <si>
    <t xml:space="preserve">Checks</t>
  </si>
  <si>
    <t xml:space="preserve">The last sheet, Checks, sets every figure the book prints from this workbook beside the live cell that computes it, with a tolerance of half a unit of the last printed digit, plus logic checks. Its global status reads PASS only if every check passes.</t>
  </si>
  <si>
    <t xml:space="preserve">The file is provided without warranty of any kind. It is a teaching model, not an appraisal, and not investment, legal or tax advice.</t>
  </si>
  <si>
    <t xml:space="preserve">Reconciliation: three indications, one opinion</t>
  </si>
  <si>
    <t xml:space="preserve">The unrounded indications come from the income and the sales and cost workbooks. The weighted average is a check, not the method; the final value is the appraiser's judgment, entered as an input and tested.</t>
  </si>
  <si>
    <t xml:space="preserve">The subject and the as-is deductions</t>
  </si>
  <si>
    <t xml:space="preserve">Units</t>
  </si>
  <si>
    <t xml:space="preserve">Deferred maintenance: the roofs</t>
  </si>
  <si>
    <t xml:space="preserve">Loss to lease deducted as is (half of one year)</t>
  </si>
  <si>
    <t xml:space="preserve">As-is deductions, total</t>
  </si>
  <si>
    <t xml:space="preserve">Rounding step of a commercial value</t>
  </si>
  <si>
    <t xml:space="preserve">The indications before rounding (from the other workbooks)</t>
  </si>
  <si>
    <t xml:space="preserve">Direct capitalization, as is</t>
  </si>
  <si>
    <t xml:space="preserve">DCF, as is</t>
  </si>
  <si>
    <t xml:space="preserve">Sales comparison, as is</t>
  </si>
  <si>
    <t xml:space="preserve">Cost approach</t>
  </si>
  <si>
    <t xml:space="preserve">The indications as the appraiser carries them (rounded to the step)</t>
  </si>
  <si>
    <t xml:space="preserve">Direct capitalization, as is, rounded</t>
  </si>
  <si>
    <t xml:space="preserve">DCF, rounded</t>
  </si>
  <si>
    <t xml:space="preserve">Direct capitalization less DCF</t>
  </si>
  <si>
    <t xml:space="preserve">Income approach: midpoint of the two unrounded values, rounded</t>
  </si>
  <si>
    <t xml:space="preserve">Sales comparison, as is, rounded</t>
  </si>
  <si>
    <t xml:space="preserve">Cost approach, rounded</t>
  </si>
  <si>
    <t xml:space="preserve">Sales comparison less income indication</t>
  </si>
  <si>
    <t xml:space="preserve">Lowest of the three indications</t>
  </si>
  <si>
    <t xml:space="preserve">Highest of the three indications</t>
  </si>
  <si>
    <t xml:space="preserve">Spread between the three</t>
  </si>
  <si>
    <t xml:space="preserve">The weighted check</t>
  </si>
  <si>
    <t xml:space="preserve">Weight on the sales comparison approach</t>
  </si>
  <si>
    <t xml:space="preserve">Weight on the income approach</t>
  </si>
  <si>
    <t xml:space="preserve">Weight on the cost approach</t>
  </si>
  <si>
    <t xml:space="preserve">Weights, total</t>
  </si>
  <si>
    <t xml:space="preserve">Weighted average of the three indications</t>
  </si>
  <si>
    <t xml:space="preserve">Weighted average, rounded</t>
  </si>
  <si>
    <t xml:space="preserve">The opinion</t>
  </si>
  <si>
    <t xml:space="preserve">Market value as is, fee simple, at the effective date (the appraiser's opinion)</t>
  </si>
  <si>
    <t xml:space="preserve">The opinion sits inside the range of the indications</t>
  </si>
  <si>
    <t xml:space="preserve">Per unit</t>
  </si>
  <si>
    <t xml:space="preserve">Prospective market value as stabilized: as is plus the deductions, rounded</t>
  </si>
  <si>
    <t xml:space="preserve">As stabilized less as is</t>
  </si>
  <si>
    <t xml:space="preserve">Spread of the indications as a share of the final value</t>
  </si>
  <si>
    <t xml:space="preserve">Cost approach less final value</t>
  </si>
  <si>
    <t xml:space="preserve">Cost approach above final value, percent</t>
  </si>
  <si>
    <t xml:space="preserve">Rounding step as a share of value</t>
  </si>
  <si>
    <t xml:space="preserve">The price and the bridge from value to price: eight components, each from its own inputs</t>
  </si>
  <si>
    <t xml:space="preserve">Price less value is the gross gap. Each component is measured on its own evidence; what the eight do not explain is the residual. The regroupings show which parts are terms, which are this buyer's, which are pressure, and which are the appraisal's.</t>
  </si>
  <si>
    <t xml:space="preserve">The sale</t>
  </si>
  <si>
    <t xml:space="preserve">Contract price</t>
  </si>
  <si>
    <t xml:space="preserve">Contract price per unit</t>
  </si>
  <si>
    <t xml:space="preserve">Seller's credit at closing for the roofs</t>
  </si>
  <si>
    <t xml:space="preserve">Price net of the roof credit</t>
  </si>
  <si>
    <t xml:space="preserve">Market value as is (Reconciliation)</t>
  </si>
  <si>
    <t xml:space="preserve">Gross gap: price less value</t>
  </si>
  <si>
    <t xml:space="preserve">Gross gap as a share of value</t>
  </si>
  <si>
    <t xml:space="preserve">Price as a share of value</t>
  </si>
  <si>
    <t xml:space="preserve">Net gap: net price less value</t>
  </si>
  <si>
    <t xml:space="preserve">Net gap as a share of value</t>
  </si>
  <si>
    <t xml:space="preserve">Broker's pricing guidance at launch (unpriced offering)</t>
  </si>
  <si>
    <t xml:space="preserve">Price over guidance</t>
  </si>
  <si>
    <t xml:space="preserve">Days of marketing before best and final</t>
  </si>
  <si>
    <t xml:space="preserve">Offers received</t>
  </si>
  <si>
    <t xml:space="preserve">Cover bid: the second-highest offer in best and final</t>
  </si>
  <si>
    <t xml:space="preserve">Cover bid per unit</t>
  </si>
  <si>
    <t xml:space="preserve">Cover bid less appraised value</t>
  </si>
  <si>
    <t xml:space="preserve">Cover bid above value, percent</t>
  </si>
  <si>
    <t xml:space="preserve">Component 1: seller concession</t>
  </si>
  <si>
    <t xml:space="preserve">The roof credit: a payment from seller to buyer inside the price</t>
  </si>
  <si>
    <t xml:space="preserve">Component 2: financing, the assumed loan below market (cash equivalency)</t>
  </si>
  <si>
    <t xml:space="preserve">Assumed loan: balance</t>
  </si>
  <si>
    <t xml:space="preserve">Assumed loan: fixed rate</t>
  </si>
  <si>
    <t xml:space="preserve">Assumed loan: months remaining, interest only</t>
  </si>
  <si>
    <t xml:space="preserve">Market rate for a new loan</t>
  </si>
  <si>
    <t xml:space="preserve">Market rate less assumed rate, points</t>
  </si>
  <si>
    <t xml:space="preserve">Interest saved a month</t>
  </si>
  <si>
    <t xml:space="preserve">Interest saved a year</t>
  </si>
  <si>
    <t xml:space="preserve">Annuity factor: the remaining months at the market rate, monthly</t>
  </si>
  <si>
    <t xml:space="preserve">Present value of the interest saved</t>
  </si>
  <si>
    <t xml:space="preserve">Assumed loan as a share of the price</t>
  </si>
  <si>
    <t xml:space="preserve">Component 3: market movement the comparables' dates did not capture (the date lag)</t>
  </si>
  <si>
    <t xml:space="preserve">Time pair: first sale, price per unit</t>
  </si>
  <si>
    <t xml:space="preserve">Time pair: resale, price per unit</t>
  </si>
  <si>
    <t xml:space="preserve">Time pair: months between the two sales</t>
  </si>
  <si>
    <t xml:space="preserve">Paired resale rate, compound change a month</t>
  </si>
  <si>
    <t xml:space="preserve">Survey rate the appraiser used a month</t>
  </si>
  <si>
    <t xml:space="preserve">Paired rate less survey rate, points a month</t>
  </si>
  <si>
    <t xml:space="preserve">Months between each sale and the effective date</t>
  </si>
  <si>
    <t xml:space="preserve">Months</t>
  </si>
  <si>
    <t xml:space="preserve">Sale 1: Larkin Ridge</t>
  </si>
  <si>
    <t xml:space="preserve">Sale 2: Sable Creek</t>
  </si>
  <si>
    <t xml:space="preserve">Sale 3: Windrow Flats</t>
  </si>
  <si>
    <t xml:space="preserve">Sale 4: Alder Bend</t>
  </si>
  <si>
    <t xml:space="preserve">Sale 5: Merriwether Place</t>
  </si>
  <si>
    <t xml:space="preserve">Average age of the five sales, months</t>
  </si>
  <si>
    <t xml:space="preserve">Understatement of the market conditions adjustment over the average age</t>
  </si>
  <si>
    <t xml:space="preserve">Value x understatement</t>
  </si>
  <si>
    <t xml:space="preserve">Component 4: the buyer's cost structure (investment value)</t>
  </si>
  <si>
    <t xml:space="preserve">Appraiser's effective gross income (income workbook)</t>
  </si>
  <si>
    <t xml:space="preserve">Appraiser's management fee, share of EGI</t>
  </si>
  <si>
    <t xml:space="preserve">Buyer's management fee, share of EGI (affiliated manager)</t>
  </si>
  <si>
    <t xml:space="preserve">Management saving a year</t>
  </si>
  <si>
    <t xml:space="preserve">Appraiser's insurance per unit</t>
  </si>
  <si>
    <t xml:space="preserve">Buyer's insurance per unit (portfolio program)</t>
  </si>
  <si>
    <t xml:space="preserve">Insurance saving a year</t>
  </si>
  <si>
    <t xml:space="preserve">NOI added by the buyer's cost structure</t>
  </si>
  <si>
    <t xml:space="preserve">Cap rate by extraction</t>
  </si>
  <si>
    <t xml:space="preserve">Cost structure capitalized at the extracted rate</t>
  </si>
  <si>
    <t xml:space="preserve">Component 5: the buyer's information (renovation premiums) and the renovation test</t>
  </si>
  <si>
    <t xml:space="preserve">Units the buyer plans to renovate in year 1</t>
  </si>
  <si>
    <t xml:space="preserve">Renovation cost per unit</t>
  </si>
  <si>
    <t xml:space="preserve">Rent premium a month observed at the sister property</t>
  </si>
  <si>
    <t xml:space="preserve">Rent premium a month in the submarket's evidence</t>
  </si>
  <si>
    <t xml:space="preserve">Buyer's premium evidence less the submarket's, a month</t>
  </si>
  <si>
    <t xml:space="preserve">Program cost</t>
  </si>
  <si>
    <t xml:space="preserve">Added NOI a year</t>
  </si>
  <si>
    <t xml:space="preserve">Value added at the extracted rate</t>
  </si>
  <si>
    <t xml:space="preserve">Value added less cost</t>
  </si>
  <si>
    <t xml:space="preserve">Share of the net value the buyer's memo allows in the price</t>
  </si>
  <si>
    <t xml:space="preserve">Information component: net value x share paid</t>
  </si>
  <si>
    <t xml:space="preserve">Component 6: portfolio premium (staff shared with the sister property)</t>
  </si>
  <si>
    <t xml:space="preserve">Payroll saved at the subject a year</t>
  </si>
  <si>
    <t xml:space="preserve">Capitalized at the extracted rate</t>
  </si>
  <si>
    <t xml:space="preserve">Share the buyer's memo allows in the price</t>
  </si>
  <si>
    <t xml:space="preserve">Portfolio component</t>
  </si>
  <si>
    <t xml:space="preserve">Component 7: exchange pressure</t>
  </si>
  <si>
    <t xml:space="preserve">Price less cover bid: what the buyer bid above the next buyer</t>
  </si>
  <si>
    <t xml:space="preserve">Component 8: seller motivation</t>
  </si>
  <si>
    <t xml:space="preserve">Discount or premium for the seller's motivation (open marketing, nine offers: none found)</t>
  </si>
  <si>
    <t xml:space="preserve">The bridge</t>
  </si>
  <si>
    <t xml:space="preserve">Component</t>
  </si>
  <si>
    <t xml:space="preserve">Dollars</t>
  </si>
  <si>
    <t xml:space="preserve">Share of the gross gap</t>
  </si>
  <si>
    <t xml:space="preserve">1. Seller concession: the roof credit</t>
  </si>
  <si>
    <t xml:space="preserve">2. Financing: the assumed loan below market</t>
  </si>
  <si>
    <t xml:space="preserve">3. Market movement the comparables' dates did not capture</t>
  </si>
  <si>
    <t xml:space="preserve">4. Buyer's cost structure</t>
  </si>
  <si>
    <t xml:space="preserve">5. Buyer's information: renovation premiums</t>
  </si>
  <si>
    <t xml:space="preserve">6. Portfolio premium</t>
  </si>
  <si>
    <t xml:space="preserve">7. Exchange pressure: bid above the cover bid</t>
  </si>
  <si>
    <t xml:space="preserve">8. Seller motivation</t>
  </si>
  <si>
    <t xml:space="preserve">Explained: the sum of the eight</t>
  </si>
  <si>
    <t xml:space="preserve">Residual: gap less explained</t>
  </si>
  <si>
    <t xml:space="preserve">Residual as a share of value</t>
  </si>
  <si>
    <t xml:space="preserve">Regrouped</t>
  </si>
  <si>
    <t xml:space="preserve">Terms of the deal: concession and financing</t>
  </si>
  <si>
    <t xml:space="preserve">This buyer's: cost structure, information, portfolio</t>
  </si>
  <si>
    <t xml:space="preserve">Pressure: the exchange</t>
  </si>
  <si>
    <t xml:space="preserve">The appraisal's: the date lag and the residual</t>
  </si>
  <si>
    <t xml:space="preserve">The appraisal's share of the gross gap</t>
  </si>
  <si>
    <t xml:space="preserve">The appraisal's share as a share of value</t>
  </si>
  <si>
    <t xml:space="preserve">The four groups plus motivation add back to the gross gap</t>
  </si>
  <si>
    <t xml:space="preserve">The cash-equivalent price</t>
  </si>
  <si>
    <t xml:space="preserve">Price less concession less financing</t>
  </si>
  <si>
    <t xml:space="preserve">Cash-equivalent price above value, percent</t>
  </si>
  <si>
    <t xml:space="preserve">The 1031 exchange: the tax due if the exchange fails</t>
  </si>
  <si>
    <t xml:space="preserve">Unrecaptured section 1250 gain at its own rate, the rest of the gain at the long-term rate, both plus the net investment income tax and an assumed state rate. The state is invented.</t>
  </si>
  <si>
    <t xml:space="preserve">Relinquished property: sale price</t>
  </si>
  <si>
    <t xml:space="preserve">Relinquished property: adjusted basis</t>
  </si>
  <si>
    <t xml:space="preserve">Gain</t>
  </si>
  <si>
    <t xml:space="preserve">Of which unrecaptured section 1250 gain (depreciation taken)</t>
  </si>
  <si>
    <t xml:space="preserve">Of which remaining long-term gain</t>
  </si>
  <si>
    <t xml:space="preserve">Federal long-term capital gains rate</t>
  </si>
  <si>
    <t xml:space="preserve">Federal rate on unrecaptured section 1250 gain</t>
  </si>
  <si>
    <t xml:space="preserve">Net investment income tax</t>
  </si>
  <si>
    <t xml:space="preserve">Assumed state rate</t>
  </si>
  <si>
    <t xml:space="preserve">Tax on the recapture</t>
  </si>
  <si>
    <t xml:space="preserve">Tax on the rest of the gain</t>
  </si>
  <si>
    <t xml:space="preserve">Tax due if the exchange fails</t>
  </si>
  <si>
    <t xml:space="preserve">Tax due as a share of the contract price</t>
  </si>
  <si>
    <t xml:space="preserve">Exchange premium (Price_and_Bridge) as a share of the tax at stake</t>
  </si>
  <si>
    <t xml:space="preserve">The buyer's investment value: its own DCF with its cost structure, its renovation program and shared staff</t>
  </si>
  <si>
    <t xml:space="preserve">The same market rent path as the appraiser's DCF, the buyer's expenses, the program's cost in year 1 and its premium rent from year 1 (half) onward, the shared payroll, and the buyer's terminal rate.</t>
  </si>
  <si>
    <t xml:space="preserve">The market rent path (the same rule as the appraiser's market analysis)</t>
  </si>
  <si>
    <t xml:space="preserve">Submarket inventory, units</t>
  </si>
  <si>
    <t xml:space="preserve">Submarket occupancy at the effective date</t>
  </si>
  <si>
    <t xml:space="preserve">New renter households a year</t>
  </si>
  <si>
    <t xml:space="preserve">Stabilized vacancy</t>
  </si>
  <si>
    <t xml:space="preserve">Trend rent growth at the stabilized vacancy</t>
  </si>
  <si>
    <t xml:space="preserve">Points of growth lost per point of vacancy above the stabilized rate</t>
  </si>
  <si>
    <t xml:space="preserve">Long-run rent growth, years 7 to 11</t>
  </si>
  <si>
    <t xml:space="preserve">Year</t>
  </si>
  <si>
    <t xml:space="preserve">Year 0</t>
  </si>
  <si>
    <t xml:space="preserve">Year 1</t>
  </si>
  <si>
    <t xml:space="preserve">Year 2</t>
  </si>
  <si>
    <t xml:space="preserve">Year 3</t>
  </si>
  <si>
    <t xml:space="preserve">Year 4</t>
  </si>
  <si>
    <t xml:space="preserve">Year 5</t>
  </si>
  <si>
    <t xml:space="preserve">Units delivered in the year</t>
  </si>
  <si>
    <t xml:space="preserve">New renter households in the year (demand)</t>
  </si>
  <si>
    <t xml:space="preserve">Inventory at the end of the year, units</t>
  </si>
  <si>
    <t xml:space="preserve">Occupied units at the end of the year</t>
  </si>
  <si>
    <t xml:space="preserve">Vacancy at the end of the year</t>
  </si>
  <si>
    <t xml:space="preserve">Market rent growth applied in the following DCF year</t>
  </si>
  <si>
    <t xml:space="preserve">The buyer's operating inputs</t>
  </si>
  <si>
    <t xml:space="preserve">Market rent, all units, a year</t>
  </si>
  <si>
    <t xml:space="preserve">Loss to lease a year</t>
  </si>
  <si>
    <t xml:space="preserve">Share of the loss to lease lost in year 1</t>
  </si>
  <si>
    <t xml:space="preserve">Other income a year</t>
  </si>
  <si>
    <t xml:space="preserve">Vacancy and collection loss</t>
  </si>
  <si>
    <t xml:space="preserve">Buyer's expense lines, per unit a year</t>
  </si>
  <si>
    <t xml:space="preserve">Real estate taxes</t>
  </si>
  <si>
    <t xml:space="preserve">Insurance</t>
  </si>
  <si>
    <t xml:space="preserve">Utilities</t>
  </si>
  <si>
    <t xml:space="preserve">Repairs and maintenance</t>
  </si>
  <si>
    <t xml:space="preserve">Payroll</t>
  </si>
  <si>
    <t xml:space="preserve">Administrative and marketing</t>
  </si>
  <si>
    <t xml:space="preserve">Turnover</t>
  </si>
  <si>
    <t xml:space="preserve">Replacement reserves</t>
  </si>
  <si>
    <t xml:space="preserve">Fixed operating expenses of year 1 (per unit lines x units)</t>
  </si>
  <si>
    <t xml:space="preserve">Management fee, share of EGI (Price_and_Bridge)</t>
  </si>
  <si>
    <t xml:space="preserve">Expense growth a year</t>
  </si>
  <si>
    <t xml:space="preserve">Other income growth a year</t>
  </si>
  <si>
    <t xml:space="preserve">Roofs in year 1 (Reconciliation)</t>
  </si>
  <si>
    <t xml:space="preserve">Renovation program cost in year 1 (Price_and_Bridge)</t>
  </si>
  <si>
    <t xml:space="preserve">Premium rent a year at full run rate (Price_and_Bridge)</t>
  </si>
  <si>
    <t xml:space="preserve">Shared payroll saved a year (Price_and_Bridge)</t>
  </si>
  <si>
    <t xml:space="preserve">Buyer's discount rate</t>
  </si>
  <si>
    <t xml:space="preserve">Buyer's terminal cap rate</t>
  </si>
  <si>
    <t xml:space="preserve">Selling costs at reversion</t>
  </si>
  <si>
    <t xml:space="preserve">The buyer's cash flows, years 1 to 11</t>
  </si>
  <si>
    <t xml:space="preserve">Market rent growth applied in the year</t>
  </si>
  <si>
    <t xml:space="preserve">Market rent, all units (potential)</t>
  </si>
  <si>
    <t xml:space="preserve">Rental income (contract rents rolling to market in year 1)</t>
  </si>
  <si>
    <t xml:space="preserve">Other income</t>
  </si>
  <si>
    <t xml:space="preserve">Less vacancy and collection loss</t>
  </si>
  <si>
    <t xml:space="preserve">Added NOI: the buyer's renovation premiums and shared staff</t>
  </si>
  <si>
    <t xml:space="preserve">Effective gross income</t>
  </si>
  <si>
    <t xml:space="preserve">Fixed operating expenses (before management)</t>
  </si>
  <si>
    <t xml:space="preserve">Management fee</t>
  </si>
  <si>
    <t xml:space="preserve">Total operating expenses</t>
  </si>
  <si>
    <t xml:space="preserve">Net operating income</t>
  </si>
  <si>
    <t xml:space="preserve">Capital items</t>
  </si>
  <si>
    <t xml:space="preserve">Cash flow (NOI less capital items)</t>
  </si>
  <si>
    <t xml:space="preserve">Discount factor, end of year</t>
  </si>
  <si>
    <t xml:space="preserve">Present value of the cash flow</t>
  </si>
  <si>
    <t xml:space="preserve">Reversion and value</t>
  </si>
  <si>
    <t xml:space="preserve">Reversion: year 11 NOI capitalized at the terminal rate</t>
  </si>
  <si>
    <t xml:space="preserve">Less selling costs</t>
  </si>
  <si>
    <t xml:space="preserve">Net reversion</t>
  </si>
  <si>
    <t xml:space="preserve">Present value of the net reversion (discounted from the end of year 10)</t>
  </si>
  <si>
    <t xml:space="preserve">Present value of the ten cash flows</t>
  </si>
  <si>
    <t xml:space="preserve">Value by the DCF, as is, before rounding</t>
  </si>
  <si>
    <t xml:space="preserve">Share of the value that is the reversion</t>
  </si>
  <si>
    <t xml:space="preserve">Cap rate the DCF implies: year 1 NOI / value</t>
  </si>
  <si>
    <t xml:space="preserve">Investment value against market value and price</t>
  </si>
  <si>
    <t xml:space="preserve">Investment value, rounded to 50,000</t>
  </si>
  <si>
    <t xml:space="preserve">Investment value less market value</t>
  </si>
  <si>
    <t xml:space="preserve">Investment value less net price (what the buyer kept)</t>
  </si>
  <si>
    <t xml:space="preserve">Special situations: a partial interest in Kestrel Park, and a hotel going concern split</t>
  </si>
  <si>
    <t xml:space="preserve">Half the whole is not the value of a half. A hotel's going concern is split into real property, furniture and equipment, and the business.</t>
  </si>
  <si>
    <t xml:space="preserve">A 50 percent undivided interest</t>
  </si>
  <si>
    <t xml:space="preserve">Undivided interest appraised</t>
  </si>
  <si>
    <t xml:space="preserve">Pro rata share of the whole</t>
  </si>
  <si>
    <t xml:space="preserve">Discount for lack of control and marketability (assumed)</t>
  </si>
  <si>
    <t xml:space="preserve">Value of the interest</t>
  </si>
  <si>
    <t xml:space="preserve">The discount in dollars</t>
  </si>
  <si>
    <t xml:space="preserve">A 110-key limited-service hotel: the going concern and its split</t>
  </si>
  <si>
    <t xml:space="preserve">Keys</t>
  </si>
  <si>
    <t xml:space="preserve">Average daily rate</t>
  </si>
  <si>
    <t xml:space="preserve">Occupancy</t>
  </si>
  <si>
    <t xml:space="preserve">Revenue per available room</t>
  </si>
  <si>
    <t xml:space="preserve">Rooms revenue a year: keys x 365 x occupancy x rate</t>
  </si>
  <si>
    <t xml:space="preserve">Other revenue as a share of rooms revenue</t>
  </si>
  <si>
    <t xml:space="preserve">Total revenue</t>
  </si>
  <si>
    <t xml:space="preserve">NOI margin after management and franchise fees and an FF&amp;E reserve</t>
  </si>
  <si>
    <t xml:space="preserve">NOI</t>
  </si>
  <si>
    <t xml:space="preserve">Cap rate on the going concern</t>
  </si>
  <si>
    <t xml:space="preserve">Value of the going concern</t>
  </si>
  <si>
    <t xml:space="preserve">Going concern per key</t>
  </si>
  <si>
    <t xml:space="preserve">Furniture, fixtures and equipment per key</t>
  </si>
  <si>
    <t xml:space="preserve">FF&amp;E</t>
  </si>
  <si>
    <t xml:space="preserve">Share of revenue attributed to the flag and the operating team (assumption)</t>
  </si>
  <si>
    <t xml:space="preserve">Business income</t>
  </si>
  <si>
    <t xml:space="preserve">Cap rate on the business income</t>
  </si>
  <si>
    <t xml:space="preserve">Intangible business value</t>
  </si>
  <si>
    <t xml:space="preserve">Real property: the going concern less FF&amp;E and business value</t>
  </si>
  <si>
    <t xml:space="preserve">Real property as a share of the going concern</t>
  </si>
  <si>
    <t xml:space="preserve">The real rules the book states, as this book was written, and the assignment's figures</t>
  </si>
  <si>
    <t xml:space="preserve">Numeric constants of the rules as inputs, so they can be updated when the rules change. Everything about the assignment (fee, days, pages) is the case's figure, not a statistic.</t>
  </si>
  <si>
    <t xml:space="preserve">Federal appraisal thresholds (12 CFR 34.43 and the sister rules of the Federal Reserve and the FDIC)</t>
  </si>
  <si>
    <t xml:space="preserve">Commercial real estate transactions: appraisal required above (rule of April 2018)</t>
  </si>
  <si>
    <t xml:space="preserve">Residential transactions: appraisal required above (rule of October 2019)</t>
  </si>
  <si>
    <t xml:space="preserve">Qualifying business loans not dependent on the real estate, exempt at or below</t>
  </si>
  <si>
    <t xml:space="preserve">Kestrel Park's price sits above the commercial threshold</t>
  </si>
  <si>
    <t xml:space="preserve">41 Linden Grove: contract price (residential workbook)</t>
  </si>
  <si>
    <t xml:space="preserve">41 Linden Grove's contract sits above the residential threshold</t>
  </si>
  <si>
    <t xml:space="preserve">AQB Real Property Appraiser Qualification Criteria (The Appraisal Foundation)</t>
  </si>
  <si>
    <t xml:space="preserve">Trainee: hours of qualifying education</t>
  </si>
  <si>
    <t xml:space="preserve">Licensed residential: hours of qualifying education</t>
  </si>
  <si>
    <t xml:space="preserve">Licensed residential: hours of experience</t>
  </si>
  <si>
    <t xml:space="preserve">Licensed residential: minimum months of experience</t>
  </si>
  <si>
    <t xml:space="preserve">Certified residential: hours of qualifying education</t>
  </si>
  <si>
    <t xml:space="preserve">Certified residential: hours of experience</t>
  </si>
  <si>
    <t xml:space="preserve">Certified residential: minimum months of experience</t>
  </si>
  <si>
    <t xml:space="preserve">Certified general: hours of qualifying education</t>
  </si>
  <si>
    <t xml:space="preserve">Certified general: hours of experience</t>
  </si>
  <si>
    <t xml:space="preserve">Certified general: minimum months of experience</t>
  </si>
  <si>
    <t xml:space="preserve">Certified general: of which non-residential hours</t>
  </si>
  <si>
    <t xml:space="preserve">Licensed residential: transaction value limit, non-complex one to four units</t>
  </si>
  <si>
    <t xml:space="preserve">Licensed residential: transaction value limit, complex one to four units</t>
  </si>
  <si>
    <t xml:space="preserve">Section 1031 of the Internal Revenue Code (real property only for exchanges after December 31, 2017)</t>
  </si>
  <si>
    <t xml:space="preserve">Identification period, days</t>
  </si>
  <si>
    <t xml:space="preserve">Exchange period, days</t>
  </si>
  <si>
    <t xml:space="preserve">The three-property rule: properties of any value</t>
  </si>
  <si>
    <t xml:space="preserve">The 200 percent rule: any number whose total does not exceed this share of the relinquished value</t>
  </si>
  <si>
    <t xml:space="preserve">Standards, guidelines, the reconsideration of value and the form</t>
  </si>
  <si>
    <t xml:space="preserve">USPAP edition in effect (in effect since January 1, 2024, no fixed expiration)</t>
  </si>
  <si>
    <t xml:space="preserve">Interagency Appraisal and Evaluation Guidelines, year (December 2010)</t>
  </si>
  <si>
    <t xml:space="preserve">Reconsideration of value requirements of the two housing agencies, year announced (May 1, 2024)</t>
  </si>
  <si>
    <t xml:space="preserve">Alternative comparable sales a borrower may submit in a reconsideration of value</t>
  </si>
  <si>
    <t xml:space="preserve">Year the dynamic URAR (UAD 3.6) becomes mandatory (November 2, 2026)</t>
  </si>
  <si>
    <t xml:space="preserve">Fannie Mae (SEL-2024-03) and Freddie Mac (Bulletin 2024-6): one reconsideration of value per appraisal; the lender passes the borrower's data to the appraiser, who answers in writing. Applies to loans with application dates on or after October 31, 2024; revised in November 2025. HUD's parallel FHA requirement was rescinded on March 19, 2025.</t>
  </si>
  <si>
    <t xml:space="preserve">The assignment (the case's figures)</t>
  </si>
  <si>
    <t xml:space="preserve">The appraiser's fee for this assignment</t>
  </si>
  <si>
    <t xml:space="preserve">Days from engagement to report</t>
  </si>
  <si>
    <t xml:space="preserve">Pages of the report, addenda included</t>
  </si>
  <si>
    <t xml:space="preserve">Fee as a share of value</t>
  </si>
  <si>
    <t xml:space="preserve">Fee per unit appraised</t>
  </si>
  <si>
    <t xml:space="preserve">The residential fee</t>
  </si>
  <si>
    <t xml:space="preserve">Days from order to residential report</t>
  </si>
  <si>
    <t xml:space="preserve">Exposure time, low end, months</t>
  </si>
  <si>
    <t xml:space="preserve">Exposure time, high end, months</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</si>
  <si>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</si>
  <si>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</si>
  <si>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</si>
  <si>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</si>
  <si>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</si>
  <si>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</si>
  <si>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</si>
  <si>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</si>
  <si>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</si>
  <si>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</si>
  <si>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</si>
  <si>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</si>
  <si>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</si>
  <si>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</si>
  <si>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Reconciliation</t>
  </si>
  <si>
    <t xml:space="preserve">The final value sits inside the range of the three indications</t>
  </si>
  <si>
    <t xml:space="preserve">holds</t>
  </si>
  <si>
    <t xml:space="preserve">The weights add up to 100 percent</t>
  </si>
  <si>
    <t xml:space="preserve">The final value is a multiple of the rounding step</t>
  </si>
  <si>
    <t xml:space="preserve">Price_and_Bridge</t>
  </si>
  <si>
    <t xml:space="preserve">Explained plus residual equals the gross gap</t>
  </si>
  <si>
    <t xml:space="preserve">The four regroupings add back to the gross gap</t>
  </si>
  <si>
    <t xml:space="preserve">The residual is smaller than the rounding step of the value</t>
  </si>
  <si>
    <t xml:space="preserve">Exchange_Tax</t>
  </si>
  <si>
    <t xml:space="preserve">Recapture plus the rest equals the gain</t>
  </si>
  <si>
    <t xml:space="preserve">Investment_Value</t>
  </si>
  <si>
    <t xml:space="preserve">V_INVEST: Value by the DCF, as is, before rounding</t>
  </si>
  <si>
    <t xml:space="preserve">The buyer paid less than its investment value and more than market value</t>
  </si>
  <si>
    <t xml:space="preserve">The market rent path matches the appraiser's rule (year 2 growth from year 1 vacancy)</t>
  </si>
  <si>
    <t xml:space="preserve">Special</t>
  </si>
  <si>
    <t xml:space="preserve">Real property, FF&amp;E and the business add back to the going concern</t>
  </si>
  <si>
    <t xml:space="preserve">Rules</t>
  </si>
  <si>
    <t xml:space="preserve">The identification period is shorter than the exchange period</t>
  </si>
  <si>
    <t xml:space="preserve">UNITS: Units</t>
  </si>
  <si>
    <t xml:space="preserve">DEFERRED_MAINTENANCE: Deferred maintenance: the roofs</t>
  </si>
  <si>
    <t xml:space="preserve">LTL_DEDUCTION: Loss to lease deducted as is (half of one year)</t>
  </si>
  <si>
    <t xml:space="preserve">ASIS_DEDUCTIONS: As-is deductions, total</t>
  </si>
  <si>
    <t xml:space="preserve">ROUNDING_STEP: Rounding step of a commercial value</t>
  </si>
  <si>
    <t xml:space="preserve">V_DIRECT_ASIS: Direct capitalization, as is</t>
  </si>
  <si>
    <t xml:space="preserve">V_DCF: DCF, as is</t>
  </si>
  <si>
    <t xml:space="preserve">V_SC_ASIS: Sales comparison, as is</t>
  </si>
  <si>
    <t xml:space="preserve">V_COST: Cost approach</t>
  </si>
  <si>
    <t xml:space="preserve">V_DIRECT_ASIS_R: Direct capitalization, as is, rounded</t>
  </si>
  <si>
    <t xml:space="preserve">V_DCF_R: DCF, rounded</t>
  </si>
  <si>
    <t xml:space="preserve">DIRECT_MINUS_DCF: Direct capitalization less DCF</t>
  </si>
  <si>
    <t xml:space="preserve">V_INCOME_R: Income approach: midpoint of the two unrounded values, rounded</t>
  </si>
  <si>
    <t xml:space="preserve">V_SC_ASIS_R: Sales comparison, as is, rounded</t>
  </si>
  <si>
    <t xml:space="preserve">V_COST_R: Cost approach, rounded</t>
  </si>
  <si>
    <t xml:space="preserve">SC_MINUS_INCOME: Sales comparison less income indication</t>
  </si>
  <si>
    <t xml:space="preserve">IND_MIN: Lowest of the three indications</t>
  </si>
  <si>
    <t xml:space="preserve">IND_MAX: Highest of the three indications</t>
  </si>
  <si>
    <t xml:space="preserve">IND_SPREAD: Spread between the three</t>
  </si>
  <si>
    <t xml:space="preserve">W_SALES: Weight on the sales comparison approach</t>
  </si>
  <si>
    <t xml:space="preserve">W_INCOME: Weight on the income approach</t>
  </si>
  <si>
    <t xml:space="preserve">W_COST: Weight on the cost approach</t>
  </si>
  <si>
    <t xml:space="preserve">V_WEIGHTED: Weighted average of the three indications</t>
  </si>
  <si>
    <t xml:space="preserve">V_WEIGHTED_R: Weighted average, rounded</t>
  </si>
  <si>
    <t xml:space="preserve">V_FINAL: Market value as is, fee simple, at the effective date (the appraiser's opinion)</t>
  </si>
  <si>
    <t xml:space="preserve">V_FINAL_PU: Per unit</t>
  </si>
  <si>
    <t xml:space="preserve">V_STABILIZED: Prospective market value as stabilized: as is plus the deductions, rounded</t>
  </si>
  <si>
    <t xml:space="preserve">V_STAB_MINUS_ASIS: As stabilized less as is</t>
  </si>
  <si>
    <t xml:space="preserve">IND_SPREAD_PCT: Spread of the indications as a share of the final value</t>
  </si>
  <si>
    <t xml:space="preserve">COST_MINUS_FINAL: Cost approach less final value</t>
  </si>
  <si>
    <t xml:space="preserve">COST_OVER_FINAL_PCT: Cost approach above final value, percent</t>
  </si>
  <si>
    <t xml:space="preserve">ROUNDING_PCT: Rounding step as a share of value</t>
  </si>
  <si>
    <t xml:space="preserve">PRICE: Contract price</t>
  </si>
  <si>
    <t xml:space="preserve">PRICE_PU: Contract price per unit</t>
  </si>
  <si>
    <t xml:space="preserve">ROOF_CREDIT: Seller's credit at closing for the roofs</t>
  </si>
  <si>
    <t xml:space="preserve">NET_PRICE: Price net of the roof credit</t>
  </si>
  <si>
    <t xml:space="preserve">GAP: Gross gap: price less value</t>
  </si>
  <si>
    <t xml:space="preserve">GAP_PCT: Gross gap as a share of value</t>
  </si>
  <si>
    <t xml:space="preserve">PRICE_TO_VALUE: Price as a share of value</t>
  </si>
  <si>
    <t xml:space="preserve">NET_GAP: Net gap: net price less value</t>
  </si>
  <si>
    <t xml:space="preserve">NET_GAP_PCT: Net gap as a share of value</t>
  </si>
  <si>
    <t xml:space="preserve">LIST_GUIDANCE: Broker's pricing guidance at launch (unpriced offering)</t>
  </si>
  <si>
    <t xml:space="preserve">PRICE_OVER_GUIDANCE: Price over guidance</t>
  </si>
  <si>
    <t xml:space="preserve">MARKETING_DAYS: Days of marketing before best and final</t>
  </si>
  <si>
    <t xml:space="preserve">OFFERS: Offers received</t>
  </si>
  <si>
    <t xml:space="preserve">COVER_BID: Cover bid: the second-highest offer in best and final</t>
  </si>
  <si>
    <t xml:space="preserve">COVER_BID_PU: Cover bid per unit</t>
  </si>
  <si>
    <t xml:space="preserve">COVER_MINUS_VALUE: Cover bid less appraised value</t>
  </si>
  <si>
    <t xml:space="preserve">COVER_OVER_VALUE_PCT: Cover bid above value, percent</t>
  </si>
  <si>
    <t xml:space="preserve">BR_CONCESSION: The roof credit: a payment from seller to buyer inside the price</t>
  </si>
  <si>
    <t xml:space="preserve">LOAN_BAL: Assumed loan: balance</t>
  </si>
  <si>
    <t xml:space="preserve">LOAN_RATE: Assumed loan: fixed rate</t>
  </si>
  <si>
    <t xml:space="preserve">LOAN_MONTHS: Assumed loan: months remaining, interest only</t>
  </si>
  <si>
    <t xml:space="preserve">MARKET_RATE: Market rate for a new loan</t>
  </si>
  <si>
    <t xml:space="preserve">LOAN_RATE_DIFF: Market rate less assumed rate, points</t>
  </si>
  <si>
    <t xml:space="preserve">LOAN_SAVING_MONTH: Interest saved a month</t>
  </si>
  <si>
    <t xml:space="preserve">LOAN_SAVING_YEAR: Interest saved a year</t>
  </si>
  <si>
    <t xml:space="preserve">LOAN_AF: Annuity factor: the remaining months at the market rate, monthly</t>
  </si>
  <si>
    <t xml:space="preserve">BR_FINANCING: Present value of the interest saved</t>
  </si>
  <si>
    <t xml:space="preserve">LOAN_LTV_ON_PRICE: Assumed loan as a share of the price</t>
  </si>
  <si>
    <t xml:space="preserve">PAIR_TIME_FIRST: Time pair: first sale, price per unit</t>
  </si>
  <si>
    <t xml:space="preserve">PAIR_TIME_SECOND: Time pair: resale, price per unit</t>
  </si>
  <si>
    <t xml:space="preserve">PAIR_TIME_MONTHS: Time pair: months between the two sales</t>
  </si>
  <si>
    <t xml:space="preserve">PAIR_TIME_MONTHLY: Paired resale rate, compound change a month</t>
  </si>
  <si>
    <t xml:space="preserve">MC_MONTHLY: Survey rate the appraiser used a month</t>
  </si>
  <si>
    <t xml:space="preserve">LAG_DIFF_MONTHLY: Paired rate less survey rate, points a month</t>
  </si>
  <si>
    <t xml:space="preserve">S1_MONTHS: sale 1: months before the effective date</t>
  </si>
  <si>
    <t xml:space="preserve">S2_MONTHS: sale 2: months before the effective date</t>
  </si>
  <si>
    <t xml:space="preserve">S3_MONTHS: sale 3: months before the effective date</t>
  </si>
  <si>
    <t xml:space="preserve">S4_MONTHS: sale 4: months before the effective date</t>
  </si>
  <si>
    <t xml:space="preserve">S5_MONTHS: sale 5: months before the effective date</t>
  </si>
  <si>
    <t xml:space="preserve">COMP_AVG_MONTHS: Average age of the five sales, months</t>
  </si>
  <si>
    <t xml:space="preserve">LAG_PCT: Understatement of the market conditions adjustment over the average age</t>
  </si>
  <si>
    <t xml:space="preserve">BR_LAG: Value x understatement</t>
  </si>
  <si>
    <t xml:space="preserve">APP_EGI: Appraiser's effective gross income (income workbook)</t>
  </si>
  <si>
    <t xml:space="preserve">MGMT_BUYER: Buyer's management fee, share of EGI (affiliated manager)</t>
  </si>
  <si>
    <t xml:space="preserve">BR_COST_MGMT: Management saving a year</t>
  </si>
  <si>
    <t xml:space="preserve">APP_INSURANCE_PU: Appraiser's insurance per unit</t>
  </si>
  <si>
    <t xml:space="preserve">INS_BUYER_PU: Buyer's insurance per unit (portfolio program)</t>
  </si>
  <si>
    <t xml:space="preserve">BR_COST_INS: Insurance saving a year</t>
  </si>
  <si>
    <t xml:space="preserve">BR_COST_NOI: NOI added by the buyer's cost structure</t>
  </si>
  <si>
    <t xml:space="preserve">CAP_EXTRACTED: Cap rate by extraction</t>
  </si>
  <si>
    <t xml:space="preserve">BR_COST: Cost structure capitalized at the extracted rate</t>
  </si>
  <si>
    <t xml:space="preserve">RENO_UNITS_BUYER: Units the buyer plans to renovate in year 1</t>
  </si>
  <si>
    <t xml:space="preserve">RENO_COST_PU: Renovation cost per unit</t>
  </si>
  <si>
    <t xml:space="preserve">RENO_BUYER_PREMIUM: Rent premium a month observed at the sister property</t>
  </si>
  <si>
    <t xml:space="preserve">RENO_MKT_PREMIUM: Rent premium a month in the submarket's evidence</t>
  </si>
  <si>
    <t xml:space="preserve">RENO_PREMIUM_DIFF: Buyer's premium evidence less the submarket's, a month</t>
  </si>
  <si>
    <t xml:space="preserve">INFO_COST: Program cost</t>
  </si>
  <si>
    <t xml:space="preserve">INFO_NOI: Added NOI a year</t>
  </si>
  <si>
    <t xml:space="preserve">INFO_GAIN: Value added at the extracted rate</t>
  </si>
  <si>
    <t xml:space="preserve">INFO_NET: Value added less cost</t>
  </si>
  <si>
    <t xml:space="preserve">INFO_SHARE: Share of the net value the buyer's memo allows in the price</t>
  </si>
  <si>
    <t xml:space="preserve">BR_INFO: Information component: net value x share paid</t>
  </si>
  <si>
    <t xml:space="preserve">SHARED_PAYROLL: Payroll saved at the subject a year</t>
  </si>
  <si>
    <t xml:space="preserve">PORT_VALUE: Capitalized at the extracted rate</t>
  </si>
  <si>
    <t xml:space="preserve">PORT_SHARE: Share the buyer's memo allows in the price</t>
  </si>
  <si>
    <t xml:space="preserve">BR_PORTFOLIO: Portfolio component</t>
  </si>
  <si>
    <t xml:space="preserve">BR_EXCHANGE: Price less cover bid: what the buyer bid above the next buyer</t>
  </si>
  <si>
    <t xml:space="preserve">BR_MOTIVATION: Discount or premium for the seller's motivation (open marketing, nine offers: none found)</t>
  </si>
  <si>
    <t xml:space="preserve">BR_EXPLAINED: Explained: the sum of the eight</t>
  </si>
  <si>
    <t xml:space="preserve">BR_EXPLAINED_PCT: explained share of the gross gap</t>
  </si>
  <si>
    <t xml:space="preserve">BR_RESIDUAL: Residual: gap less explained</t>
  </si>
  <si>
    <t xml:space="preserve">BR_RESIDUAL_PCT: Residual as a share of value</t>
  </si>
  <si>
    <t xml:space="preserve">BR_TERMS: Terms of the deal: concession and financing</t>
  </si>
  <si>
    <t xml:space="preserve">BR_BUYER_SPECIFIC: This buyer's: cost structure, information, portfolio</t>
  </si>
  <si>
    <t xml:space="preserve">BR_PRESSURE: Pressure: the exchange</t>
  </si>
  <si>
    <t xml:space="preserve">BR_APPRAISAL: The appraisal's: the date lag and the residual</t>
  </si>
  <si>
    <t xml:space="preserve">BR_APPRAISAL_PCT_GAP: The appraisal's share of the gross gap</t>
  </si>
  <si>
    <t xml:space="preserve">BR_APPRAISAL_PCT_VALUE: The appraisal's share as a share of value</t>
  </si>
  <si>
    <t xml:space="preserve">CASH_EQUIV_PRICE: Price less concession less financing</t>
  </si>
  <si>
    <t xml:space="preserve">CASH_EQUIV_OVER_VALUE: Cash-equivalent price above value, percent</t>
  </si>
  <si>
    <t xml:space="preserve">RELINQ_PRICE: Relinquished property: sale price</t>
  </si>
  <si>
    <t xml:space="preserve">RELINQ_BASIS: Relinquished property: adjusted basis</t>
  </si>
  <si>
    <t xml:space="preserve">TAX_GAIN: Gain</t>
  </si>
  <si>
    <t xml:space="preserve">TAX_RECAPTURE: Of which unrecaptured section 1250 gain (depreciation taken)</t>
  </si>
  <si>
    <t xml:space="preserve">TAX_REST: Of which remaining long-term gain</t>
  </si>
  <si>
    <t xml:space="preserve">FED_LTCG: Federal long-term capital gains rate</t>
  </si>
  <si>
    <t xml:space="preserve">RECAPTURE_RATE: Federal rate on unrecaptured section 1250 gain</t>
  </si>
  <si>
    <t xml:space="preserve">NIIT: Net investment income tax</t>
  </si>
  <si>
    <t xml:space="preserve">STATE_RATE: Assumed state rate</t>
  </si>
  <si>
    <t xml:space="preserve">TAX_DUE: Tax due if the exchange fails</t>
  </si>
  <si>
    <t xml:space="preserve">TAX_DUE_PCT_PRICE: Tax due as a share of the contract price</t>
  </si>
  <si>
    <t xml:space="preserve">BR_EXCHANGE_PCT_TAX: Exchange premium (Price_and_Bridge) as a share of the tax at stake</t>
  </si>
  <si>
    <t xml:space="preserve">BUYER_DISCOUNT: Buyer's discount rate</t>
  </si>
  <si>
    <t xml:space="preserve">BUYER_TERMINAL: Buyer's terminal cap rate</t>
  </si>
  <si>
    <t xml:space="preserve">IV_NOI_Y1: buyer's DCF: year-1 NOI</t>
  </si>
  <si>
    <t xml:space="preserve">IV_CF_Y1: buyer's DCF: year-1 cash flow (after roofs and the renovation program)</t>
  </si>
  <si>
    <t xml:space="preserve">IV_NOI_Y2: buyer's DCF: year-2 NOI</t>
  </si>
  <si>
    <t xml:space="preserve">V_INVEST_R: Investment value, rounded to 50,000</t>
  </si>
  <si>
    <t xml:space="preserve">V_INVEST_MINUS_VALUE: Investment value less market value</t>
  </si>
  <si>
    <t xml:space="preserve">V_INVEST_MINUS_NET_PRICE: Investment value less net price (what the buyer kept)</t>
  </si>
  <si>
    <t xml:space="preserve">PARTIAL_SHARE: Undivided interest appraised</t>
  </si>
  <si>
    <t xml:space="preserve">PARTIAL_PRO_RATA: Pro rata share of the whole</t>
  </si>
  <si>
    <t xml:space="preserve">PARTIAL_DISCOUNT: Discount for lack of control and marketability (assumed)</t>
  </si>
  <si>
    <t xml:space="preserve">PARTIAL_VALUE: Value of the interest</t>
  </si>
  <si>
    <t xml:space="preserve">PARTIAL_DISCOUNT_USD: The discount in dollars</t>
  </si>
  <si>
    <t xml:space="preserve">HOTEL_KEYS: Keys</t>
  </si>
  <si>
    <t xml:space="preserve">HOTEL_ADR: Average daily rate</t>
  </si>
  <si>
    <t xml:space="preserve">HOTEL_OCC: Occupancy</t>
  </si>
  <si>
    <t xml:space="preserve">HOTEL_REVPAR: Revenue per available room</t>
  </si>
  <si>
    <t xml:space="preserve">HOTEL_ROOMS_REV: Rooms revenue a year: keys x 365 x occupancy x rate</t>
  </si>
  <si>
    <t xml:space="preserve">HOTEL_TOTAL_REV: Total revenue</t>
  </si>
  <si>
    <t xml:space="preserve">HOTEL_MARGIN: NOI margin after management and franchise fees and an FF&amp;E reserve</t>
  </si>
  <si>
    <t xml:space="preserve">HOTEL_NOI: NOI</t>
  </si>
  <si>
    <t xml:space="preserve">HOTEL_CAP: Cap rate on the going concern</t>
  </si>
  <si>
    <t xml:space="preserve">HOTEL_GOING: Value of the going concern</t>
  </si>
  <si>
    <t xml:space="preserve">HOTEL_PER_KEY: Going concern per key</t>
  </si>
  <si>
    <t xml:space="preserve">HOTEL_FFE_PER_KEY: Furniture, fixtures and equipment per key</t>
  </si>
  <si>
    <t xml:space="preserve">HOTEL_FFE: FF&amp;E</t>
  </si>
  <si>
    <t xml:space="preserve">HOTEL_BIZ_SHARE: Share of revenue attributed to the flag and the operating team (assumption)</t>
  </si>
  <si>
    <t xml:space="preserve">HOTEL_BIZ_CAP: Cap rate on the business income</t>
  </si>
  <si>
    <t xml:space="preserve">HOTEL_BIZ: Intangible business value</t>
  </si>
  <si>
    <t xml:space="preserve">HOTEL_REAL: Real property: the going concern less FF&amp;E and business value</t>
  </si>
  <si>
    <t xml:space="preserve">HOTEL_REAL_SHARE: Real property as a share of the going concern</t>
  </si>
  <si>
    <t xml:space="preserve">FIRREA_COMMERCIAL: Commercial real estate transactions: appraisal required above (rule of April 2018)</t>
  </si>
  <si>
    <t xml:space="preserve">FIRREA_RESIDENTIAL: Residential transactions: appraisal required above (rule of October 2019)</t>
  </si>
  <si>
    <t xml:space="preserve">FIRREA_BUSINESS: Qualifying business loans not dependent on the real estate, exempt at or below</t>
  </si>
  <si>
    <t xml:space="preserve">AQB_TRAINEE_EDU: Trainee: hours of qualifying education</t>
  </si>
  <si>
    <t xml:space="preserve">AQB_LR_EDU: Licensed residential: hours of qualifying education</t>
  </si>
  <si>
    <t xml:space="preserve">AQB_LR_EXP: Licensed residential: hours of experience</t>
  </si>
  <si>
    <t xml:space="preserve">AQB_LR_MONTHS: Licensed residential: minimum months of experience</t>
  </si>
  <si>
    <t xml:space="preserve">AQB_CR_EDU: Certified residential: hours of qualifying education</t>
  </si>
  <si>
    <t xml:space="preserve">AQB_CR_EXP: Certified residential: hours of experience</t>
  </si>
  <si>
    <t xml:space="preserve">AQB_CR_MONTHS: Certified residential: minimum months of experience</t>
  </si>
  <si>
    <t xml:space="preserve">AQB_CG_EDU: Certified general: hours of qualifying education</t>
  </si>
  <si>
    <t xml:space="preserve">AQB_CG_EXP: Certified general: hours of experience</t>
  </si>
  <si>
    <t xml:space="preserve">AQB_CG_MONTHS: Certified general: minimum months of experience</t>
  </si>
  <si>
    <t xml:space="preserve">AQB_CG_NONRES: Certified general: of which non-residential hours</t>
  </si>
  <si>
    <t xml:space="preserve">AQB_LR_LIMIT: Licensed residential: transaction value limit, non-complex one to four units</t>
  </si>
  <si>
    <t xml:space="preserve">AQB_LR_LIMIT_COMPLEX: Licensed residential: transaction value limit, complex one to four units</t>
  </si>
  <si>
    <t xml:space="preserve">X1031_ID_DAYS: Identification period, days</t>
  </si>
  <si>
    <t xml:space="preserve">X1031_EXCH_DAYS: Exchange period, days</t>
  </si>
  <si>
    <t xml:space="preserve">X1031_THREE: The three-property rule: properties of any value</t>
  </si>
  <si>
    <t xml:space="preserve">X1031_200: The 200 percent rule: any number whose total does not exceed this share of the relinquished value</t>
  </si>
  <si>
    <t xml:space="preserve">USPAP_YEAR: USPAP edition in effect (in effect since January 1, 2024, no fixed expiration)</t>
  </si>
  <si>
    <t xml:space="preserve">IAEG_YEAR: Interagency Appraisal and Evaluation Guidelines, year (December 2010)</t>
  </si>
  <si>
    <t xml:space="preserve">ROV_YEAR: Reconsideration of value requirements of the two housing agencies, year announced (May 1, 2024)</t>
  </si>
  <si>
    <t xml:space="preserve">ROV_MAX_COMPS: Alternative comparable sales a borrower may submit in a reconsideration of value</t>
  </si>
  <si>
    <t xml:space="preserve">UAD_YEAR: Year the dynamic URAR (UAD 3.6) becomes mandatory (November 2, 2026)</t>
  </si>
  <si>
    <t xml:space="preserve">FEE: The appraiser's fee for this assignment</t>
  </si>
  <si>
    <t xml:space="preserve">DELIVERY_DAYS: Days from engagement to report</t>
  </si>
  <si>
    <t xml:space="preserve">REPORT_PAGES: Pages of the report, addenda included</t>
  </si>
  <si>
    <t xml:space="preserve">FEE_PCT_VALUE: Fee as a share of value</t>
  </si>
  <si>
    <t xml:space="preserve">FEE_PER_UNIT: Fee per unit appraised</t>
  </si>
  <si>
    <t xml:space="preserve">H_FEE: The residential fee</t>
  </si>
  <si>
    <t xml:space="preserve">H_DELIVERY_DAYS: Days from order to residential report</t>
  </si>
  <si>
    <t xml:space="preserve">EXPOSURE_LOW: Exposure time, low end, months</t>
  </si>
  <si>
    <t xml:space="preserve">EXPOSURE_HIGH: Exposure time, high end, months</t>
  </si>
</sst>
</file>

<file path=xl/styles.xml><?xml version="1.0" encoding="utf-8"?>
<styleSheet xmlns="http://schemas.openxmlformats.org/spreadsheetml/2006/main">
  <numFmts count="16">
    <numFmt numFmtId="164" formatCode="General"/>
    <numFmt numFmtId="165" formatCode="0"/>
    <numFmt numFmtId="166" formatCode="\$#,##0;&quot;-$&quot;#,##0;\$0"/>
    <numFmt numFmtId="167" formatCode="0%"/>
    <numFmt numFmtId="168" formatCode="0.0%"/>
    <numFmt numFmtId="169" formatCode="0.00%"/>
    <numFmt numFmtId="170" formatCode="#,##0.00"/>
    <numFmt numFmtId="171" formatCode="0.000%"/>
    <numFmt numFmtId="172" formatCode="#,##0.0"/>
    <numFmt numFmtId="173" formatCode="#,##0"/>
    <numFmt numFmtId="174" formatCode="0.000000"/>
    <numFmt numFmtId="175" formatCode="\$#,##0.00;&quot;-$&quot;#,##0.00;\$0.00"/>
    <numFmt numFmtId="176" formatCode="0.0000%"/>
    <numFmt numFmtId="177" formatCode="#,##0.0000"/>
    <numFmt numFmtId="178" formatCode="0.00000%"/>
    <numFmt numFmtId="179" formatCode="#,##0.0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5" fontId="6"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4" borderId="1" xfId="0" applyFont="true" applyBorder="true" applyAlignment="true" applyProtection="false">
      <alignment horizontal="right"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76" fontId="6" fillId="4" borderId="1" xfId="0" applyFont="true" applyBorder="true" applyAlignment="false" applyProtection="false">
      <alignment horizontal="general"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8" fontId="6" fillId="4"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32.8" hidden="false" customHeight="false" outlineLevel="0" collapsed="false">
      <c r="B2" s="1" t="s">
        <v>0</v>
      </c>
    </row>
    <row r="3" customFormat="false" ht="26.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45" hidden="false" customHeight="true" outlineLevel="0" collapsed="false">
      <c r="B6" s="3" t="s">
        <v>3</v>
      </c>
    </row>
    <row r="7" customFormat="false" ht="15" hidden="false" customHeight="false" outlineLevel="0" collapsed="false">
      <c r="B7" s="4" t="s">
        <v>4</v>
      </c>
    </row>
    <row r="8" customFormat="false" ht="30" hidden="false" customHeight="true" outlineLevel="0" collapsed="false">
      <c r="B8" s="3" t="s">
        <v>5</v>
      </c>
    </row>
    <row r="9" customFormat="false" ht="15" hidden="false" customHeight="false" outlineLevel="0" collapsed="false">
      <c r="B9" s="4" t="s">
        <v>6</v>
      </c>
    </row>
    <row r="10" customFormat="false" ht="15"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4" t="s">
        <v>11</v>
      </c>
    </row>
    <row r="15" customFormat="false" ht="45" hidden="false" customHeight="true" outlineLevel="0" collapsed="false">
      <c r="B15" s="3" t="s">
        <v>12</v>
      </c>
    </row>
    <row r="16" customFormat="false" ht="15" hidden="false" customHeight="false" outlineLevel="0" collapsed="false">
      <c r="B16" s="3"/>
    </row>
    <row r="17" customFormat="false" ht="30" hidden="false" customHeight="true" outlineLevel="0" collapsed="false">
      <c r="B17" s="3" t="s">
        <v>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4"/>
    <col collapsed="false" customWidth="true" hidden="false" outlineLevel="0" max="3" min="3" style="0" width="16"/>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14</v>
      </c>
    </row>
    <row r="3" customFormat="false" ht="15" hidden="false" customHeight="false" outlineLevel="0" collapsed="false">
      <c r="B3" s="6" t="s">
        <v>15</v>
      </c>
    </row>
    <row r="5" customFormat="false" ht="15" hidden="false" customHeight="false" outlineLevel="0" collapsed="false">
      <c r="B5" s="7" t="s">
        <v>16</v>
      </c>
      <c r="C5" s="8"/>
      <c r="D5" s="8"/>
    </row>
    <row r="6" customFormat="false" ht="15" hidden="false" customHeight="false" outlineLevel="0" collapsed="false">
      <c r="B6" s="9" t="s">
        <v>17</v>
      </c>
      <c r="C6" s="10" t="n">
        <v>72</v>
      </c>
    </row>
    <row r="7" customFormat="false" ht="15" hidden="false" customHeight="false" outlineLevel="0" collapsed="false">
      <c r="B7" s="9" t="s">
        <v>18</v>
      </c>
      <c r="C7" s="11" t="n">
        <v>150000</v>
      </c>
    </row>
    <row r="8" customFormat="false" ht="15" hidden="false" customHeight="false" outlineLevel="0" collapsed="false">
      <c r="B8" s="9" t="s">
        <v>19</v>
      </c>
      <c r="C8" s="11" t="n">
        <v>20880</v>
      </c>
    </row>
    <row r="9" customFormat="false" ht="15" hidden="false" customHeight="false" outlineLevel="0" collapsed="false">
      <c r="B9" s="9" t="s">
        <v>20</v>
      </c>
      <c r="C9" s="12" t="n">
        <f aca="false">$C$7+$C$8</f>
        <v>170880</v>
      </c>
    </row>
    <row r="10" customFormat="false" ht="15" hidden="false" customHeight="false" outlineLevel="0" collapsed="false">
      <c r="B10" s="9" t="s">
        <v>21</v>
      </c>
      <c r="C10" s="11" t="n">
        <v>50000</v>
      </c>
    </row>
    <row r="12" customFormat="false" ht="15" hidden="false" customHeight="false" outlineLevel="0" collapsed="false">
      <c r="B12" s="7" t="s">
        <v>22</v>
      </c>
      <c r="C12" s="8"/>
      <c r="D12" s="8"/>
    </row>
    <row r="13" customFormat="false" ht="15" hidden="false" customHeight="false" outlineLevel="0" collapsed="false">
      <c r="B13" s="9" t="s">
        <v>23</v>
      </c>
      <c r="C13" s="11" t="n">
        <v>12052102.9565217</v>
      </c>
    </row>
    <row r="14" customFormat="false" ht="15" hidden="false" customHeight="false" outlineLevel="0" collapsed="false">
      <c r="B14" s="9" t="s">
        <v>24</v>
      </c>
      <c r="C14" s="11" t="n">
        <v>12021082.6524638</v>
      </c>
    </row>
    <row r="15" customFormat="false" ht="15" hidden="false" customHeight="false" outlineLevel="0" collapsed="false">
      <c r="B15" s="9" t="s">
        <v>25</v>
      </c>
      <c r="C15" s="11" t="n">
        <v>12126000</v>
      </c>
    </row>
    <row r="16" customFormat="false" ht="15" hidden="false" customHeight="false" outlineLevel="0" collapsed="false">
      <c r="B16" s="9" t="s">
        <v>26</v>
      </c>
      <c r="C16" s="11" t="n">
        <v>12496880.1669565</v>
      </c>
    </row>
    <row r="18" customFormat="false" ht="15" hidden="false" customHeight="false" outlineLevel="0" collapsed="false">
      <c r="B18" s="7" t="s">
        <v>27</v>
      </c>
      <c r="C18" s="8"/>
      <c r="D18" s="8"/>
    </row>
    <row r="19" customFormat="false" ht="15" hidden="false" customHeight="false" outlineLevel="0" collapsed="false">
      <c r="B19" s="9" t="s">
        <v>28</v>
      </c>
      <c r="C19" s="12" t="n">
        <f aca="false">ROUND(($C$13)/$C$10,0)*$C$10</f>
        <v>12050000</v>
      </c>
    </row>
    <row r="20" customFormat="false" ht="15" hidden="false" customHeight="false" outlineLevel="0" collapsed="false">
      <c r="B20" s="9" t="s">
        <v>29</v>
      </c>
      <c r="C20" s="12" t="n">
        <f aca="false">ROUND(($C$14)/$C$10,0)*$C$10</f>
        <v>12000000</v>
      </c>
    </row>
    <row r="21" customFormat="false" ht="15" hidden="false" customHeight="false" outlineLevel="0" collapsed="false">
      <c r="B21" s="9" t="s">
        <v>30</v>
      </c>
      <c r="C21" s="12" t="n">
        <f aca="false">$C$19-$C$20</f>
        <v>50000</v>
      </c>
    </row>
    <row r="22" customFormat="false" ht="15" hidden="false" customHeight="false" outlineLevel="0" collapsed="false">
      <c r="B22" s="13" t="s">
        <v>31</v>
      </c>
      <c r="C22" s="14" t="n">
        <f aca="false">ROUND((($C$13+$C$14)/2)/$C$10,0)*$C$10</f>
        <v>12050000</v>
      </c>
    </row>
    <row r="23" customFormat="false" ht="15" hidden="false" customHeight="false" outlineLevel="0" collapsed="false">
      <c r="B23" s="13" t="s">
        <v>32</v>
      </c>
      <c r="C23" s="14" t="n">
        <f aca="false">ROUND(($C$15)/$C$10,0)*$C$10</f>
        <v>12150000</v>
      </c>
    </row>
    <row r="24" customFormat="false" ht="15" hidden="false" customHeight="false" outlineLevel="0" collapsed="false">
      <c r="B24" s="13" t="s">
        <v>33</v>
      </c>
      <c r="C24" s="14" t="n">
        <f aca="false">ROUND(($C$16)/$C$10,0)*$C$10</f>
        <v>12500000</v>
      </c>
    </row>
    <row r="25" customFormat="false" ht="15" hidden="false" customHeight="false" outlineLevel="0" collapsed="false">
      <c r="B25" s="9" t="s">
        <v>34</v>
      </c>
      <c r="C25" s="12" t="n">
        <f aca="false">$C$23-$C$22</f>
        <v>100000</v>
      </c>
    </row>
    <row r="26" customFormat="false" ht="15" hidden="false" customHeight="false" outlineLevel="0" collapsed="false">
      <c r="B26" s="9" t="s">
        <v>35</v>
      </c>
      <c r="C26" s="12" t="n">
        <f aca="false">MIN($C$22,$C$23,$C$24)</f>
        <v>12050000</v>
      </c>
    </row>
    <row r="27" customFormat="false" ht="15" hidden="false" customHeight="false" outlineLevel="0" collapsed="false">
      <c r="B27" s="9" t="s">
        <v>36</v>
      </c>
      <c r="C27" s="12" t="n">
        <f aca="false">MAX($C$22,$C$23,$C$24)</f>
        <v>12500000</v>
      </c>
    </row>
    <row r="28" customFormat="false" ht="15" hidden="false" customHeight="false" outlineLevel="0" collapsed="false">
      <c r="B28" s="9" t="s">
        <v>37</v>
      </c>
      <c r="C28" s="12" t="n">
        <f aca="false">$C$27-$C$26</f>
        <v>450000</v>
      </c>
    </row>
    <row r="30" customFormat="false" ht="15" hidden="false" customHeight="false" outlineLevel="0" collapsed="false">
      <c r="B30" s="7" t="s">
        <v>38</v>
      </c>
      <c r="C30" s="8"/>
      <c r="D30" s="8"/>
    </row>
    <row r="31" customFormat="false" ht="15" hidden="false" customHeight="false" outlineLevel="0" collapsed="false">
      <c r="B31" s="9" t="s">
        <v>39</v>
      </c>
      <c r="C31" s="15" t="n">
        <v>0.4</v>
      </c>
    </row>
    <row r="32" customFormat="false" ht="15" hidden="false" customHeight="false" outlineLevel="0" collapsed="false">
      <c r="B32" s="9" t="s">
        <v>40</v>
      </c>
      <c r="C32" s="15" t="n">
        <v>0.55</v>
      </c>
    </row>
    <row r="33" customFormat="false" ht="15" hidden="false" customHeight="false" outlineLevel="0" collapsed="false">
      <c r="B33" s="9" t="s">
        <v>41</v>
      </c>
      <c r="C33" s="15" t="n">
        <v>0.05</v>
      </c>
    </row>
    <row r="34" customFormat="false" ht="15" hidden="false" customHeight="false" outlineLevel="0" collapsed="false">
      <c r="B34" s="9" t="s">
        <v>42</v>
      </c>
      <c r="C34" s="16" t="n">
        <f aca="false">$C$31+$C$32+$C$33</f>
        <v>1</v>
      </c>
    </row>
    <row r="35" customFormat="false" ht="15" hidden="false" customHeight="false" outlineLevel="0" collapsed="false">
      <c r="B35" s="9" t="s">
        <v>43</v>
      </c>
      <c r="C35" s="12" t="n">
        <f aca="false">$C$31*$C$23+$C$32*$C$22+$C$33*$C$24</f>
        <v>12112500</v>
      </c>
    </row>
    <row r="36" customFormat="false" ht="15" hidden="false" customHeight="false" outlineLevel="0" collapsed="false">
      <c r="B36" s="9" t="s">
        <v>44</v>
      </c>
      <c r="C36" s="12" t="n">
        <f aca="false">ROUND(($C$35)/$C$10,0)*$C$10</f>
        <v>12100000</v>
      </c>
    </row>
    <row r="38" customFormat="false" ht="15" hidden="false" customHeight="false" outlineLevel="0" collapsed="false">
      <c r="B38" s="7" t="s">
        <v>45</v>
      </c>
      <c r="C38" s="8"/>
      <c r="D38" s="8"/>
    </row>
    <row r="39" customFormat="false" ht="15" hidden="false" customHeight="false" outlineLevel="0" collapsed="false">
      <c r="B39" s="9" t="s">
        <v>46</v>
      </c>
      <c r="C39" s="11" t="n">
        <v>12100000</v>
      </c>
    </row>
    <row r="40" customFormat="false" ht="15" hidden="false" customHeight="false" outlineLevel="0" collapsed="false">
      <c r="B40" s="9" t="s">
        <v>47</v>
      </c>
      <c r="C40" s="17" t="str">
        <f aca="false">IF(AND($C$39&gt;=$C$26,$C$39&lt;=$C$27),"yes","no")</f>
        <v>yes</v>
      </c>
    </row>
    <row r="41" customFormat="false" ht="15" hidden="false" customHeight="false" outlineLevel="0" collapsed="false">
      <c r="B41" s="9" t="s">
        <v>48</v>
      </c>
      <c r="C41" s="12" t="n">
        <f aca="false">$C$39/$C$6</f>
        <v>168055.555555556</v>
      </c>
    </row>
    <row r="42" customFormat="false" ht="15" hidden="false" customHeight="false" outlineLevel="0" collapsed="false">
      <c r="B42" s="13" t="s">
        <v>49</v>
      </c>
      <c r="C42" s="14" t="n">
        <f aca="false">ROUND(($C$39+$C$9)/$C$10,0)*$C$10</f>
        <v>12250000</v>
      </c>
    </row>
    <row r="43" customFormat="false" ht="15" hidden="false" customHeight="false" outlineLevel="0" collapsed="false">
      <c r="B43" s="9" t="s">
        <v>50</v>
      </c>
      <c r="C43" s="12" t="n">
        <f aca="false">$C$42-$C$39</f>
        <v>150000</v>
      </c>
    </row>
    <row r="44" customFormat="false" ht="15" hidden="false" customHeight="false" outlineLevel="0" collapsed="false">
      <c r="B44" s="9" t="s">
        <v>51</v>
      </c>
      <c r="C44" s="18" t="n">
        <f aca="false">$C$28/$C$39</f>
        <v>0.0371900826446281</v>
      </c>
    </row>
    <row r="45" customFormat="false" ht="15" hidden="false" customHeight="false" outlineLevel="0" collapsed="false">
      <c r="B45" s="9" t="s">
        <v>52</v>
      </c>
      <c r="C45" s="12" t="n">
        <f aca="false">$C$24-$C$39</f>
        <v>400000</v>
      </c>
    </row>
    <row r="46" customFormat="false" ht="15" hidden="false" customHeight="false" outlineLevel="0" collapsed="false">
      <c r="B46" s="9" t="s">
        <v>53</v>
      </c>
      <c r="C46" s="18" t="n">
        <f aca="false">$C$24/$C$39-1</f>
        <v>0.0330578512396693</v>
      </c>
    </row>
    <row r="47" customFormat="false" ht="15" hidden="false" customHeight="false" outlineLevel="0" collapsed="false">
      <c r="B47" s="9" t="s">
        <v>54</v>
      </c>
      <c r="C47" s="19" t="n">
        <f aca="false">$C$10/$C$39</f>
        <v>0.00413223140495868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1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70"/>
    <col collapsed="false" customWidth="true" hidden="false" outlineLevel="0" max="3" min="3" style="0" width="16"/>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55</v>
      </c>
    </row>
    <row r="3" customFormat="false" ht="15" hidden="false" customHeight="false" outlineLevel="0" collapsed="false">
      <c r="B3" s="6" t="s">
        <v>56</v>
      </c>
    </row>
    <row r="5" customFormat="false" ht="15" hidden="false" customHeight="false" outlineLevel="0" collapsed="false">
      <c r="B5" s="7" t="s">
        <v>57</v>
      </c>
      <c r="C5" s="8"/>
      <c r="D5" s="8"/>
    </row>
    <row r="6" customFormat="false" ht="15" hidden="false" customHeight="false" outlineLevel="0" collapsed="false">
      <c r="B6" s="9" t="s">
        <v>58</v>
      </c>
      <c r="C6" s="11" t="n">
        <v>12850000</v>
      </c>
    </row>
    <row r="7" customFormat="false" ht="15" hidden="false" customHeight="false" outlineLevel="0" collapsed="false">
      <c r="B7" s="9" t="s">
        <v>59</v>
      </c>
      <c r="C7" s="12" t="n">
        <f aca="false">$C$6/Reconciliation!$C$6</f>
        <v>178472.222222222</v>
      </c>
    </row>
    <row r="8" customFormat="false" ht="15" hidden="false" customHeight="false" outlineLevel="0" collapsed="false">
      <c r="B8" s="9" t="s">
        <v>60</v>
      </c>
      <c r="C8" s="11" t="n">
        <v>150000</v>
      </c>
    </row>
    <row r="9" customFormat="false" ht="15" hidden="false" customHeight="false" outlineLevel="0" collapsed="false">
      <c r="B9" s="9" t="s">
        <v>61</v>
      </c>
      <c r="C9" s="12" t="n">
        <f aca="false">$C$6-$C$8</f>
        <v>12700000</v>
      </c>
    </row>
    <row r="10" customFormat="false" ht="15" hidden="false" customHeight="false" outlineLevel="0" collapsed="false">
      <c r="B10" s="9" t="s">
        <v>62</v>
      </c>
      <c r="C10" s="12" t="n">
        <f aca="false">Reconciliation!$C$39</f>
        <v>12100000</v>
      </c>
    </row>
    <row r="11" customFormat="false" ht="15" hidden="false" customHeight="false" outlineLevel="0" collapsed="false">
      <c r="B11" s="13" t="s">
        <v>63</v>
      </c>
      <c r="C11" s="14" t="n">
        <f aca="false">$C$6-Reconciliation!$C$39</f>
        <v>750000</v>
      </c>
    </row>
    <row r="12" customFormat="false" ht="15" hidden="false" customHeight="false" outlineLevel="0" collapsed="false">
      <c r="B12" s="9" t="s">
        <v>64</v>
      </c>
      <c r="C12" s="18" t="n">
        <f aca="false">$C$11/Reconciliation!$C$39</f>
        <v>0.0619834710743802</v>
      </c>
    </row>
    <row r="13" customFormat="false" ht="15" hidden="false" customHeight="false" outlineLevel="0" collapsed="false">
      <c r="B13" s="9" t="s">
        <v>65</v>
      </c>
      <c r="C13" s="18" t="n">
        <f aca="false">$C$6/Reconciliation!$C$39</f>
        <v>1.06198347107438</v>
      </c>
    </row>
    <row r="14" customFormat="false" ht="15" hidden="false" customHeight="false" outlineLevel="0" collapsed="false">
      <c r="B14" s="9" t="s">
        <v>66</v>
      </c>
      <c r="C14" s="12" t="n">
        <f aca="false">$C$9-Reconciliation!$C$39</f>
        <v>600000</v>
      </c>
    </row>
    <row r="15" customFormat="false" ht="15" hidden="false" customHeight="false" outlineLevel="0" collapsed="false">
      <c r="B15" s="9" t="s">
        <v>67</v>
      </c>
      <c r="C15" s="18" t="n">
        <f aca="false">$C$14/Reconciliation!$C$39</f>
        <v>0.0495867768595041</v>
      </c>
    </row>
    <row r="16" customFormat="false" ht="15" hidden="false" customHeight="false" outlineLevel="0" collapsed="false">
      <c r="B16" s="9" t="s">
        <v>68</v>
      </c>
      <c r="C16" s="11" t="n">
        <v>12500000</v>
      </c>
    </row>
    <row r="17" customFormat="false" ht="15" hidden="false" customHeight="false" outlineLevel="0" collapsed="false">
      <c r="B17" s="9" t="s">
        <v>69</v>
      </c>
      <c r="C17" s="12" t="n">
        <f aca="false">$C$6-$C$16</f>
        <v>350000</v>
      </c>
    </row>
    <row r="18" customFormat="false" ht="15" hidden="false" customHeight="false" outlineLevel="0" collapsed="false">
      <c r="B18" s="9" t="s">
        <v>70</v>
      </c>
      <c r="C18" s="10" t="n">
        <v>60</v>
      </c>
    </row>
    <row r="19" customFormat="false" ht="15" hidden="false" customHeight="false" outlineLevel="0" collapsed="false">
      <c r="B19" s="9" t="s">
        <v>71</v>
      </c>
      <c r="C19" s="10" t="n">
        <v>9</v>
      </c>
    </row>
    <row r="20" customFormat="false" ht="15" hidden="false" customHeight="false" outlineLevel="0" collapsed="false">
      <c r="B20" s="9" t="s">
        <v>72</v>
      </c>
      <c r="C20" s="11" t="n">
        <v>12750000</v>
      </c>
    </row>
    <row r="21" customFormat="false" ht="15" hidden="false" customHeight="false" outlineLevel="0" collapsed="false">
      <c r="B21" s="9" t="s">
        <v>73</v>
      </c>
      <c r="C21" s="12" t="n">
        <f aca="false">$C$20/Reconciliation!$C$6</f>
        <v>177083.333333333</v>
      </c>
    </row>
    <row r="22" customFormat="false" ht="15" hidden="false" customHeight="false" outlineLevel="0" collapsed="false">
      <c r="B22" s="9" t="s">
        <v>74</v>
      </c>
      <c r="C22" s="12" t="n">
        <f aca="false">$C$20-Reconciliation!$C$39</f>
        <v>650000</v>
      </c>
    </row>
    <row r="23" customFormat="false" ht="15" hidden="false" customHeight="false" outlineLevel="0" collapsed="false">
      <c r="B23" s="9" t="s">
        <v>75</v>
      </c>
      <c r="C23" s="18" t="n">
        <f aca="false">$C$20/Reconciliation!$C$39-1</f>
        <v>0.0537190082644627</v>
      </c>
    </row>
    <row r="25" customFormat="false" ht="15" hidden="false" customHeight="false" outlineLevel="0" collapsed="false">
      <c r="B25" s="7" t="s">
        <v>76</v>
      </c>
      <c r="C25" s="8"/>
      <c r="D25" s="8"/>
    </row>
    <row r="26" customFormat="false" ht="15" hidden="false" customHeight="false" outlineLevel="0" collapsed="false">
      <c r="B26" s="13" t="s">
        <v>77</v>
      </c>
      <c r="C26" s="14" t="n">
        <f aca="false">$C$8</f>
        <v>150000</v>
      </c>
    </row>
    <row r="28" customFormat="false" ht="15" hidden="false" customHeight="false" outlineLevel="0" collapsed="false">
      <c r="B28" s="7" t="s">
        <v>78</v>
      </c>
      <c r="C28" s="8"/>
      <c r="D28" s="8"/>
    </row>
    <row r="29" customFormat="false" ht="15" hidden="false" customHeight="false" outlineLevel="0" collapsed="false">
      <c r="B29" s="9" t="s">
        <v>79</v>
      </c>
      <c r="C29" s="11" t="n">
        <v>3400000</v>
      </c>
    </row>
    <row r="30" customFormat="false" ht="15" hidden="false" customHeight="false" outlineLevel="0" collapsed="false">
      <c r="B30" s="9" t="s">
        <v>80</v>
      </c>
      <c r="C30" s="20" t="n">
        <v>0.0475</v>
      </c>
    </row>
    <row r="31" customFormat="false" ht="15" hidden="false" customHeight="false" outlineLevel="0" collapsed="false">
      <c r="B31" s="9" t="s">
        <v>81</v>
      </c>
      <c r="C31" s="10" t="n">
        <v>36</v>
      </c>
    </row>
    <row r="32" customFormat="false" ht="15" hidden="false" customHeight="false" outlineLevel="0" collapsed="false">
      <c r="B32" s="9" t="s">
        <v>82</v>
      </c>
      <c r="C32" s="20" t="n">
        <v>0.061</v>
      </c>
    </row>
    <row r="33" customFormat="false" ht="15" hidden="false" customHeight="false" outlineLevel="0" collapsed="false">
      <c r="B33" s="9" t="s">
        <v>83</v>
      </c>
      <c r="C33" s="19" t="n">
        <f aca="false">$C$32-$C$30</f>
        <v>0.0135</v>
      </c>
    </row>
    <row r="34" customFormat="false" ht="15" hidden="false" customHeight="false" outlineLevel="0" collapsed="false">
      <c r="B34" s="9" t="s">
        <v>84</v>
      </c>
      <c r="C34" s="12" t="n">
        <f aca="false">$C$29*$C$33/12</f>
        <v>3825</v>
      </c>
    </row>
    <row r="35" customFormat="false" ht="15" hidden="false" customHeight="false" outlineLevel="0" collapsed="false">
      <c r="B35" s="9" t="s">
        <v>85</v>
      </c>
      <c r="C35" s="12" t="n">
        <f aca="false">$C$34*12</f>
        <v>45900</v>
      </c>
    </row>
    <row r="36" customFormat="false" ht="15" hidden="false" customHeight="false" outlineLevel="0" collapsed="false">
      <c r="B36" s="9" t="s">
        <v>86</v>
      </c>
      <c r="C36" s="21" t="n">
        <f aca="false">(1-(1+$C$32/12)^(-$C$31))/($C$32/12)</f>
        <v>32.8221090804869</v>
      </c>
    </row>
    <row r="37" customFormat="false" ht="15" hidden="false" customHeight="false" outlineLevel="0" collapsed="false">
      <c r="B37" s="13" t="s">
        <v>87</v>
      </c>
      <c r="C37" s="14" t="n">
        <f aca="false">$C$34*$C$36</f>
        <v>125544.567232862</v>
      </c>
    </row>
    <row r="38" customFormat="false" ht="15" hidden="false" customHeight="false" outlineLevel="0" collapsed="false">
      <c r="B38" s="9" t="s">
        <v>88</v>
      </c>
      <c r="C38" s="18" t="n">
        <f aca="false">$C$29/$C$6</f>
        <v>0.264591439688716</v>
      </c>
    </row>
    <row r="40" customFormat="false" ht="15" hidden="false" customHeight="false" outlineLevel="0" collapsed="false">
      <c r="B40" s="7" t="s">
        <v>89</v>
      </c>
      <c r="C40" s="8"/>
      <c r="D40" s="8"/>
    </row>
    <row r="41" customFormat="false" ht="15" hidden="false" customHeight="false" outlineLevel="0" collapsed="false">
      <c r="B41" s="9" t="s">
        <v>90</v>
      </c>
      <c r="C41" s="11" t="n">
        <v>148000</v>
      </c>
    </row>
    <row r="42" customFormat="false" ht="15" hidden="false" customHeight="false" outlineLevel="0" collapsed="false">
      <c r="B42" s="9" t="s">
        <v>91</v>
      </c>
      <c r="C42" s="11" t="n">
        <v>156400</v>
      </c>
    </row>
    <row r="43" customFormat="false" ht="15" hidden="false" customHeight="false" outlineLevel="0" collapsed="false">
      <c r="B43" s="9" t="s">
        <v>92</v>
      </c>
      <c r="C43" s="10" t="n">
        <v>18</v>
      </c>
    </row>
    <row r="44" customFormat="false" ht="15" hidden="false" customHeight="false" outlineLevel="0" collapsed="false">
      <c r="B44" s="9" t="s">
        <v>93</v>
      </c>
      <c r="C44" s="19" t="n">
        <f aca="false">($C$42/$C$41)^(1/$C$43)-1</f>
        <v>0.00307162749572432</v>
      </c>
    </row>
    <row r="45" customFormat="false" ht="15" hidden="false" customHeight="false" outlineLevel="0" collapsed="false">
      <c r="B45" s="9" t="s">
        <v>94</v>
      </c>
      <c r="C45" s="20" t="n">
        <v>0.0025</v>
      </c>
    </row>
    <row r="46" customFormat="false" ht="15" hidden="false" customHeight="false" outlineLevel="0" collapsed="false">
      <c r="B46" s="9" t="s">
        <v>95</v>
      </c>
      <c r="C46" s="22" t="n">
        <f aca="false">$C$44-$C$45</f>
        <v>0.000571627495724316</v>
      </c>
    </row>
    <row r="47" customFormat="false" ht="21.75" hidden="false" customHeight="true" outlineLevel="0" collapsed="false">
      <c r="B47" s="23" t="s">
        <v>96</v>
      </c>
      <c r="C47" s="24" t="s">
        <v>97</v>
      </c>
    </row>
    <row r="48" customFormat="false" ht="15" hidden="false" customHeight="false" outlineLevel="0" collapsed="false">
      <c r="B48" s="9" t="s">
        <v>98</v>
      </c>
      <c r="C48" s="10" t="n">
        <v>3</v>
      </c>
    </row>
    <row r="49" customFormat="false" ht="15" hidden="false" customHeight="false" outlineLevel="0" collapsed="false">
      <c r="B49" s="9" t="s">
        <v>99</v>
      </c>
      <c r="C49" s="10" t="n">
        <v>8</v>
      </c>
    </row>
    <row r="50" customFormat="false" ht="15" hidden="false" customHeight="false" outlineLevel="0" collapsed="false">
      <c r="B50" s="9" t="s">
        <v>100</v>
      </c>
      <c r="C50" s="10" t="n">
        <v>11</v>
      </c>
    </row>
    <row r="51" customFormat="false" ht="15" hidden="false" customHeight="false" outlineLevel="0" collapsed="false">
      <c r="B51" s="9" t="s">
        <v>101</v>
      </c>
      <c r="C51" s="10" t="n">
        <v>5</v>
      </c>
    </row>
    <row r="52" customFormat="false" ht="15" hidden="false" customHeight="false" outlineLevel="0" collapsed="false">
      <c r="B52" s="9" t="s">
        <v>102</v>
      </c>
      <c r="C52" s="10" t="n">
        <v>14</v>
      </c>
    </row>
    <row r="53" customFormat="false" ht="15" hidden="false" customHeight="false" outlineLevel="0" collapsed="false">
      <c r="B53" s="9" t="s">
        <v>103</v>
      </c>
      <c r="C53" s="25" t="n">
        <f aca="false">AVERAGE(C48:C52)</f>
        <v>8.2</v>
      </c>
    </row>
    <row r="54" customFormat="false" ht="15" hidden="false" customHeight="false" outlineLevel="0" collapsed="false">
      <c r="B54" s="9" t="s">
        <v>104</v>
      </c>
      <c r="C54" s="19" t="n">
        <f aca="false">$C$46*$C$53</f>
        <v>0.00468734546493939</v>
      </c>
    </row>
    <row r="55" customFormat="false" ht="15" hidden="false" customHeight="false" outlineLevel="0" collapsed="false">
      <c r="B55" s="13" t="s">
        <v>105</v>
      </c>
      <c r="C55" s="14" t="n">
        <f aca="false">Reconciliation!$C$39*$C$54</f>
        <v>56716.8801257666</v>
      </c>
    </row>
    <row r="57" customFormat="false" ht="15" hidden="false" customHeight="false" outlineLevel="0" collapsed="false">
      <c r="B57" s="7" t="s">
        <v>106</v>
      </c>
      <c r="C57" s="8"/>
      <c r="D57" s="8"/>
    </row>
    <row r="58" customFormat="false" ht="15" hidden="false" customHeight="false" outlineLevel="0" collapsed="false">
      <c r="B58" s="9" t="s">
        <v>107</v>
      </c>
      <c r="C58" s="11" t="n">
        <v>1157328</v>
      </c>
    </row>
    <row r="59" customFormat="false" ht="15" hidden="false" customHeight="false" outlineLevel="0" collapsed="false">
      <c r="B59" s="9" t="s">
        <v>108</v>
      </c>
      <c r="C59" s="26" t="n">
        <v>0.035</v>
      </c>
    </row>
    <row r="60" customFormat="false" ht="15" hidden="false" customHeight="false" outlineLevel="0" collapsed="false">
      <c r="B60" s="9" t="s">
        <v>109</v>
      </c>
      <c r="C60" s="26" t="n">
        <v>0.03</v>
      </c>
    </row>
    <row r="61" customFormat="false" ht="15" hidden="false" customHeight="false" outlineLevel="0" collapsed="false">
      <c r="B61" s="9" t="s">
        <v>110</v>
      </c>
      <c r="C61" s="12" t="n">
        <f aca="false">$C$58*($C$59-$C$60)</f>
        <v>5786.64000000001</v>
      </c>
    </row>
    <row r="62" customFormat="false" ht="15" hidden="false" customHeight="false" outlineLevel="0" collapsed="false">
      <c r="B62" s="9" t="s">
        <v>111</v>
      </c>
      <c r="C62" s="11" t="n">
        <v>650</v>
      </c>
    </row>
    <row r="63" customFormat="false" ht="15" hidden="false" customHeight="false" outlineLevel="0" collapsed="false">
      <c r="B63" s="9" t="s">
        <v>112</v>
      </c>
      <c r="C63" s="11" t="n">
        <v>600</v>
      </c>
    </row>
    <row r="64" customFormat="false" ht="15" hidden="false" customHeight="false" outlineLevel="0" collapsed="false">
      <c r="B64" s="9" t="s">
        <v>113</v>
      </c>
      <c r="C64" s="12" t="n">
        <f aca="false">($C$62-$C$63)*Reconciliation!$C$6</f>
        <v>3600</v>
      </c>
    </row>
    <row r="65" customFormat="false" ht="15" hidden="false" customHeight="false" outlineLevel="0" collapsed="false">
      <c r="B65" s="9" t="s">
        <v>114</v>
      </c>
      <c r="C65" s="12" t="n">
        <f aca="false">$C$61+$C$64</f>
        <v>9386.64000000001</v>
      </c>
    </row>
    <row r="66" customFormat="false" ht="15" hidden="false" customHeight="false" outlineLevel="0" collapsed="false">
      <c r="B66" s="9" t="s">
        <v>115</v>
      </c>
      <c r="C66" s="20" t="n">
        <v>0.0575</v>
      </c>
    </row>
    <row r="67" customFormat="false" ht="15" hidden="false" customHeight="false" outlineLevel="0" collapsed="false">
      <c r="B67" s="13" t="s">
        <v>116</v>
      </c>
      <c r="C67" s="14" t="n">
        <f aca="false">$C$65/$C$66</f>
        <v>163245.913043478</v>
      </c>
    </row>
    <row r="69" customFormat="false" ht="15" hidden="false" customHeight="false" outlineLevel="0" collapsed="false">
      <c r="B69" s="7" t="s">
        <v>117</v>
      </c>
      <c r="C69" s="8"/>
      <c r="D69" s="8"/>
    </row>
    <row r="70" customFormat="false" ht="15" hidden="false" customHeight="false" outlineLevel="0" collapsed="false">
      <c r="B70" s="9" t="s">
        <v>118</v>
      </c>
      <c r="C70" s="10" t="n">
        <v>20</v>
      </c>
    </row>
    <row r="71" customFormat="false" ht="15" hidden="false" customHeight="false" outlineLevel="0" collapsed="false">
      <c r="B71" s="9" t="s">
        <v>119</v>
      </c>
      <c r="C71" s="11" t="n">
        <v>7500</v>
      </c>
    </row>
    <row r="72" customFormat="false" ht="15" hidden="false" customHeight="false" outlineLevel="0" collapsed="false">
      <c r="B72" s="9" t="s">
        <v>120</v>
      </c>
      <c r="C72" s="11" t="n">
        <v>90</v>
      </c>
    </row>
    <row r="73" customFormat="false" ht="15" hidden="false" customHeight="false" outlineLevel="0" collapsed="false">
      <c r="B73" s="9" t="s">
        <v>121</v>
      </c>
      <c r="C73" s="11" t="n">
        <v>65</v>
      </c>
    </row>
    <row r="74" customFormat="false" ht="15" hidden="false" customHeight="false" outlineLevel="0" collapsed="false">
      <c r="B74" s="9" t="s">
        <v>122</v>
      </c>
      <c r="C74" s="12" t="n">
        <f aca="false">$C$72-$C$73</f>
        <v>25</v>
      </c>
    </row>
    <row r="75" customFormat="false" ht="15" hidden="false" customHeight="false" outlineLevel="0" collapsed="false">
      <c r="B75" s="9" t="s">
        <v>123</v>
      </c>
      <c r="C75" s="12" t="n">
        <f aca="false">$C$70*$C$71</f>
        <v>150000</v>
      </c>
    </row>
    <row r="76" customFormat="false" ht="15" hidden="false" customHeight="false" outlineLevel="0" collapsed="false">
      <c r="B76" s="9" t="s">
        <v>124</v>
      </c>
      <c r="C76" s="12" t="n">
        <f aca="false">$C$72*$C$70*12</f>
        <v>21600</v>
      </c>
    </row>
    <row r="77" customFormat="false" ht="15" hidden="false" customHeight="false" outlineLevel="0" collapsed="false">
      <c r="B77" s="9" t="s">
        <v>125</v>
      </c>
      <c r="C77" s="12" t="n">
        <f aca="false">$C$76/$C$66</f>
        <v>375652.173913043</v>
      </c>
    </row>
    <row r="78" customFormat="false" ht="15" hidden="false" customHeight="false" outlineLevel="0" collapsed="false">
      <c r="B78" s="9" t="s">
        <v>126</v>
      </c>
      <c r="C78" s="12" t="n">
        <f aca="false">$C$77-$C$75</f>
        <v>225652.173913043</v>
      </c>
    </row>
    <row r="79" customFormat="false" ht="15" hidden="false" customHeight="false" outlineLevel="0" collapsed="false">
      <c r="B79" s="9" t="s">
        <v>127</v>
      </c>
      <c r="C79" s="15" t="n">
        <v>0.25</v>
      </c>
    </row>
    <row r="80" customFormat="false" ht="15" hidden="false" customHeight="false" outlineLevel="0" collapsed="false">
      <c r="B80" s="13" t="s">
        <v>128</v>
      </c>
      <c r="C80" s="14" t="n">
        <f aca="false">$C$78*$C$79</f>
        <v>56413.0434782609</v>
      </c>
    </row>
    <row r="82" customFormat="false" ht="15" hidden="false" customHeight="false" outlineLevel="0" collapsed="false">
      <c r="B82" s="7" t="s">
        <v>129</v>
      </c>
      <c r="C82" s="8"/>
      <c r="D82" s="8"/>
    </row>
    <row r="83" customFormat="false" ht="15" hidden="false" customHeight="false" outlineLevel="0" collapsed="false">
      <c r="B83" s="9" t="s">
        <v>130</v>
      </c>
      <c r="C83" s="11" t="n">
        <v>15000</v>
      </c>
    </row>
    <row r="84" customFormat="false" ht="15" hidden="false" customHeight="false" outlineLevel="0" collapsed="false">
      <c r="B84" s="9" t="s">
        <v>131</v>
      </c>
      <c r="C84" s="12" t="n">
        <f aca="false">$C$83/$C$66</f>
        <v>260869.565217391</v>
      </c>
    </row>
    <row r="85" customFormat="false" ht="15" hidden="false" customHeight="false" outlineLevel="0" collapsed="false">
      <c r="B85" s="9" t="s">
        <v>132</v>
      </c>
      <c r="C85" s="15" t="n">
        <v>0.2</v>
      </c>
    </row>
    <row r="86" customFormat="false" ht="15" hidden="false" customHeight="false" outlineLevel="0" collapsed="false">
      <c r="B86" s="13" t="s">
        <v>133</v>
      </c>
      <c r="C86" s="14" t="n">
        <f aca="false">$C$84*$C$85</f>
        <v>52173.9130434783</v>
      </c>
    </row>
    <row r="88" customFormat="false" ht="15" hidden="false" customHeight="false" outlineLevel="0" collapsed="false">
      <c r="B88" s="7" t="s">
        <v>134</v>
      </c>
      <c r="C88" s="8"/>
      <c r="D88" s="8"/>
    </row>
    <row r="89" customFormat="false" ht="15" hidden="false" customHeight="false" outlineLevel="0" collapsed="false">
      <c r="B89" s="13" t="s">
        <v>135</v>
      </c>
      <c r="C89" s="14" t="n">
        <f aca="false">$C$6-$C$20</f>
        <v>100000</v>
      </c>
    </row>
    <row r="91" customFormat="false" ht="15" hidden="false" customHeight="false" outlineLevel="0" collapsed="false">
      <c r="B91" s="7" t="s">
        <v>136</v>
      </c>
      <c r="C91" s="8"/>
      <c r="D91" s="8"/>
    </row>
    <row r="92" customFormat="false" ht="15" hidden="false" customHeight="false" outlineLevel="0" collapsed="false">
      <c r="B92" s="9" t="s">
        <v>137</v>
      </c>
      <c r="C92" s="11" t="n">
        <v>0</v>
      </c>
    </row>
    <row r="94" customFormat="false" ht="15" hidden="false" customHeight="false" outlineLevel="0" collapsed="false">
      <c r="B94" s="7" t="s">
        <v>138</v>
      </c>
      <c r="C94" s="8"/>
      <c r="D94" s="8"/>
    </row>
    <row r="95" customFormat="false" ht="21.75" hidden="false" customHeight="true" outlineLevel="0" collapsed="false">
      <c r="B95" s="23" t="s">
        <v>139</v>
      </c>
      <c r="C95" s="24" t="s">
        <v>140</v>
      </c>
      <c r="D95" s="24" t="s">
        <v>141</v>
      </c>
    </row>
    <row r="96" customFormat="false" ht="15" hidden="false" customHeight="false" outlineLevel="0" collapsed="false">
      <c r="B96" s="9" t="s">
        <v>142</v>
      </c>
      <c r="C96" s="12" t="n">
        <f aca="false">$C$26</f>
        <v>150000</v>
      </c>
      <c r="D96" s="18" t="n">
        <f aca="false">C96/$C$11</f>
        <v>0.2</v>
      </c>
    </row>
    <row r="97" customFormat="false" ht="15" hidden="false" customHeight="false" outlineLevel="0" collapsed="false">
      <c r="B97" s="9" t="s">
        <v>143</v>
      </c>
      <c r="C97" s="12" t="n">
        <f aca="false">$C$37</f>
        <v>125544.567232862</v>
      </c>
      <c r="D97" s="18" t="n">
        <f aca="false">C97/$C$11</f>
        <v>0.167392756310483</v>
      </c>
    </row>
    <row r="98" customFormat="false" ht="15" hidden="false" customHeight="false" outlineLevel="0" collapsed="false">
      <c r="B98" s="9" t="s">
        <v>144</v>
      </c>
      <c r="C98" s="12" t="n">
        <f aca="false">$C$55</f>
        <v>56716.8801257666</v>
      </c>
      <c r="D98" s="18" t="n">
        <f aca="false">C98/$C$11</f>
        <v>0.0756225068343555</v>
      </c>
    </row>
    <row r="99" customFormat="false" ht="15" hidden="false" customHeight="false" outlineLevel="0" collapsed="false">
      <c r="B99" s="9" t="s">
        <v>145</v>
      </c>
      <c r="C99" s="12" t="n">
        <f aca="false">$C$67</f>
        <v>163245.913043478</v>
      </c>
      <c r="D99" s="18" t="n">
        <f aca="false">C99/$C$11</f>
        <v>0.217661217391304</v>
      </c>
    </row>
    <row r="100" customFormat="false" ht="15" hidden="false" customHeight="false" outlineLevel="0" collapsed="false">
      <c r="B100" s="9" t="s">
        <v>146</v>
      </c>
      <c r="C100" s="12" t="n">
        <f aca="false">$C$80</f>
        <v>56413.0434782609</v>
      </c>
      <c r="D100" s="18" t="n">
        <f aca="false">C100/$C$11</f>
        <v>0.0752173913043478</v>
      </c>
    </row>
    <row r="101" customFormat="false" ht="15" hidden="false" customHeight="false" outlineLevel="0" collapsed="false">
      <c r="B101" s="9" t="s">
        <v>147</v>
      </c>
      <c r="C101" s="12" t="n">
        <f aca="false">$C$86</f>
        <v>52173.9130434783</v>
      </c>
      <c r="D101" s="18" t="n">
        <f aca="false">C101/$C$11</f>
        <v>0.0695652173913044</v>
      </c>
    </row>
    <row r="102" customFormat="false" ht="15" hidden="false" customHeight="false" outlineLevel="0" collapsed="false">
      <c r="B102" s="9" t="s">
        <v>148</v>
      </c>
      <c r="C102" s="12" t="n">
        <f aca="false">$C$89</f>
        <v>100000</v>
      </c>
      <c r="D102" s="18" t="n">
        <f aca="false">C102/$C$11</f>
        <v>0.133333333333333</v>
      </c>
    </row>
    <row r="103" customFormat="false" ht="15" hidden="false" customHeight="false" outlineLevel="0" collapsed="false">
      <c r="B103" s="9" t="s">
        <v>149</v>
      </c>
      <c r="C103" s="12" t="n">
        <f aca="false">$C$92</f>
        <v>0</v>
      </c>
      <c r="D103" s="18" t="n">
        <f aca="false">C103/$C$11</f>
        <v>0</v>
      </c>
    </row>
    <row r="104" customFormat="false" ht="15" hidden="false" customHeight="false" outlineLevel="0" collapsed="false">
      <c r="B104" s="13" t="s">
        <v>150</v>
      </c>
      <c r="C104" s="14" t="n">
        <f aca="false">SUM(C96:C103)</f>
        <v>704094.316923847</v>
      </c>
      <c r="D104" s="18" t="n">
        <f aca="false">C104/$C$11</f>
        <v>0.938792422565129</v>
      </c>
    </row>
    <row r="105" customFormat="false" ht="15" hidden="false" customHeight="false" outlineLevel="0" collapsed="false">
      <c r="B105" s="13" t="s">
        <v>151</v>
      </c>
      <c r="C105" s="14" t="n">
        <f aca="false">$C$11-$C$104</f>
        <v>45905.6830761534</v>
      </c>
      <c r="D105" s="18" t="n">
        <f aca="false">C105/$C$11</f>
        <v>0.0612075774348712</v>
      </c>
    </row>
    <row r="106" customFormat="false" ht="15" hidden="false" customHeight="false" outlineLevel="0" collapsed="false">
      <c r="B106" s="9" t="s">
        <v>152</v>
      </c>
      <c r="C106" s="19" t="n">
        <f aca="false">$C$105/Reconciliation!$C$39</f>
        <v>0.00379385810546722</v>
      </c>
    </row>
    <row r="108" customFormat="false" ht="15" hidden="false" customHeight="false" outlineLevel="0" collapsed="false">
      <c r="B108" s="7" t="s">
        <v>153</v>
      </c>
      <c r="C108" s="8"/>
      <c r="D108" s="8"/>
    </row>
    <row r="109" customFormat="false" ht="15" hidden="false" customHeight="false" outlineLevel="0" collapsed="false">
      <c r="B109" s="9" t="s">
        <v>154</v>
      </c>
      <c r="C109" s="12" t="n">
        <f aca="false">$C$26+$C$37</f>
        <v>275544.567232862</v>
      </c>
    </row>
    <row r="110" customFormat="false" ht="15" hidden="false" customHeight="false" outlineLevel="0" collapsed="false">
      <c r="B110" s="9" t="s">
        <v>155</v>
      </c>
      <c r="C110" s="12" t="n">
        <f aca="false">$C$67+$C$80+$C$86</f>
        <v>271832.869565217</v>
      </c>
    </row>
    <row r="111" customFormat="false" ht="15" hidden="false" customHeight="false" outlineLevel="0" collapsed="false">
      <c r="B111" s="9" t="s">
        <v>156</v>
      </c>
      <c r="C111" s="12" t="n">
        <f aca="false">$C$89</f>
        <v>100000</v>
      </c>
    </row>
    <row r="112" customFormat="false" ht="15" hidden="false" customHeight="false" outlineLevel="0" collapsed="false">
      <c r="B112" s="13" t="s">
        <v>157</v>
      </c>
      <c r="C112" s="14" t="n">
        <f aca="false">$C$55+$C$105</f>
        <v>102622.56320192</v>
      </c>
    </row>
    <row r="113" customFormat="false" ht="15" hidden="false" customHeight="false" outlineLevel="0" collapsed="false">
      <c r="B113" s="9" t="s">
        <v>158</v>
      </c>
      <c r="C113" s="18" t="n">
        <f aca="false">$C$112/$C$11</f>
        <v>0.136830084269227</v>
      </c>
    </row>
    <row r="114" customFormat="false" ht="15" hidden="false" customHeight="false" outlineLevel="0" collapsed="false">
      <c r="B114" s="9" t="s">
        <v>159</v>
      </c>
      <c r="C114" s="19" t="n">
        <f aca="false">$C$112/Reconciliation!$C$39</f>
        <v>0.00848120357040661</v>
      </c>
    </row>
    <row r="115" customFormat="false" ht="15" hidden="false" customHeight="false" outlineLevel="0" collapsed="false">
      <c r="B115" s="9" t="s">
        <v>160</v>
      </c>
      <c r="C115" s="12" t="n">
        <f aca="false">$C$109+$C$110+$C$111+$C$112+$C$92</f>
        <v>750000</v>
      </c>
    </row>
    <row r="117" customFormat="false" ht="15" hidden="false" customHeight="false" outlineLevel="0" collapsed="false">
      <c r="B117" s="7" t="s">
        <v>161</v>
      </c>
      <c r="C117" s="8"/>
      <c r="D117" s="8"/>
    </row>
    <row r="118" customFormat="false" ht="15" hidden="false" customHeight="false" outlineLevel="0" collapsed="false">
      <c r="B118" s="13" t="s">
        <v>162</v>
      </c>
      <c r="C118" s="14" t="n">
        <f aca="false">$C$6-$C$26-$C$37</f>
        <v>12574455.4327671</v>
      </c>
    </row>
    <row r="119" customFormat="false" ht="15" hidden="false" customHeight="false" outlineLevel="0" collapsed="false">
      <c r="B119" s="9" t="s">
        <v>163</v>
      </c>
      <c r="C119" s="18" t="n">
        <f aca="false">$C$118/Reconciliation!$C$39-1</f>
        <v>0.0392111927906726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6"/>
    <col collapsed="false" customWidth="true" hidden="false" outlineLevel="0" max="3" min="3" style="0" width="16"/>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164</v>
      </c>
    </row>
    <row r="3" customFormat="false" ht="15" hidden="false" customHeight="false" outlineLevel="0" collapsed="false">
      <c r="B3" s="6" t="s">
        <v>165</v>
      </c>
    </row>
    <row r="5" customFormat="false" ht="15" hidden="false" customHeight="false" outlineLevel="0" collapsed="false">
      <c r="B5" s="9" t="s">
        <v>166</v>
      </c>
      <c r="C5" s="11" t="n">
        <v>9800000</v>
      </c>
    </row>
    <row r="6" customFormat="false" ht="15" hidden="false" customHeight="false" outlineLevel="0" collapsed="false">
      <c r="B6" s="9" t="s">
        <v>167</v>
      </c>
      <c r="C6" s="11" t="n">
        <v>5600000</v>
      </c>
    </row>
    <row r="7" customFormat="false" ht="15" hidden="false" customHeight="false" outlineLevel="0" collapsed="false">
      <c r="B7" s="9" t="s">
        <v>168</v>
      </c>
      <c r="C7" s="12" t="n">
        <f aca="false">$C$5-$C$6</f>
        <v>4200000</v>
      </c>
    </row>
    <row r="8" customFormat="false" ht="15" hidden="false" customHeight="false" outlineLevel="0" collapsed="false">
      <c r="B8" s="9" t="s">
        <v>169</v>
      </c>
      <c r="C8" s="11" t="n">
        <v>1300000</v>
      </c>
    </row>
    <row r="9" customFormat="false" ht="15" hidden="false" customHeight="false" outlineLevel="0" collapsed="false">
      <c r="B9" s="9" t="s">
        <v>170</v>
      </c>
      <c r="C9" s="12" t="n">
        <f aca="false">$C$7-$C$8</f>
        <v>2900000</v>
      </c>
    </row>
    <row r="10" customFormat="false" ht="15" hidden="false" customHeight="false" outlineLevel="0" collapsed="false">
      <c r="B10" s="9" t="s">
        <v>171</v>
      </c>
      <c r="C10" s="15" t="n">
        <v>0.2</v>
      </c>
    </row>
    <row r="11" customFormat="false" ht="15" hidden="false" customHeight="false" outlineLevel="0" collapsed="false">
      <c r="B11" s="9" t="s">
        <v>172</v>
      </c>
      <c r="C11" s="15" t="n">
        <v>0.25</v>
      </c>
    </row>
    <row r="12" customFormat="false" ht="15" hidden="false" customHeight="false" outlineLevel="0" collapsed="false">
      <c r="B12" s="9" t="s">
        <v>173</v>
      </c>
      <c r="C12" s="26" t="n">
        <v>0.038</v>
      </c>
    </row>
    <row r="13" customFormat="false" ht="15" hidden="false" customHeight="false" outlineLevel="0" collapsed="false">
      <c r="B13" s="9" t="s">
        <v>174</v>
      </c>
      <c r="C13" s="15" t="n">
        <v>0.05</v>
      </c>
    </row>
    <row r="14" customFormat="false" ht="15" hidden="false" customHeight="false" outlineLevel="0" collapsed="false">
      <c r="B14" s="9" t="s">
        <v>175</v>
      </c>
      <c r="C14" s="12" t="n">
        <f aca="false">$C$8*($C$11+$C$12+$C$13)</f>
        <v>439400</v>
      </c>
    </row>
    <row r="15" customFormat="false" ht="15" hidden="false" customHeight="false" outlineLevel="0" collapsed="false">
      <c r="B15" s="9" t="s">
        <v>176</v>
      </c>
      <c r="C15" s="12" t="n">
        <f aca="false">$C$9*($C$10+$C$12+$C$13)</f>
        <v>835200</v>
      </c>
    </row>
    <row r="16" customFormat="false" ht="15" hidden="false" customHeight="false" outlineLevel="0" collapsed="false">
      <c r="B16" s="13" t="s">
        <v>177</v>
      </c>
      <c r="C16" s="14" t="n">
        <f aca="false">$C$14+$C$15</f>
        <v>1274600</v>
      </c>
    </row>
    <row r="17" customFormat="false" ht="15" hidden="false" customHeight="false" outlineLevel="0" collapsed="false">
      <c r="B17" s="9" t="s">
        <v>178</v>
      </c>
      <c r="C17" s="18" t="n">
        <f aca="false">$C$16/Price_and_Bridge!$C$6</f>
        <v>0.0991906614785992</v>
      </c>
    </row>
    <row r="18" customFormat="false" ht="15" hidden="false" customHeight="false" outlineLevel="0" collapsed="false">
      <c r="B18" s="9" t="s">
        <v>179</v>
      </c>
      <c r="C18" s="18" t="n">
        <f aca="false">Price_and_Bridge!$C$89/$C$16</f>
        <v>0.0784559861917464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7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13" min="3" style="0" width="13"/>
    <col collapsed="false" customWidth="true" hidden="false" outlineLevel="0" max="14" min="14" style="0" width="20"/>
  </cols>
  <sheetData>
    <row r="1" customFormat="false" ht="6" hidden="false" customHeight="true" outlineLevel="0" collapsed="false"/>
    <row r="2" customFormat="false" ht="17.35" hidden="false" customHeight="false" outlineLevel="0" collapsed="false">
      <c r="B2" s="5" t="s">
        <v>180</v>
      </c>
    </row>
    <row r="3" customFormat="false" ht="15" hidden="false" customHeight="false" outlineLevel="0" collapsed="false">
      <c r="B3" s="6" t="s">
        <v>181</v>
      </c>
    </row>
    <row r="5" customFormat="false" ht="15" hidden="false" customHeight="false" outlineLevel="0" collapsed="false">
      <c r="B5" s="7" t="s">
        <v>182</v>
      </c>
      <c r="C5" s="8"/>
      <c r="D5" s="8"/>
      <c r="E5" s="8"/>
      <c r="F5" s="8"/>
      <c r="G5" s="8"/>
      <c r="H5" s="8"/>
    </row>
    <row r="6" customFormat="false" ht="15" hidden="false" customHeight="false" outlineLevel="0" collapsed="false">
      <c r="B6" s="9" t="s">
        <v>183</v>
      </c>
      <c r="C6" s="27" t="n">
        <v>18400</v>
      </c>
    </row>
    <row r="7" customFormat="false" ht="15" hidden="false" customHeight="false" outlineLevel="0" collapsed="false">
      <c r="B7" s="9" t="s">
        <v>184</v>
      </c>
      <c r="C7" s="26" t="n">
        <v>0.946</v>
      </c>
    </row>
    <row r="8" customFormat="false" ht="15" hidden="false" customHeight="false" outlineLevel="0" collapsed="false">
      <c r="B8" s="9" t="s">
        <v>185</v>
      </c>
      <c r="C8" s="27" t="n">
        <v>480</v>
      </c>
    </row>
    <row r="9" customFormat="false" ht="15" hidden="false" customHeight="false" outlineLevel="0" collapsed="false">
      <c r="B9" s="9" t="s">
        <v>186</v>
      </c>
      <c r="C9" s="26" t="n">
        <v>0.05</v>
      </c>
    </row>
    <row r="10" customFormat="false" ht="15" hidden="false" customHeight="false" outlineLevel="0" collapsed="false">
      <c r="B10" s="9" t="s">
        <v>187</v>
      </c>
      <c r="C10" s="26" t="n">
        <v>0.035</v>
      </c>
    </row>
    <row r="11" customFormat="false" ht="15" hidden="false" customHeight="false" outlineLevel="0" collapsed="false">
      <c r="B11" s="9" t="s">
        <v>188</v>
      </c>
      <c r="C11" s="28" t="n">
        <v>0.5</v>
      </c>
    </row>
    <row r="12" customFormat="false" ht="15" hidden="false" customHeight="false" outlineLevel="0" collapsed="false">
      <c r="B12" s="9" t="s">
        <v>189</v>
      </c>
      <c r="C12" s="26" t="n">
        <v>0.025</v>
      </c>
    </row>
    <row r="13" customFormat="false" ht="15" hidden="false" customHeight="false" outlineLevel="0" collapsed="false">
      <c r="B13" s="23" t="s">
        <v>190</v>
      </c>
      <c r="C13" s="24" t="s">
        <v>191</v>
      </c>
      <c r="D13" s="24" t="s">
        <v>192</v>
      </c>
      <c r="E13" s="24" t="s">
        <v>193</v>
      </c>
      <c r="F13" s="24" t="s">
        <v>194</v>
      </c>
      <c r="G13" s="24" t="s">
        <v>195</v>
      </c>
      <c r="H13" s="24" t="s">
        <v>196</v>
      </c>
    </row>
    <row r="14" customFormat="false" ht="15" hidden="false" customHeight="false" outlineLevel="0" collapsed="false">
      <c r="B14" s="9" t="s">
        <v>197</v>
      </c>
      <c r="C14" s="9"/>
      <c r="D14" s="27" t="n">
        <v>700</v>
      </c>
      <c r="E14" s="27" t="n">
        <v>550</v>
      </c>
      <c r="F14" s="27" t="n">
        <v>350</v>
      </c>
      <c r="G14" s="27" t="n">
        <v>400</v>
      </c>
      <c r="H14" s="27" t="n">
        <v>400</v>
      </c>
    </row>
    <row r="15" customFormat="false" ht="15" hidden="false" customHeight="false" outlineLevel="0" collapsed="false">
      <c r="B15" s="9" t="s">
        <v>198</v>
      </c>
      <c r="C15" s="9"/>
      <c r="D15" s="29" t="n">
        <f aca="false">Investment_Value!$C$8</f>
        <v>480</v>
      </c>
      <c r="E15" s="29" t="n">
        <f aca="false">Investment_Value!$C$8</f>
        <v>480</v>
      </c>
      <c r="F15" s="29" t="n">
        <f aca="false">Investment_Value!$C$8</f>
        <v>480</v>
      </c>
      <c r="G15" s="29" t="n">
        <f aca="false">Investment_Value!$C$8</f>
        <v>480</v>
      </c>
      <c r="H15" s="29" t="n">
        <f aca="false">Investment_Value!$C$8</f>
        <v>480</v>
      </c>
    </row>
    <row r="16" customFormat="false" ht="15" hidden="false" customHeight="false" outlineLevel="0" collapsed="false">
      <c r="B16" s="9" t="s">
        <v>199</v>
      </c>
      <c r="C16" s="29" t="n">
        <f aca="false">Investment_Value!$C$6</f>
        <v>18400</v>
      </c>
      <c r="D16" s="29" t="n">
        <f aca="false">C16+D14</f>
        <v>19100</v>
      </c>
      <c r="E16" s="29" t="n">
        <f aca="false">D16+E14</f>
        <v>19650</v>
      </c>
      <c r="F16" s="29" t="n">
        <f aca="false">E16+F14</f>
        <v>20000</v>
      </c>
      <c r="G16" s="29" t="n">
        <f aca="false">F16+G14</f>
        <v>20400</v>
      </c>
      <c r="H16" s="29" t="n">
        <f aca="false">G16+H14</f>
        <v>20800</v>
      </c>
    </row>
    <row r="17" customFormat="false" ht="15" hidden="false" customHeight="false" outlineLevel="0" collapsed="false">
      <c r="B17" s="9" t="s">
        <v>200</v>
      </c>
      <c r="C17" s="29" t="n">
        <f aca="false">Investment_Value!$C$6*Investment_Value!$C$7</f>
        <v>17406.4</v>
      </c>
      <c r="D17" s="29" t="n">
        <f aca="false">C17+D15</f>
        <v>17886.4</v>
      </c>
      <c r="E17" s="29" t="n">
        <f aca="false">D17+E15</f>
        <v>18366.4</v>
      </c>
      <c r="F17" s="29" t="n">
        <f aca="false">E17+F15</f>
        <v>18846.4</v>
      </c>
      <c r="G17" s="29" t="n">
        <f aca="false">F17+G15</f>
        <v>19326.4</v>
      </c>
      <c r="H17" s="29" t="n">
        <f aca="false">G17+H15</f>
        <v>19806.4</v>
      </c>
    </row>
    <row r="18" customFormat="false" ht="15" hidden="false" customHeight="false" outlineLevel="0" collapsed="false">
      <c r="B18" s="13" t="s">
        <v>201</v>
      </c>
      <c r="C18" s="30" t="n">
        <f aca="false">1-C17/C16</f>
        <v>0.0540000000000002</v>
      </c>
      <c r="D18" s="30" t="n">
        <f aca="false">1-D17/D16</f>
        <v>0.0635392670157069</v>
      </c>
      <c r="E18" s="30" t="n">
        <f aca="false">1-E17/E16</f>
        <v>0.0653231552162851</v>
      </c>
      <c r="F18" s="30" t="n">
        <f aca="false">1-F17/F16</f>
        <v>0.0576800000000001</v>
      </c>
      <c r="G18" s="30" t="n">
        <f aca="false">1-G17/G16</f>
        <v>0.0526274509803922</v>
      </c>
      <c r="H18" s="30" t="n">
        <f aca="false">1-H17/H16</f>
        <v>0.0477692307692309</v>
      </c>
    </row>
    <row r="19" customFormat="false" ht="15" hidden="false" customHeight="false" outlineLevel="0" collapsed="false">
      <c r="B19" s="13" t="s">
        <v>202</v>
      </c>
      <c r="C19" s="9"/>
      <c r="D19" s="30" t="n">
        <f aca="false">Investment_Value!$C$10-Investment_Value!$C$11*(D18-Investment_Value!$C$9)</f>
        <v>0.0282303664921466</v>
      </c>
      <c r="E19" s="30" t="n">
        <f aca="false">Investment_Value!$C$10-Investment_Value!$C$11*(E18-Investment_Value!$C$9)</f>
        <v>0.0273384223918575</v>
      </c>
      <c r="F19" s="30" t="n">
        <f aca="false">Investment_Value!$C$10-Investment_Value!$C$11*(F18-Investment_Value!$C$9)</f>
        <v>0.03116</v>
      </c>
      <c r="G19" s="30" t="n">
        <f aca="false">Investment_Value!$C$10-Investment_Value!$C$11*(G18-Investment_Value!$C$9)</f>
        <v>0.0336862745098039</v>
      </c>
      <c r="H19" s="30" t="n">
        <f aca="false">Investment_Value!$C$10-Investment_Value!$C$11*(H18-Investment_Value!$C$9)</f>
        <v>0.0361153846153846</v>
      </c>
    </row>
    <row r="21" customFormat="false" ht="15" hidden="false" customHeight="false" outlineLevel="0" collapsed="false">
      <c r="B21" s="7" t="s">
        <v>203</v>
      </c>
      <c r="C21" s="8"/>
      <c r="D21" s="8"/>
    </row>
    <row r="22" customFormat="false" ht="15" hidden="false" customHeight="false" outlineLevel="0" collapsed="false">
      <c r="B22" s="9" t="s">
        <v>204</v>
      </c>
      <c r="C22" s="11" t="n">
        <v>1183680</v>
      </c>
    </row>
    <row r="23" customFormat="false" ht="15" hidden="false" customHeight="false" outlineLevel="0" collapsed="false">
      <c r="B23" s="9" t="s">
        <v>205</v>
      </c>
      <c r="C23" s="11" t="n">
        <v>41760</v>
      </c>
    </row>
    <row r="24" customFormat="false" ht="15" hidden="false" customHeight="false" outlineLevel="0" collapsed="false">
      <c r="B24" s="9" t="s">
        <v>206</v>
      </c>
      <c r="C24" s="15" t="n">
        <v>0.5</v>
      </c>
    </row>
    <row r="25" customFormat="false" ht="15" hidden="false" customHeight="false" outlineLevel="0" collapsed="false">
      <c r="B25" s="9" t="s">
        <v>207</v>
      </c>
      <c r="C25" s="11" t="n">
        <v>34560</v>
      </c>
    </row>
    <row r="26" customFormat="false" ht="15" hidden="false" customHeight="false" outlineLevel="0" collapsed="false">
      <c r="B26" s="9" t="s">
        <v>208</v>
      </c>
      <c r="C26" s="26" t="n">
        <v>0.05</v>
      </c>
    </row>
    <row r="27" customFormat="false" ht="21.75" hidden="false" customHeight="true" outlineLevel="0" collapsed="false">
      <c r="B27" s="23" t="s">
        <v>209</v>
      </c>
      <c r="C27" s="24" t="s">
        <v>48</v>
      </c>
    </row>
    <row r="28" customFormat="false" ht="15" hidden="false" customHeight="false" outlineLevel="0" collapsed="false">
      <c r="B28" s="9" t="s">
        <v>210</v>
      </c>
      <c r="C28" s="11" t="n">
        <v>1450</v>
      </c>
    </row>
    <row r="29" customFormat="false" ht="15" hidden="false" customHeight="false" outlineLevel="0" collapsed="false">
      <c r="B29" s="9" t="s">
        <v>211</v>
      </c>
      <c r="C29" s="11" t="n">
        <v>600</v>
      </c>
    </row>
    <row r="30" customFormat="false" ht="15" hidden="false" customHeight="false" outlineLevel="0" collapsed="false">
      <c r="B30" s="9" t="s">
        <v>212</v>
      </c>
      <c r="C30" s="11" t="n">
        <v>850</v>
      </c>
    </row>
    <row r="31" customFormat="false" ht="15" hidden="false" customHeight="false" outlineLevel="0" collapsed="false">
      <c r="B31" s="9" t="s">
        <v>213</v>
      </c>
      <c r="C31" s="11" t="n">
        <v>750</v>
      </c>
    </row>
    <row r="32" customFormat="false" ht="15" hidden="false" customHeight="false" outlineLevel="0" collapsed="false">
      <c r="B32" s="9" t="s">
        <v>214</v>
      </c>
      <c r="C32" s="11" t="n">
        <v>1200</v>
      </c>
    </row>
    <row r="33" customFormat="false" ht="15" hidden="false" customHeight="false" outlineLevel="0" collapsed="false">
      <c r="B33" s="9" t="s">
        <v>215</v>
      </c>
      <c r="C33" s="11" t="n">
        <v>300</v>
      </c>
    </row>
    <row r="34" customFormat="false" ht="15" hidden="false" customHeight="false" outlineLevel="0" collapsed="false">
      <c r="B34" s="9" t="s">
        <v>216</v>
      </c>
      <c r="C34" s="11" t="n">
        <v>250</v>
      </c>
    </row>
    <row r="35" customFormat="false" ht="15" hidden="false" customHeight="false" outlineLevel="0" collapsed="false">
      <c r="B35" s="9" t="s">
        <v>217</v>
      </c>
      <c r="C35" s="11" t="n">
        <v>300</v>
      </c>
    </row>
    <row r="36" customFormat="false" ht="15" hidden="false" customHeight="false" outlineLevel="0" collapsed="false">
      <c r="B36" s="9" t="s">
        <v>218</v>
      </c>
      <c r="C36" s="12" t="n">
        <f aca="false">SUM(C28:C35)*Reconciliation!$C$6</f>
        <v>410400</v>
      </c>
    </row>
    <row r="37" customFormat="false" ht="15" hidden="false" customHeight="false" outlineLevel="0" collapsed="false">
      <c r="B37" s="9" t="s">
        <v>219</v>
      </c>
      <c r="C37" s="18" t="n">
        <f aca="false">Price_and_Bridge!$C$60</f>
        <v>0.03</v>
      </c>
    </row>
    <row r="38" customFormat="false" ht="15" hidden="false" customHeight="false" outlineLevel="0" collapsed="false">
      <c r="B38" s="9" t="s">
        <v>220</v>
      </c>
      <c r="C38" s="26" t="n">
        <v>0.03</v>
      </c>
    </row>
    <row r="39" customFormat="false" ht="15" hidden="false" customHeight="false" outlineLevel="0" collapsed="false">
      <c r="B39" s="9" t="s">
        <v>221</v>
      </c>
      <c r="C39" s="26" t="n">
        <v>0.03</v>
      </c>
    </row>
    <row r="40" customFormat="false" ht="15" hidden="false" customHeight="false" outlineLevel="0" collapsed="false">
      <c r="B40" s="9" t="s">
        <v>222</v>
      </c>
      <c r="C40" s="12" t="n">
        <f aca="false">Reconciliation!$C$7</f>
        <v>150000</v>
      </c>
    </row>
    <row r="41" customFormat="false" ht="15" hidden="false" customHeight="false" outlineLevel="0" collapsed="false">
      <c r="B41" s="9" t="s">
        <v>223</v>
      </c>
      <c r="C41" s="12" t="n">
        <f aca="false">Price_and_Bridge!$C$75</f>
        <v>150000</v>
      </c>
    </row>
    <row r="42" customFormat="false" ht="15" hidden="false" customHeight="false" outlineLevel="0" collapsed="false">
      <c r="B42" s="9" t="s">
        <v>224</v>
      </c>
      <c r="C42" s="12" t="n">
        <f aca="false">Price_and_Bridge!$C$76</f>
        <v>21600</v>
      </c>
    </row>
    <row r="43" customFormat="false" ht="15" hidden="false" customHeight="false" outlineLevel="0" collapsed="false">
      <c r="B43" s="9" t="s">
        <v>225</v>
      </c>
      <c r="C43" s="12" t="n">
        <f aca="false">Price_and_Bridge!$C$83</f>
        <v>15000</v>
      </c>
    </row>
    <row r="44" customFormat="false" ht="15" hidden="false" customHeight="false" outlineLevel="0" collapsed="false">
      <c r="B44" s="9" t="s">
        <v>226</v>
      </c>
      <c r="C44" s="20" t="n">
        <v>0.0775</v>
      </c>
    </row>
    <row r="45" customFormat="false" ht="15" hidden="false" customHeight="false" outlineLevel="0" collapsed="false">
      <c r="B45" s="9" t="s">
        <v>227</v>
      </c>
      <c r="C45" s="20" t="n">
        <v>0.06</v>
      </c>
    </row>
    <row r="46" customFormat="false" ht="15" hidden="false" customHeight="false" outlineLevel="0" collapsed="false">
      <c r="B46" s="9" t="s">
        <v>228</v>
      </c>
      <c r="C46" s="26" t="n">
        <v>0.02</v>
      </c>
    </row>
    <row r="48" customFormat="false" ht="15" hidden="false" customHeight="false" outlineLevel="0" collapsed="false">
      <c r="B48" s="7" t="s">
        <v>229</v>
      </c>
      <c r="C48" s="8"/>
      <c r="D48" s="8"/>
      <c r="E48" s="8"/>
      <c r="F48" s="8"/>
      <c r="G48" s="8"/>
      <c r="H48" s="8"/>
      <c r="I48" s="8"/>
      <c r="J48" s="8"/>
      <c r="K48" s="8"/>
      <c r="L48" s="8"/>
      <c r="M48" s="8"/>
    </row>
    <row r="49" customFormat="false" ht="15" hidden="false" customHeight="false" outlineLevel="0" collapsed="false">
      <c r="B49" s="23" t="s">
        <v>190</v>
      </c>
      <c r="C49" s="24" t="n">
        <v>1</v>
      </c>
      <c r="D49" s="24" t="n">
        <v>2</v>
      </c>
      <c r="E49" s="24" t="n">
        <v>3</v>
      </c>
      <c r="F49" s="24" t="n">
        <v>4</v>
      </c>
      <c r="G49" s="24" t="n">
        <v>5</v>
      </c>
      <c r="H49" s="24" t="n">
        <v>6</v>
      </c>
      <c r="I49" s="24" t="n">
        <v>7</v>
      </c>
      <c r="J49" s="24" t="n">
        <v>8</v>
      </c>
      <c r="K49" s="24" t="n">
        <v>9</v>
      </c>
      <c r="L49" s="24" t="n">
        <v>10</v>
      </c>
      <c r="M49" s="24" t="n">
        <v>11</v>
      </c>
    </row>
    <row r="50" customFormat="false" ht="15" hidden="false" customHeight="false" outlineLevel="0" collapsed="false">
      <c r="B50" s="9" t="s">
        <v>230</v>
      </c>
      <c r="C50" s="9"/>
      <c r="D50" s="19" t="n">
        <f aca="false">Investment_Value!$D$19</f>
        <v>0.0282303664921466</v>
      </c>
      <c r="E50" s="19" t="n">
        <f aca="false">Investment_Value!$E$19</f>
        <v>0.0273384223918575</v>
      </c>
      <c r="F50" s="19" t="n">
        <f aca="false">Investment_Value!$F$19</f>
        <v>0.03116</v>
      </c>
      <c r="G50" s="19" t="n">
        <f aca="false">Investment_Value!$G$19</f>
        <v>0.0336862745098039</v>
      </c>
      <c r="H50" s="19" t="n">
        <f aca="false">Investment_Value!$H$19</f>
        <v>0.0361153846153846</v>
      </c>
      <c r="I50" s="19" t="n">
        <f aca="false">Investment_Value!$C$12</f>
        <v>0.025</v>
      </c>
      <c r="J50" s="19" t="n">
        <f aca="false">Investment_Value!$C$12</f>
        <v>0.025</v>
      </c>
      <c r="K50" s="19" t="n">
        <f aca="false">Investment_Value!$C$12</f>
        <v>0.025</v>
      </c>
      <c r="L50" s="19" t="n">
        <f aca="false">Investment_Value!$C$12</f>
        <v>0.025</v>
      </c>
      <c r="M50" s="19" t="n">
        <f aca="false">Investment_Value!$C$12</f>
        <v>0.025</v>
      </c>
    </row>
    <row r="51" customFormat="false" ht="15" hidden="false" customHeight="false" outlineLevel="0" collapsed="false">
      <c r="B51" s="9" t="s">
        <v>231</v>
      </c>
      <c r="C51" s="12" t="n">
        <f aca="false">Investment_Value!$C$22</f>
        <v>1183680</v>
      </c>
      <c r="D51" s="12" t="n">
        <f aca="false">C51*(1+D50)</f>
        <v>1217095.72020942</v>
      </c>
      <c r="E51" s="12" t="n">
        <f aca="false">D51*(1+E50)</f>
        <v>1250369.19709983</v>
      </c>
      <c r="F51" s="12" t="n">
        <f aca="false">E51*(1+F50)</f>
        <v>1289330.70128146</v>
      </c>
      <c r="G51" s="12" t="n">
        <f aca="false">F51*(1+G50)</f>
        <v>1332763.44921875</v>
      </c>
      <c r="H51" s="12" t="n">
        <f aca="false">G51*(1+H50)</f>
        <v>1380896.71378861</v>
      </c>
      <c r="I51" s="12" t="n">
        <f aca="false">H51*(1+I50)</f>
        <v>1415419.13163332</v>
      </c>
      <c r="J51" s="12" t="n">
        <f aca="false">I51*(1+J50)</f>
        <v>1450804.60992416</v>
      </c>
      <c r="K51" s="12" t="n">
        <f aca="false">J51*(1+K50)</f>
        <v>1487074.72517226</v>
      </c>
      <c r="L51" s="12" t="n">
        <f aca="false">K51*(1+L50)</f>
        <v>1524251.59330157</v>
      </c>
      <c r="M51" s="12" t="n">
        <f aca="false">L51*(1+M50)</f>
        <v>1562357.88313411</v>
      </c>
    </row>
    <row r="52" customFormat="false" ht="15" hidden="false" customHeight="false" outlineLevel="0" collapsed="false">
      <c r="B52" s="9" t="s">
        <v>232</v>
      </c>
      <c r="C52" s="12" t="n">
        <f aca="false">C51-Investment_Value!$C$23*Investment_Value!$C$24</f>
        <v>1162800</v>
      </c>
      <c r="D52" s="12" t="n">
        <f aca="false">D51</f>
        <v>1217095.72020942</v>
      </c>
      <c r="E52" s="12" t="n">
        <f aca="false">E51</f>
        <v>1250369.19709983</v>
      </c>
      <c r="F52" s="12" t="n">
        <f aca="false">F51</f>
        <v>1289330.70128146</v>
      </c>
      <c r="G52" s="12" t="n">
        <f aca="false">G51</f>
        <v>1332763.44921875</v>
      </c>
      <c r="H52" s="12" t="n">
        <f aca="false">H51</f>
        <v>1380896.71378861</v>
      </c>
      <c r="I52" s="12" t="n">
        <f aca="false">I51</f>
        <v>1415419.13163332</v>
      </c>
      <c r="J52" s="12" t="n">
        <f aca="false">J51</f>
        <v>1450804.60992416</v>
      </c>
      <c r="K52" s="12" t="n">
        <f aca="false">K51</f>
        <v>1487074.72517226</v>
      </c>
      <c r="L52" s="12" t="n">
        <f aca="false">L51</f>
        <v>1524251.59330157</v>
      </c>
      <c r="M52" s="12" t="n">
        <f aca="false">M51</f>
        <v>1562357.88313411</v>
      </c>
    </row>
    <row r="53" customFormat="false" ht="15" hidden="false" customHeight="false" outlineLevel="0" collapsed="false">
      <c r="B53" s="9" t="s">
        <v>233</v>
      </c>
      <c r="C53" s="12" t="n">
        <f aca="false">Investment_Value!$C$25</f>
        <v>34560</v>
      </c>
      <c r="D53" s="12" t="n">
        <f aca="false">C53*(1+Investment_Value!$C$39)</f>
        <v>35596.8</v>
      </c>
      <c r="E53" s="12" t="n">
        <f aca="false">D53*(1+Investment_Value!$C$39)</f>
        <v>36664.704</v>
      </c>
      <c r="F53" s="12" t="n">
        <f aca="false">E53*(1+Investment_Value!$C$39)</f>
        <v>37764.64512</v>
      </c>
      <c r="G53" s="12" t="n">
        <f aca="false">F53*(1+Investment_Value!$C$39)</f>
        <v>38897.5844736</v>
      </c>
      <c r="H53" s="12" t="n">
        <f aca="false">G53*(1+Investment_Value!$C$39)</f>
        <v>40064.512007808</v>
      </c>
      <c r="I53" s="12" t="n">
        <f aca="false">H53*(1+Investment_Value!$C$39)</f>
        <v>41266.4473680422</v>
      </c>
      <c r="J53" s="12" t="n">
        <f aca="false">I53*(1+Investment_Value!$C$39)</f>
        <v>42504.4407890835</v>
      </c>
      <c r="K53" s="12" t="n">
        <f aca="false">J53*(1+Investment_Value!$C$39)</f>
        <v>43779.574012756</v>
      </c>
      <c r="L53" s="12" t="n">
        <f aca="false">K53*(1+Investment_Value!$C$39)</f>
        <v>45092.9612331387</v>
      </c>
      <c r="M53" s="12" t="n">
        <f aca="false">L53*(1+Investment_Value!$C$39)</f>
        <v>46445.7500701329</v>
      </c>
    </row>
    <row r="54" customFormat="false" ht="15" hidden="false" customHeight="false" outlineLevel="0" collapsed="false">
      <c r="B54" s="9" t="s">
        <v>234</v>
      </c>
      <c r="C54" s="12" t="n">
        <f aca="false">(C52+C53)*Investment_Value!$C$26</f>
        <v>59868</v>
      </c>
      <c r="D54" s="12" t="n">
        <f aca="false">(D52+D53)*Investment_Value!$C$26</f>
        <v>62634.6260104712</v>
      </c>
      <c r="E54" s="12" t="n">
        <f aca="false">(E52+E53)*Investment_Value!$C$26</f>
        <v>64351.6950549916</v>
      </c>
      <c r="F54" s="12" t="n">
        <f aca="false">(F52+F53)*Investment_Value!$C$26</f>
        <v>66354.7673200731</v>
      </c>
      <c r="G54" s="12" t="n">
        <f aca="false">(G52+G53)*Investment_Value!$C$26</f>
        <v>68583.0516846174</v>
      </c>
      <c r="H54" s="12" t="n">
        <f aca="false">(H52+H53)*Investment_Value!$C$26</f>
        <v>71048.0612898209</v>
      </c>
      <c r="I54" s="12" t="n">
        <f aca="false">(I52+I53)*Investment_Value!$C$26</f>
        <v>72834.2789500683</v>
      </c>
      <c r="J54" s="12" t="n">
        <f aca="false">(J52+J53)*Investment_Value!$C$26</f>
        <v>74665.452535662</v>
      </c>
      <c r="K54" s="12" t="n">
        <f aca="false">(K52+K53)*Investment_Value!$C$26</f>
        <v>76542.7149592509</v>
      </c>
      <c r="L54" s="12" t="n">
        <f aca="false">(L52+L53)*Investment_Value!$C$26</f>
        <v>78467.2277267353</v>
      </c>
      <c r="M54" s="12" t="n">
        <f aca="false">(M52+M53)*Investment_Value!$C$26</f>
        <v>80440.181660212</v>
      </c>
    </row>
    <row r="55" customFormat="false" ht="15" hidden="false" customHeight="false" outlineLevel="0" collapsed="false">
      <c r="B55" s="9" t="s">
        <v>235</v>
      </c>
      <c r="C55" s="12" t="n">
        <f aca="false">Investment_Value!$C$42*IF(C$49=1,0.5,1)*(1+Investment_Value!$C$12)^MAX(0,C$49-2)+Investment_Value!$C$43*(1+Investment_Value!$C$38)^(C$49-1)</f>
        <v>25800</v>
      </c>
      <c r="D55" s="12" t="n">
        <f aca="false">Investment_Value!$C$42*IF(D$49=1,0.5,1)*(1+Investment_Value!$C$12)^MAX(0,D$49-2)+Investment_Value!$C$43*(1+Investment_Value!$C$38)^(D$49-1)</f>
        <v>37050</v>
      </c>
      <c r="E55" s="12" t="n">
        <f aca="false">Investment_Value!$C$42*IF(E$49=1,0.5,1)*(1+Investment_Value!$C$12)^MAX(0,E$49-2)+Investment_Value!$C$43*(1+Investment_Value!$C$38)^(E$49-1)</f>
        <v>38053.5</v>
      </c>
      <c r="F55" s="12" t="n">
        <f aca="false">Investment_Value!$C$42*IF(F$49=1,0.5,1)*(1+Investment_Value!$C$12)^MAX(0,F$49-2)+Investment_Value!$C$43*(1+Investment_Value!$C$38)^(F$49-1)</f>
        <v>39084.405</v>
      </c>
      <c r="G55" s="12" t="n">
        <f aca="false">Investment_Value!$C$42*IF(G$49=1,0.5,1)*(1+Investment_Value!$C$12)^MAX(0,G$49-2)+Investment_Value!$C$43*(1+Investment_Value!$C$38)^(G$49-1)</f>
        <v>40143.46965</v>
      </c>
      <c r="H55" s="12" t="n">
        <f aca="false">Investment_Value!$C$42*IF(H$49=1,0.5,1)*(1+Investment_Value!$C$12)^MAX(0,H$49-2)+Investment_Value!$C$43*(1+Investment_Value!$C$38)^(H$49-1)</f>
        <v>41231.469552</v>
      </c>
      <c r="I55" s="12" t="n">
        <f aca="false">Investment_Value!$C$42*IF(I$49=1,0.5,1)*(1+Investment_Value!$C$12)^MAX(0,I$49-2)+Investment_Value!$C$43*(1+Investment_Value!$C$38)^(I$49-1)</f>
        <v>42349.2018463725</v>
      </c>
      <c r="J55" s="12" t="n">
        <f aca="false">Investment_Value!$C$42*IF(J$49=1,0.5,1)*(1+Investment_Value!$C$12)^MAX(0,J$49-2)+Investment_Value!$C$43*(1+Investment_Value!$C$38)^(J$49-1)</f>
        <v>43497.4858147715</v>
      </c>
      <c r="K55" s="12" t="n">
        <f aca="false">Investment_Value!$C$42*IF(K$49=1,0.5,1)*(1+Investment_Value!$C$12)^MAX(0,K$49-2)+Investment_Value!$C$43*(1+Investment_Value!$C$38)^(K$49-1)</f>
        <v>44677.1635000476</v>
      </c>
      <c r="L55" s="12" t="n">
        <f aca="false">Investment_Value!$C$42*IF(L$49=1,0.5,1)*(1+Investment_Value!$C$12)^MAX(0,L$49-2)+Investment_Value!$C$43*(1+Investment_Value!$C$38)^(L$49-1)</f>
        <v>45889.1003436529</v>
      </c>
      <c r="M55" s="12" t="n">
        <f aca="false">Investment_Value!$C$42*IF(M$49=1,0.5,1)*(1+Investment_Value!$C$12)^MAX(0,M$49-2)+Investment_Value!$C$43*(1+Investment_Value!$C$38)^(M$49-1)</f>
        <v>47134.1858410314</v>
      </c>
    </row>
    <row r="56" customFormat="false" ht="15" hidden="false" customHeight="false" outlineLevel="0" collapsed="false">
      <c r="B56" s="13" t="s">
        <v>236</v>
      </c>
      <c r="C56" s="14" t="n">
        <f aca="false">C52+C53-C54+C55</f>
        <v>1163292</v>
      </c>
      <c r="D56" s="14" t="n">
        <f aca="false">D52+D53-D54+D55</f>
        <v>1227107.89419895</v>
      </c>
      <c r="E56" s="14" t="n">
        <f aca="false">E52+E53-E54+E55</f>
        <v>1260735.70604484</v>
      </c>
      <c r="F56" s="14" t="n">
        <f aca="false">F52+F53-F54+F55</f>
        <v>1299824.98408139</v>
      </c>
      <c r="G56" s="14" t="n">
        <f aca="false">G52+G53-G54+G55</f>
        <v>1343221.45165773</v>
      </c>
      <c r="H56" s="14" t="n">
        <f aca="false">H52+H53-H54+H55</f>
        <v>1391144.6340586</v>
      </c>
      <c r="I56" s="14" t="n">
        <f aca="false">I52+I53-I54+I55</f>
        <v>1426200.50189767</v>
      </c>
      <c r="J56" s="14" t="n">
        <f aca="false">J52+J53-J54+J55</f>
        <v>1462141.08399235</v>
      </c>
      <c r="K56" s="14" t="n">
        <f aca="false">K52+K53-K54+K55</f>
        <v>1498988.74772581</v>
      </c>
      <c r="L56" s="14" t="n">
        <f aca="false">L52+L53-L54+L55</f>
        <v>1536766.42715162</v>
      </c>
      <c r="M56" s="14" t="n">
        <f aca="false">M52+M53-M54+M55</f>
        <v>1575497.63738506</v>
      </c>
    </row>
    <row r="57" customFormat="false" ht="15" hidden="false" customHeight="false" outlineLevel="0" collapsed="false">
      <c r="B57" s="9" t="s">
        <v>237</v>
      </c>
      <c r="C57" s="12" t="n">
        <f aca="false">Investment_Value!$C$36</f>
        <v>410400</v>
      </c>
      <c r="D57" s="12" t="n">
        <f aca="false">C57*(1+Investment_Value!$C$38)</f>
        <v>422712</v>
      </c>
      <c r="E57" s="12" t="n">
        <f aca="false">D57*(1+Investment_Value!$C$38)</f>
        <v>435393.36</v>
      </c>
      <c r="F57" s="12" t="n">
        <f aca="false">E57*(1+Investment_Value!$C$38)</f>
        <v>448455.1608</v>
      </c>
      <c r="G57" s="12" t="n">
        <f aca="false">F57*(1+Investment_Value!$C$38)</f>
        <v>461908.815624</v>
      </c>
      <c r="H57" s="12" t="n">
        <f aca="false">G57*(1+Investment_Value!$C$38)</f>
        <v>475766.08009272</v>
      </c>
      <c r="I57" s="12" t="n">
        <f aca="false">H57*(1+Investment_Value!$C$38)</f>
        <v>490039.062495502</v>
      </c>
      <c r="J57" s="12" t="n">
        <f aca="false">I57*(1+Investment_Value!$C$38)</f>
        <v>504740.234370367</v>
      </c>
      <c r="K57" s="12" t="n">
        <f aca="false">J57*(1+Investment_Value!$C$38)</f>
        <v>519882.441401478</v>
      </c>
      <c r="L57" s="12" t="n">
        <f aca="false">K57*(1+Investment_Value!$C$38)</f>
        <v>535478.914643522</v>
      </c>
      <c r="M57" s="12" t="n">
        <f aca="false">L57*(1+Investment_Value!$C$38)</f>
        <v>551543.282082828</v>
      </c>
    </row>
    <row r="58" customFormat="false" ht="15" hidden="false" customHeight="false" outlineLevel="0" collapsed="false">
      <c r="B58" s="9" t="s">
        <v>238</v>
      </c>
      <c r="C58" s="12" t="n">
        <f aca="false">C56*Investment_Value!$C$37</f>
        <v>34898.76</v>
      </c>
      <c r="D58" s="12" t="n">
        <f aca="false">D56*Investment_Value!$C$37</f>
        <v>36813.2368259686</v>
      </c>
      <c r="E58" s="12" t="n">
        <f aca="false">E56*Investment_Value!$C$37</f>
        <v>37822.0711813452</v>
      </c>
      <c r="F58" s="12" t="n">
        <f aca="false">F56*Investment_Value!$C$37</f>
        <v>38994.7495224417</v>
      </c>
      <c r="G58" s="12" t="n">
        <f aca="false">G56*Investment_Value!$C$37</f>
        <v>40296.6435497319</v>
      </c>
      <c r="H58" s="12" t="n">
        <f aca="false">H56*Investment_Value!$C$37</f>
        <v>41734.3390217579</v>
      </c>
      <c r="I58" s="12" t="n">
        <f aca="false">I56*Investment_Value!$C$37</f>
        <v>42786.0150569301</v>
      </c>
      <c r="J58" s="12" t="n">
        <f aca="false">J56*Investment_Value!$C$37</f>
        <v>43864.2325197705</v>
      </c>
      <c r="K58" s="12" t="n">
        <f aca="false">K56*Investment_Value!$C$37</f>
        <v>44969.6624317744</v>
      </c>
      <c r="L58" s="12" t="n">
        <f aca="false">L56*Investment_Value!$C$37</f>
        <v>46102.9928145487</v>
      </c>
      <c r="M58" s="12" t="n">
        <f aca="false">M56*Investment_Value!$C$37</f>
        <v>47264.9291215518</v>
      </c>
    </row>
    <row r="59" customFormat="false" ht="15" hidden="false" customHeight="false" outlineLevel="0" collapsed="false">
      <c r="B59" s="9" t="s">
        <v>239</v>
      </c>
      <c r="C59" s="12" t="n">
        <f aca="false">C57+C58</f>
        <v>445298.76</v>
      </c>
      <c r="D59" s="12" t="n">
        <f aca="false">D57+D58</f>
        <v>459525.236825969</v>
      </c>
      <c r="E59" s="12" t="n">
        <f aca="false">E57+E58</f>
        <v>473215.431181345</v>
      </c>
      <c r="F59" s="12" t="n">
        <f aca="false">F57+F58</f>
        <v>487449.910322442</v>
      </c>
      <c r="G59" s="12" t="n">
        <f aca="false">G57+G58</f>
        <v>502205.459173732</v>
      </c>
      <c r="H59" s="12" t="n">
        <f aca="false">H57+H58</f>
        <v>517500.419114478</v>
      </c>
      <c r="I59" s="12" t="n">
        <f aca="false">I57+I58</f>
        <v>532825.077552432</v>
      </c>
      <c r="J59" s="12" t="n">
        <f aca="false">J57+J58</f>
        <v>548604.466890137</v>
      </c>
      <c r="K59" s="12" t="n">
        <f aca="false">K57+K58</f>
        <v>564852.103833252</v>
      </c>
      <c r="L59" s="12" t="n">
        <f aca="false">L57+L58</f>
        <v>581581.907458071</v>
      </c>
      <c r="M59" s="12" t="n">
        <f aca="false">M57+M58</f>
        <v>598808.21120438</v>
      </c>
    </row>
    <row r="60" customFormat="false" ht="15" hidden="false" customHeight="false" outlineLevel="0" collapsed="false">
      <c r="B60" s="13" t="s">
        <v>240</v>
      </c>
      <c r="C60" s="14" t="n">
        <f aca="false">C56-C59</f>
        <v>717993.24</v>
      </c>
      <c r="D60" s="14" t="n">
        <f aca="false">D56-D59</f>
        <v>767582.657372984</v>
      </c>
      <c r="E60" s="14" t="n">
        <f aca="false">E56-E59</f>
        <v>787520.274863495</v>
      </c>
      <c r="F60" s="14" t="n">
        <f aca="false">F56-F59</f>
        <v>812375.073758947</v>
      </c>
      <c r="G60" s="14" t="n">
        <f aca="false">G56-G59</f>
        <v>841015.992483998</v>
      </c>
      <c r="H60" s="14" t="n">
        <f aca="false">H56-H59</f>
        <v>873644.214944119</v>
      </c>
      <c r="I60" s="14" t="n">
        <f aca="false">I56-I59</f>
        <v>893375.424345239</v>
      </c>
      <c r="J60" s="14" t="n">
        <f aca="false">J56-J59</f>
        <v>913536.617102213</v>
      </c>
      <c r="K60" s="14" t="n">
        <f aca="false">K56-K59</f>
        <v>934136.643892562</v>
      </c>
      <c r="L60" s="14" t="n">
        <f aca="false">L56-L59</f>
        <v>955184.519693553</v>
      </c>
      <c r="M60" s="14" t="n">
        <f aca="false">M56-M59</f>
        <v>976689.42618068</v>
      </c>
    </row>
    <row r="61" customFormat="false" ht="15" hidden="false" customHeight="false" outlineLevel="0" collapsed="false">
      <c r="B61" s="9" t="s">
        <v>241</v>
      </c>
      <c r="C61" s="12" t="n">
        <f aca="false">Investment_Value!$C$40+Investment_Value!$C$41</f>
        <v>300000</v>
      </c>
      <c r="D61" s="12" t="n">
        <f aca="false">0</f>
        <v>0</v>
      </c>
      <c r="E61" s="12" t="n">
        <f aca="false">0</f>
        <v>0</v>
      </c>
      <c r="F61" s="12" t="n">
        <f aca="false">0</f>
        <v>0</v>
      </c>
      <c r="G61" s="12" t="n">
        <f aca="false">0</f>
        <v>0</v>
      </c>
      <c r="H61" s="12" t="n">
        <f aca="false">0</f>
        <v>0</v>
      </c>
      <c r="I61" s="12" t="n">
        <f aca="false">0</f>
        <v>0</v>
      </c>
      <c r="J61" s="12" t="n">
        <f aca="false">0</f>
        <v>0</v>
      </c>
      <c r="K61" s="12" t="n">
        <f aca="false">0</f>
        <v>0</v>
      </c>
      <c r="L61" s="12" t="n">
        <f aca="false">0</f>
        <v>0</v>
      </c>
      <c r="M61" s="9"/>
    </row>
    <row r="62" customFormat="false" ht="15" hidden="false" customHeight="false" outlineLevel="0" collapsed="false">
      <c r="B62" s="13" t="s">
        <v>242</v>
      </c>
      <c r="C62" s="14" t="n">
        <f aca="false">C60-C61</f>
        <v>417993.24</v>
      </c>
      <c r="D62" s="14" t="n">
        <f aca="false">D60-D61</f>
        <v>767582.657372984</v>
      </c>
      <c r="E62" s="14" t="n">
        <f aca="false">E60-E61</f>
        <v>787520.274863495</v>
      </c>
      <c r="F62" s="14" t="n">
        <f aca="false">F60-F61</f>
        <v>812375.073758947</v>
      </c>
      <c r="G62" s="14" t="n">
        <f aca="false">G60-G61</f>
        <v>841015.992483998</v>
      </c>
      <c r="H62" s="14" t="n">
        <f aca="false">H60-H61</f>
        <v>873644.214944119</v>
      </c>
      <c r="I62" s="14" t="n">
        <f aca="false">I60-I61</f>
        <v>893375.424345239</v>
      </c>
      <c r="J62" s="14" t="n">
        <f aca="false">J60-J61</f>
        <v>913536.617102213</v>
      </c>
      <c r="K62" s="14" t="n">
        <f aca="false">K60-K61</f>
        <v>934136.643892562</v>
      </c>
      <c r="L62" s="14" t="n">
        <f aca="false">L60-L61</f>
        <v>955184.519693553</v>
      </c>
      <c r="M62" s="9"/>
    </row>
    <row r="63" customFormat="false" ht="15" hidden="false" customHeight="false" outlineLevel="0" collapsed="false">
      <c r="B63" s="9" t="s">
        <v>243</v>
      </c>
      <c r="C63" s="31" t="n">
        <f aca="false">1/(1+Investment_Value!$C$44)^C$49</f>
        <v>0.928074245939675</v>
      </c>
      <c r="D63" s="31" t="n">
        <f aca="false">1/(1+Investment_Value!$C$44)^D$49</f>
        <v>0.861321805976497</v>
      </c>
      <c r="E63" s="31" t="n">
        <f aca="false">1/(1+Investment_Value!$C$44)^E$49</f>
        <v>0.799370585593037</v>
      </c>
      <c r="F63" s="31" t="n">
        <f aca="false">1/(1+Investment_Value!$C$44)^F$49</f>
        <v>0.741875253450614</v>
      </c>
      <c r="G63" s="31" t="n">
        <f aca="false">1/(1+Investment_Value!$C$44)^G$49</f>
        <v>0.688515316427484</v>
      </c>
      <c r="H63" s="31" t="n">
        <f aca="false">1/(1+Investment_Value!$C$44)^H$49</f>
        <v>0.638993333111354</v>
      </c>
      <c r="I63" s="31" t="n">
        <f aca="false">1/(1+Investment_Value!$C$44)^I$49</f>
        <v>0.5930332557878</v>
      </c>
      <c r="J63" s="31" t="n">
        <f aca="false">1/(1+Investment_Value!$C$44)^J$49</f>
        <v>0.550378891682413</v>
      </c>
      <c r="K63" s="31" t="n">
        <f aca="false">1/(1+Investment_Value!$C$44)^K$49</f>
        <v>0.51079247487927</v>
      </c>
      <c r="L63" s="31" t="n">
        <f aca="false">1/(1+Investment_Value!$C$44)^L$49</f>
        <v>0.474053340955239</v>
      </c>
      <c r="M63" s="9"/>
    </row>
    <row r="64" customFormat="false" ht="15" hidden="false" customHeight="false" outlineLevel="0" collapsed="false">
      <c r="B64" s="9" t="s">
        <v>244</v>
      </c>
      <c r="C64" s="12" t="n">
        <f aca="false">C62*C63</f>
        <v>387928.761020882</v>
      </c>
      <c r="D64" s="12" t="n">
        <f aca="false">D62*D63</f>
        <v>661135.680684738</v>
      </c>
      <c r="E64" s="12" t="n">
        <f aca="false">E62*E63</f>
        <v>629520.543284021</v>
      </c>
      <c r="F64" s="12" t="n">
        <f aca="false">F62*F63</f>
        <v>602680.963741881</v>
      </c>
      <c r="G64" s="12" t="n">
        <f aca="false">G62*G63</f>
        <v>579052.392185695</v>
      </c>
      <c r="H64" s="12" t="n">
        <f aca="false">H62*H63</f>
        <v>558252.828860595</v>
      </c>
      <c r="I64" s="12" t="n">
        <f aca="false">I62*I63</f>
        <v>529801.336540264</v>
      </c>
      <c r="J64" s="12" t="n">
        <f aca="false">J62*J63</f>
        <v>502791.270832017</v>
      </c>
      <c r="K64" s="12" t="n">
        <f aca="false">K62*K63</f>
        <v>477149.968209297</v>
      </c>
      <c r="L64" s="12" t="n">
        <f aca="false">L62*L63</f>
        <v>452808.412789454</v>
      </c>
      <c r="M64" s="9"/>
    </row>
    <row r="66" customFormat="false" ht="15" hidden="false" customHeight="false" outlineLevel="0" collapsed="false">
      <c r="B66" s="7" t="s">
        <v>245</v>
      </c>
      <c r="C66" s="8"/>
      <c r="D66" s="8"/>
      <c r="E66" s="8"/>
    </row>
    <row r="67" customFormat="false" ht="15" hidden="false" customHeight="false" outlineLevel="0" collapsed="false">
      <c r="B67" s="9" t="s">
        <v>246</v>
      </c>
      <c r="C67" s="12" t="n">
        <f aca="false">M60/Investment_Value!$C$45</f>
        <v>16278157.1030113</v>
      </c>
    </row>
    <row r="68" customFormat="false" ht="15" hidden="false" customHeight="false" outlineLevel="0" collapsed="false">
      <c r="B68" s="9" t="s">
        <v>247</v>
      </c>
      <c r="C68" s="12" t="n">
        <f aca="false">$C$67*Investment_Value!$C$46</f>
        <v>325563.142060227</v>
      </c>
    </row>
    <row r="69" customFormat="false" ht="15" hidden="false" customHeight="false" outlineLevel="0" collapsed="false">
      <c r="B69" s="9" t="s">
        <v>248</v>
      </c>
      <c r="C69" s="12" t="n">
        <f aca="false">$C$67-$C$68</f>
        <v>15952593.9609511</v>
      </c>
    </row>
    <row r="70" customFormat="false" ht="15" hidden="false" customHeight="false" outlineLevel="0" collapsed="false">
      <c r="B70" s="9" t="s">
        <v>249</v>
      </c>
      <c r="C70" s="12" t="n">
        <f aca="false">$C$69*L63</f>
        <v>7562380.46409123</v>
      </c>
    </row>
    <row r="71" customFormat="false" ht="15" hidden="false" customHeight="false" outlineLevel="0" collapsed="false">
      <c r="B71" s="9" t="s">
        <v>250</v>
      </c>
      <c r="C71" s="12" t="n">
        <f aca="false">SUM(C64:L64)</f>
        <v>5381122.15814884</v>
      </c>
    </row>
    <row r="72" customFormat="false" ht="15" hidden="false" customHeight="false" outlineLevel="0" collapsed="false">
      <c r="B72" s="13" t="s">
        <v>251</v>
      </c>
      <c r="C72" s="14" t="n">
        <f aca="false">$C$71+$C$70</f>
        <v>12943502.6222401</v>
      </c>
    </row>
    <row r="73" customFormat="false" ht="15" hidden="false" customHeight="false" outlineLevel="0" collapsed="false">
      <c r="B73" s="9" t="s">
        <v>252</v>
      </c>
      <c r="C73" s="18" t="n">
        <f aca="false">$C$70/$C$72</f>
        <v>0.584260743386201</v>
      </c>
    </row>
    <row r="74" customFormat="false" ht="15" hidden="false" customHeight="false" outlineLevel="0" collapsed="false">
      <c r="B74" s="9" t="s">
        <v>253</v>
      </c>
      <c r="C74" s="19" t="n">
        <f aca="false">C60/$C$72</f>
        <v>0.055471324953905</v>
      </c>
    </row>
    <row r="76" customFormat="false" ht="15" hidden="false" customHeight="false" outlineLevel="0" collapsed="false">
      <c r="B76" s="7" t="s">
        <v>254</v>
      </c>
      <c r="C76" s="8"/>
      <c r="D76" s="8"/>
    </row>
    <row r="77" customFormat="false" ht="15" hidden="false" customHeight="false" outlineLevel="0" collapsed="false">
      <c r="B77" s="13" t="s">
        <v>255</v>
      </c>
      <c r="C77" s="14" t="n">
        <f aca="false">ROUND(($C$72)/50000,0)*50000</f>
        <v>12950000</v>
      </c>
    </row>
    <row r="78" customFormat="false" ht="15" hidden="false" customHeight="false" outlineLevel="0" collapsed="false">
      <c r="B78" s="9" t="s">
        <v>256</v>
      </c>
      <c r="C78" s="12" t="n">
        <f aca="false">$C$72-Reconciliation!$C$39</f>
        <v>843502.622240074</v>
      </c>
    </row>
    <row r="79" customFormat="false" ht="15" hidden="false" customHeight="false" outlineLevel="0" collapsed="false">
      <c r="B79" s="9" t="s">
        <v>257</v>
      </c>
      <c r="C79" s="12" t="n">
        <f aca="false">$C$72-Price_and_Bridge!$C$9</f>
        <v>243502.622240074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6"/>
    <col collapsed="false" customWidth="true" hidden="false" outlineLevel="0" max="3" min="3" style="0" width="16"/>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258</v>
      </c>
    </row>
    <row r="3" customFormat="false" ht="15" hidden="false" customHeight="false" outlineLevel="0" collapsed="false">
      <c r="B3" s="6" t="s">
        <v>259</v>
      </c>
    </row>
    <row r="5" customFormat="false" ht="15" hidden="false" customHeight="false" outlineLevel="0" collapsed="false">
      <c r="B5" s="7" t="s">
        <v>260</v>
      </c>
      <c r="C5" s="8"/>
      <c r="D5" s="8"/>
    </row>
    <row r="6" customFormat="false" ht="15" hidden="false" customHeight="false" outlineLevel="0" collapsed="false">
      <c r="B6" s="9" t="s">
        <v>261</v>
      </c>
      <c r="C6" s="15" t="n">
        <v>0.5</v>
      </c>
    </row>
    <row r="7" customFormat="false" ht="15" hidden="false" customHeight="false" outlineLevel="0" collapsed="false">
      <c r="B7" s="9" t="s">
        <v>262</v>
      </c>
      <c r="C7" s="12" t="n">
        <f aca="false">Reconciliation!$C$39*$C$6</f>
        <v>6050000</v>
      </c>
    </row>
    <row r="8" customFormat="false" ht="15" hidden="false" customHeight="false" outlineLevel="0" collapsed="false">
      <c r="B8" s="9" t="s">
        <v>263</v>
      </c>
      <c r="C8" s="15" t="n">
        <v>0.2</v>
      </c>
    </row>
    <row r="9" customFormat="false" ht="15" hidden="false" customHeight="false" outlineLevel="0" collapsed="false">
      <c r="B9" s="13" t="s">
        <v>264</v>
      </c>
      <c r="C9" s="14" t="n">
        <f aca="false">$C$7*(1-$C$8)</f>
        <v>4840000</v>
      </c>
    </row>
    <row r="10" customFormat="false" ht="15" hidden="false" customHeight="false" outlineLevel="0" collapsed="false">
      <c r="B10" s="9" t="s">
        <v>265</v>
      </c>
      <c r="C10" s="12" t="n">
        <f aca="false">$C$7-$C$9</f>
        <v>1210000</v>
      </c>
    </row>
    <row r="12" customFormat="false" ht="15" hidden="false" customHeight="false" outlineLevel="0" collapsed="false">
      <c r="B12" s="7" t="s">
        <v>266</v>
      </c>
      <c r="C12" s="8"/>
      <c r="D12" s="8"/>
    </row>
    <row r="13" customFormat="false" ht="15" hidden="false" customHeight="false" outlineLevel="0" collapsed="false">
      <c r="B13" s="9" t="s">
        <v>267</v>
      </c>
      <c r="C13" s="10" t="n">
        <v>110</v>
      </c>
    </row>
    <row r="14" customFormat="false" ht="15" hidden="false" customHeight="false" outlineLevel="0" collapsed="false">
      <c r="B14" s="9" t="s">
        <v>268</v>
      </c>
      <c r="C14" s="32" t="n">
        <v>128</v>
      </c>
    </row>
    <row r="15" customFormat="false" ht="15" hidden="false" customHeight="false" outlineLevel="0" collapsed="false">
      <c r="B15" s="9" t="s">
        <v>269</v>
      </c>
      <c r="C15" s="15" t="n">
        <v>0.68</v>
      </c>
    </row>
    <row r="16" customFormat="false" ht="15" hidden="false" customHeight="false" outlineLevel="0" collapsed="false">
      <c r="B16" s="9" t="s">
        <v>270</v>
      </c>
      <c r="C16" s="33" t="n">
        <f aca="false">$C$14*$C$15</f>
        <v>87.04</v>
      </c>
    </row>
    <row r="17" customFormat="false" ht="15" hidden="false" customHeight="false" outlineLevel="0" collapsed="false">
      <c r="B17" s="9" t="s">
        <v>271</v>
      </c>
      <c r="C17" s="12" t="n">
        <f aca="false">$C$13*365*$C$15*$C$14</f>
        <v>3494656</v>
      </c>
    </row>
    <row r="18" customFormat="false" ht="15" hidden="false" customHeight="false" outlineLevel="0" collapsed="false">
      <c r="B18" s="9" t="s">
        <v>272</v>
      </c>
      <c r="C18" s="15" t="n">
        <v>0.08</v>
      </c>
    </row>
    <row r="19" customFormat="false" ht="15" hidden="false" customHeight="false" outlineLevel="0" collapsed="false">
      <c r="B19" s="9" t="s">
        <v>273</v>
      </c>
      <c r="C19" s="12" t="n">
        <f aca="false">$C$17*(1+$C$18)</f>
        <v>3774228.48</v>
      </c>
    </row>
    <row r="20" customFormat="false" ht="15" hidden="false" customHeight="false" outlineLevel="0" collapsed="false">
      <c r="B20" s="9" t="s">
        <v>274</v>
      </c>
      <c r="C20" s="15" t="n">
        <v>0.33</v>
      </c>
    </row>
    <row r="21" customFormat="false" ht="15" hidden="false" customHeight="false" outlineLevel="0" collapsed="false">
      <c r="B21" s="9" t="s">
        <v>275</v>
      </c>
      <c r="C21" s="12" t="n">
        <f aca="false">$C$19*$C$20</f>
        <v>1245495.3984</v>
      </c>
    </row>
    <row r="22" customFormat="false" ht="15" hidden="false" customHeight="false" outlineLevel="0" collapsed="false">
      <c r="B22" s="9" t="s">
        <v>276</v>
      </c>
      <c r="C22" s="20" t="n">
        <v>0.085</v>
      </c>
    </row>
    <row r="23" customFormat="false" ht="15" hidden="false" customHeight="false" outlineLevel="0" collapsed="false">
      <c r="B23" s="13" t="s">
        <v>277</v>
      </c>
      <c r="C23" s="14" t="n">
        <f aca="false">$C$21/$C$22</f>
        <v>14652887.04</v>
      </c>
    </row>
    <row r="24" customFormat="false" ht="15" hidden="false" customHeight="false" outlineLevel="0" collapsed="false">
      <c r="B24" s="9" t="s">
        <v>278</v>
      </c>
      <c r="C24" s="12" t="n">
        <f aca="false">$C$23/$C$13</f>
        <v>133208.064</v>
      </c>
    </row>
    <row r="25" customFormat="false" ht="15" hidden="false" customHeight="false" outlineLevel="0" collapsed="false">
      <c r="B25" s="9" t="s">
        <v>279</v>
      </c>
      <c r="C25" s="11" t="n">
        <v>12000</v>
      </c>
    </row>
    <row r="26" customFormat="false" ht="15" hidden="false" customHeight="false" outlineLevel="0" collapsed="false">
      <c r="B26" s="9" t="s">
        <v>280</v>
      </c>
      <c r="C26" s="12" t="n">
        <f aca="false">$C$25*$C$13</f>
        <v>1320000</v>
      </c>
    </row>
    <row r="27" customFormat="false" ht="15" hidden="false" customHeight="false" outlineLevel="0" collapsed="false">
      <c r="B27" s="9" t="s">
        <v>281</v>
      </c>
      <c r="C27" s="15" t="n">
        <v>0.02</v>
      </c>
    </row>
    <row r="28" customFormat="false" ht="15" hidden="false" customHeight="false" outlineLevel="0" collapsed="false">
      <c r="B28" s="9" t="s">
        <v>282</v>
      </c>
      <c r="C28" s="12" t="n">
        <f aca="false">$C$19*$C$27</f>
        <v>75484.5696</v>
      </c>
    </row>
    <row r="29" customFormat="false" ht="15" hidden="false" customHeight="false" outlineLevel="0" collapsed="false">
      <c r="B29" s="9" t="s">
        <v>283</v>
      </c>
      <c r="C29" s="15" t="n">
        <v>0.15</v>
      </c>
    </row>
    <row r="30" customFormat="false" ht="15" hidden="false" customHeight="false" outlineLevel="0" collapsed="false">
      <c r="B30" s="9" t="s">
        <v>284</v>
      </c>
      <c r="C30" s="12" t="n">
        <f aca="false">$C$28/$C$29</f>
        <v>503230.464</v>
      </c>
    </row>
    <row r="31" customFormat="false" ht="15" hidden="false" customHeight="false" outlineLevel="0" collapsed="false">
      <c r="B31" s="13" t="s">
        <v>285</v>
      </c>
      <c r="C31" s="14" t="n">
        <f aca="false">$C$23-$C$26-$C$30</f>
        <v>12829656.576</v>
      </c>
    </row>
    <row r="32" customFormat="false" ht="15" hidden="false" customHeight="false" outlineLevel="0" collapsed="false">
      <c r="B32" s="9" t="s">
        <v>286</v>
      </c>
      <c r="C32" s="18" t="n">
        <f aca="false">$C$31/$C$23</f>
        <v>0.875571929339053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78"/>
    <col collapsed="false" customWidth="true" hidden="false" outlineLevel="0" max="3" min="3" style="0" width="16"/>
    <col collapsed="false" customWidth="true" hidden="false" outlineLevel="0" max="4" min="4" style="0" width="60"/>
  </cols>
  <sheetData>
    <row r="1" customFormat="false" ht="6" hidden="false" customHeight="true" outlineLevel="0" collapsed="false"/>
    <row r="2" customFormat="false" ht="17.35" hidden="false" customHeight="false" outlineLevel="0" collapsed="false">
      <c r="B2" s="5" t="s">
        <v>287</v>
      </c>
    </row>
    <row r="3" customFormat="false" ht="15" hidden="false" customHeight="false" outlineLevel="0" collapsed="false">
      <c r="B3" s="6" t="s">
        <v>288</v>
      </c>
    </row>
    <row r="5" customFormat="false" ht="15" hidden="false" customHeight="false" outlineLevel="0" collapsed="false">
      <c r="B5" s="7" t="s">
        <v>289</v>
      </c>
      <c r="C5" s="8"/>
      <c r="D5" s="8"/>
    </row>
    <row r="6" customFormat="false" ht="15" hidden="false" customHeight="false" outlineLevel="0" collapsed="false">
      <c r="B6" s="9" t="s">
        <v>290</v>
      </c>
      <c r="C6" s="11" t="n">
        <v>500000</v>
      </c>
    </row>
    <row r="7" customFormat="false" ht="15" hidden="false" customHeight="false" outlineLevel="0" collapsed="false">
      <c r="B7" s="9" t="s">
        <v>291</v>
      </c>
      <c r="C7" s="11" t="n">
        <v>400000</v>
      </c>
    </row>
    <row r="8" customFormat="false" ht="15" hidden="false" customHeight="false" outlineLevel="0" collapsed="false">
      <c r="B8" s="9" t="s">
        <v>292</v>
      </c>
      <c r="C8" s="11" t="n">
        <v>1000000</v>
      </c>
    </row>
    <row r="9" customFormat="false" ht="15" hidden="false" customHeight="false" outlineLevel="0" collapsed="false">
      <c r="B9" s="9" t="s">
        <v>293</v>
      </c>
      <c r="C9" s="17" t="str">
        <f aca="false">IF(Price_and_Bridge!$C$6&gt;$C$6,"yes","no")</f>
        <v>yes</v>
      </c>
    </row>
    <row r="10" customFormat="false" ht="15" hidden="false" customHeight="false" outlineLevel="0" collapsed="false">
      <c r="B10" s="9" t="s">
        <v>294</v>
      </c>
      <c r="C10" s="11" t="n">
        <v>412000</v>
      </c>
    </row>
    <row r="11" customFormat="false" ht="15" hidden="false" customHeight="false" outlineLevel="0" collapsed="false">
      <c r="B11" s="9" t="s">
        <v>295</v>
      </c>
      <c r="C11" s="17" t="str">
        <f aca="false">IF($C$10&gt;$C$7,"yes","no")</f>
        <v>yes</v>
      </c>
    </row>
    <row r="13" customFormat="false" ht="15" hidden="false" customHeight="false" outlineLevel="0" collapsed="false">
      <c r="B13" s="7" t="s">
        <v>296</v>
      </c>
      <c r="C13" s="8"/>
      <c r="D13" s="8"/>
    </row>
    <row r="14" customFormat="false" ht="15" hidden="false" customHeight="false" outlineLevel="0" collapsed="false">
      <c r="B14" s="9" t="s">
        <v>297</v>
      </c>
      <c r="C14" s="27" t="n">
        <v>75</v>
      </c>
    </row>
    <row r="15" customFormat="false" ht="15" hidden="false" customHeight="false" outlineLevel="0" collapsed="false">
      <c r="B15" s="9" t="s">
        <v>298</v>
      </c>
      <c r="C15" s="27" t="n">
        <v>150</v>
      </c>
    </row>
    <row r="16" customFormat="false" ht="15" hidden="false" customHeight="false" outlineLevel="0" collapsed="false">
      <c r="B16" s="9" t="s">
        <v>299</v>
      </c>
      <c r="C16" s="27" t="n">
        <v>1000</v>
      </c>
    </row>
    <row r="17" customFormat="false" ht="15" hidden="false" customHeight="false" outlineLevel="0" collapsed="false">
      <c r="B17" s="9" t="s">
        <v>300</v>
      </c>
      <c r="C17" s="27" t="n">
        <v>6</v>
      </c>
    </row>
    <row r="18" customFormat="false" ht="15" hidden="false" customHeight="false" outlineLevel="0" collapsed="false">
      <c r="B18" s="9" t="s">
        <v>301</v>
      </c>
      <c r="C18" s="27" t="n">
        <v>200</v>
      </c>
    </row>
    <row r="19" customFormat="false" ht="15" hidden="false" customHeight="false" outlineLevel="0" collapsed="false">
      <c r="B19" s="9" t="s">
        <v>302</v>
      </c>
      <c r="C19" s="27" t="n">
        <v>1500</v>
      </c>
    </row>
    <row r="20" customFormat="false" ht="15" hidden="false" customHeight="false" outlineLevel="0" collapsed="false">
      <c r="B20" s="9" t="s">
        <v>303</v>
      </c>
      <c r="C20" s="27" t="n">
        <v>12</v>
      </c>
    </row>
    <row r="21" customFormat="false" ht="15" hidden="false" customHeight="false" outlineLevel="0" collapsed="false">
      <c r="B21" s="9" t="s">
        <v>304</v>
      </c>
      <c r="C21" s="27" t="n">
        <v>300</v>
      </c>
    </row>
    <row r="22" customFormat="false" ht="15" hidden="false" customHeight="false" outlineLevel="0" collapsed="false">
      <c r="B22" s="9" t="s">
        <v>305</v>
      </c>
      <c r="C22" s="27" t="n">
        <v>3000</v>
      </c>
    </row>
    <row r="23" customFormat="false" ht="15" hidden="false" customHeight="false" outlineLevel="0" collapsed="false">
      <c r="B23" s="9" t="s">
        <v>306</v>
      </c>
      <c r="C23" s="27" t="n">
        <v>18</v>
      </c>
    </row>
    <row r="24" customFormat="false" ht="15" hidden="false" customHeight="false" outlineLevel="0" collapsed="false">
      <c r="B24" s="9" t="s">
        <v>307</v>
      </c>
      <c r="C24" s="27" t="n">
        <v>1500</v>
      </c>
    </row>
    <row r="25" customFormat="false" ht="15" hidden="false" customHeight="false" outlineLevel="0" collapsed="false">
      <c r="B25" s="9" t="s">
        <v>308</v>
      </c>
      <c r="C25" s="11" t="n">
        <v>1000000</v>
      </c>
    </row>
    <row r="26" customFormat="false" ht="15" hidden="false" customHeight="false" outlineLevel="0" collapsed="false">
      <c r="B26" s="9" t="s">
        <v>309</v>
      </c>
      <c r="C26" s="11" t="n">
        <v>400000</v>
      </c>
    </row>
    <row r="28" customFormat="false" ht="15" hidden="false" customHeight="false" outlineLevel="0" collapsed="false">
      <c r="B28" s="7" t="s">
        <v>310</v>
      </c>
      <c r="C28" s="8"/>
      <c r="D28" s="8"/>
    </row>
    <row r="29" customFormat="false" ht="15" hidden="false" customHeight="false" outlineLevel="0" collapsed="false">
      <c r="B29" s="9" t="s">
        <v>311</v>
      </c>
      <c r="C29" s="10" t="n">
        <v>45</v>
      </c>
    </row>
    <row r="30" customFormat="false" ht="15" hidden="false" customHeight="false" outlineLevel="0" collapsed="false">
      <c r="B30" s="9" t="s">
        <v>312</v>
      </c>
      <c r="C30" s="10" t="n">
        <v>180</v>
      </c>
    </row>
    <row r="31" customFormat="false" ht="15" hidden="false" customHeight="false" outlineLevel="0" collapsed="false">
      <c r="B31" s="9" t="s">
        <v>313</v>
      </c>
      <c r="C31" s="10" t="n">
        <v>3</v>
      </c>
    </row>
    <row r="32" customFormat="false" ht="15" hidden="false" customHeight="false" outlineLevel="0" collapsed="false">
      <c r="B32" s="9" t="s">
        <v>314</v>
      </c>
      <c r="C32" s="15" t="n">
        <v>2</v>
      </c>
    </row>
    <row r="34" customFormat="false" ht="15" hidden="false" customHeight="false" outlineLevel="0" collapsed="false">
      <c r="B34" s="7" t="s">
        <v>315</v>
      </c>
      <c r="C34" s="8"/>
      <c r="D34" s="8"/>
    </row>
    <row r="35" customFormat="false" ht="15" hidden="false" customHeight="false" outlineLevel="0" collapsed="false">
      <c r="B35" s="9" t="s">
        <v>316</v>
      </c>
      <c r="C35" s="10" t="n">
        <v>2024</v>
      </c>
    </row>
    <row r="36" customFormat="false" ht="15" hidden="false" customHeight="false" outlineLevel="0" collapsed="false">
      <c r="B36" s="9" t="s">
        <v>317</v>
      </c>
      <c r="C36" s="10" t="n">
        <v>2010</v>
      </c>
    </row>
    <row r="37" customFormat="false" ht="15" hidden="false" customHeight="false" outlineLevel="0" collapsed="false">
      <c r="B37" s="9" t="s">
        <v>318</v>
      </c>
      <c r="C37" s="10" t="n">
        <v>2024</v>
      </c>
    </row>
    <row r="38" customFormat="false" ht="15" hidden="false" customHeight="false" outlineLevel="0" collapsed="false">
      <c r="B38" s="9" t="s">
        <v>319</v>
      </c>
      <c r="C38" s="10" t="n">
        <v>5</v>
      </c>
    </row>
    <row r="39" customFormat="false" ht="15" hidden="false" customHeight="false" outlineLevel="0" collapsed="false">
      <c r="B39" s="9" t="s">
        <v>320</v>
      </c>
      <c r="C39" s="10" t="n">
        <v>2026</v>
      </c>
    </row>
    <row r="40" customFormat="false" ht="15" hidden="false" customHeight="false" outlineLevel="0" collapsed="false">
      <c r="B40" s="6" t="s">
        <v>321</v>
      </c>
    </row>
    <row r="42" customFormat="false" ht="15" hidden="false" customHeight="false" outlineLevel="0" collapsed="false">
      <c r="B42" s="7" t="s">
        <v>322</v>
      </c>
      <c r="C42" s="8"/>
      <c r="D42" s="8"/>
    </row>
    <row r="43" customFormat="false" ht="15" hidden="false" customHeight="false" outlineLevel="0" collapsed="false">
      <c r="B43" s="9" t="s">
        <v>323</v>
      </c>
      <c r="C43" s="11" t="n">
        <v>6500</v>
      </c>
    </row>
    <row r="44" customFormat="false" ht="15" hidden="false" customHeight="false" outlineLevel="0" collapsed="false">
      <c r="B44" s="9" t="s">
        <v>324</v>
      </c>
      <c r="C44" s="10" t="n">
        <v>21</v>
      </c>
    </row>
    <row r="45" customFormat="false" ht="15" hidden="false" customHeight="false" outlineLevel="0" collapsed="false">
      <c r="B45" s="9" t="s">
        <v>325</v>
      </c>
      <c r="C45" s="10" t="n">
        <v>118</v>
      </c>
    </row>
    <row r="46" customFormat="false" ht="15" hidden="false" customHeight="false" outlineLevel="0" collapsed="false">
      <c r="B46" s="9" t="s">
        <v>326</v>
      </c>
      <c r="C46" s="22" t="n">
        <f aca="false">$C$43/Reconciliation!$C$39</f>
        <v>0.000537190082644628</v>
      </c>
    </row>
    <row r="47" customFormat="false" ht="15" hidden="false" customHeight="false" outlineLevel="0" collapsed="false">
      <c r="B47" s="9" t="s">
        <v>327</v>
      </c>
      <c r="C47" s="33" t="n">
        <f aca="false">$C$43/Reconciliation!$C$6</f>
        <v>90.2777777777778</v>
      </c>
    </row>
    <row r="48" customFormat="false" ht="15" hidden="false" customHeight="false" outlineLevel="0" collapsed="false">
      <c r="B48" s="9" t="s">
        <v>328</v>
      </c>
      <c r="C48" s="11" t="n">
        <v>550</v>
      </c>
    </row>
    <row r="49" customFormat="false" ht="15" hidden="false" customHeight="false" outlineLevel="0" collapsed="false">
      <c r="B49" s="9" t="s">
        <v>329</v>
      </c>
      <c r="C49" s="10" t="n">
        <v>7</v>
      </c>
    </row>
    <row r="50" customFormat="false" ht="15" hidden="false" customHeight="false" outlineLevel="0" collapsed="false">
      <c r="B50" s="9" t="s">
        <v>330</v>
      </c>
      <c r="C50" s="10" t="n">
        <v>3</v>
      </c>
    </row>
    <row r="51" customFormat="false" ht="15" hidden="false" customHeight="false" outlineLevel="0" collapsed="false">
      <c r="B51" s="9" t="s">
        <v>331</v>
      </c>
      <c r="C51" s="10" t="n">
        <v>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2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332</v>
      </c>
    </row>
    <row r="3" customFormat="false" ht="15" hidden="false" customHeight="false" outlineLevel="0" collapsed="false">
      <c r="B3" s="6" t="s">
        <v>333</v>
      </c>
    </row>
    <row r="4" customFormat="false" ht="15" hidden="false" customHeight="false" outlineLevel="0" collapsed="false">
      <c r="C4" s="13" t="s">
        <v>334</v>
      </c>
      <c r="E4" s="34" t="n">
        <f aca="false">ROWS(I10:I210)</f>
        <v>201</v>
      </c>
    </row>
    <row r="5" customFormat="false" ht="15" hidden="false" customHeight="false" outlineLevel="0" collapsed="false">
      <c r="C5" s="13" t="s">
        <v>335</v>
      </c>
      <c r="E5" s="34" t="n">
        <f aca="false">COUNTIF(I10:I210,"PASS")</f>
        <v>201</v>
      </c>
    </row>
    <row r="6" customFormat="false" ht="15" hidden="false" customHeight="false" outlineLevel="0" collapsed="false">
      <c r="C6" s="13" t="s">
        <v>336</v>
      </c>
      <c r="E6" s="34" t="n">
        <f aca="false">COUNTIF(I10:I210,"FAIL")</f>
        <v>0</v>
      </c>
    </row>
    <row r="7" customFormat="false" ht="15" hidden="false" customHeight="false" outlineLevel="0" collapsed="false">
      <c r="C7" s="13" t="s">
        <v>337</v>
      </c>
      <c r="D7" s="13"/>
      <c r="E7" s="35" t="str">
        <f aca="false">IFERROR(IF(AND(E5=E4,E6=0,SUMPRODUCT(--ISERROR(F10:F210))=0),"PASS","FAIL"),"FAIL")</f>
        <v>PASS</v>
      </c>
    </row>
    <row r="9" customFormat="false" ht="21.75" hidden="false" customHeight="true" outlineLevel="0" collapsed="false">
      <c r="B9" s="23" t="s">
        <v>338</v>
      </c>
      <c r="C9" s="24" t="s">
        <v>339</v>
      </c>
      <c r="D9" s="24" t="s">
        <v>340</v>
      </c>
      <c r="E9" s="24" t="s">
        <v>341</v>
      </c>
      <c r="F9" s="24" t="s">
        <v>342</v>
      </c>
      <c r="G9" s="24" t="s">
        <v>343</v>
      </c>
      <c r="H9" s="24" t="s">
        <v>344</v>
      </c>
      <c r="I9" s="24" t="s">
        <v>345</v>
      </c>
    </row>
    <row r="10" customFormat="false" ht="15" hidden="false" customHeight="true" outlineLevel="0" collapsed="false">
      <c r="B10" s="36" t="n">
        <v>1</v>
      </c>
      <c r="C10" s="9" t="s">
        <v>346</v>
      </c>
      <c r="D10" s="37" t="s">
        <v>347</v>
      </c>
      <c r="E10" s="38" t="s">
        <v>348</v>
      </c>
      <c r="F10" s="39" t="str">
        <f aca="false">IFERROR(IF(AND(Reconciliation!$C$39&gt;=Reconciliation!$C$26,Reconciliation!$C$39&lt;=Reconciliation!$C$27),"holds","does not hold"),"error")</f>
        <v>holds</v>
      </c>
      <c r="G10" s="9"/>
      <c r="H10" s="9"/>
      <c r="I10" s="35" t="str">
        <f aca="false">IFERROR(IF(AND(Reconciliation!$C$39&gt;=Reconciliation!$C$26,Reconciliation!$C$39&lt;=Reconciliation!$C$27),"PASS","FAIL"),"FAIL")</f>
        <v>PASS</v>
      </c>
    </row>
    <row r="11" customFormat="false" ht="15" hidden="false" customHeight="true" outlineLevel="0" collapsed="false">
      <c r="B11" s="36" t="n">
        <v>2</v>
      </c>
      <c r="C11" s="9" t="s">
        <v>346</v>
      </c>
      <c r="D11" s="37" t="s">
        <v>349</v>
      </c>
      <c r="E11" s="38" t="s">
        <v>348</v>
      </c>
      <c r="F11" s="39" t="str">
        <f aca="false">IFERROR(IF(ABS(Reconciliation!$C$34-1)&lt;0.000001,"holds","does not hold"),"error")</f>
        <v>holds</v>
      </c>
      <c r="G11" s="9"/>
      <c r="H11" s="9"/>
      <c r="I11" s="35" t="str">
        <f aca="false">IFERROR(IF(ABS(Reconciliation!$C$34-1)&lt;0.000001,"PASS","FAIL"),"FAIL")</f>
        <v>PASS</v>
      </c>
    </row>
    <row r="12" customFormat="false" ht="15" hidden="false" customHeight="true" outlineLevel="0" collapsed="false">
      <c r="B12" s="36" t="n">
        <v>3</v>
      </c>
      <c r="C12" s="9" t="s">
        <v>346</v>
      </c>
      <c r="D12" s="37" t="s">
        <v>350</v>
      </c>
      <c r="E12" s="38" t="s">
        <v>348</v>
      </c>
      <c r="F12" s="39" t="str">
        <f aca="false">IFERROR(IF(MOD(Reconciliation!$C$39,Reconciliation!$C$10)=0,"holds","does not hold"),"error")</f>
        <v>holds</v>
      </c>
      <c r="G12" s="9"/>
      <c r="H12" s="9"/>
      <c r="I12" s="35" t="str">
        <f aca="false">IFERROR(IF(MOD(Reconciliation!$C$39,Reconciliation!$C$10)=0,"PASS","FAIL"),"FAIL")</f>
        <v>PASS</v>
      </c>
    </row>
    <row r="13" customFormat="false" ht="15" hidden="false" customHeight="true" outlineLevel="0" collapsed="false">
      <c r="B13" s="36" t="n">
        <v>4</v>
      </c>
      <c r="C13" s="9" t="s">
        <v>351</v>
      </c>
      <c r="D13" s="37" t="s">
        <v>352</v>
      </c>
      <c r="E13" s="38" t="s">
        <v>348</v>
      </c>
      <c r="F13" s="39" t="str">
        <f aca="false">IFERROR(IF(ABS(Price_and_Bridge!$C$104+Price_and_Bridge!$C$105-Price_and_Bridge!$C$11)&lt;0.005,"holds","does not hold"),"error")</f>
        <v>holds</v>
      </c>
      <c r="G13" s="9"/>
      <c r="H13" s="9"/>
      <c r="I13" s="35" t="str">
        <f aca="false">IFERROR(IF(ABS(Price_and_Bridge!$C$104+Price_and_Bridge!$C$105-Price_and_Bridge!$C$11)&lt;0.005,"PASS","FAIL"),"FAIL")</f>
        <v>PASS</v>
      </c>
    </row>
    <row r="14" customFormat="false" ht="15" hidden="false" customHeight="true" outlineLevel="0" collapsed="false">
      <c r="B14" s="36" t="n">
        <v>5</v>
      </c>
      <c r="C14" s="9" t="s">
        <v>351</v>
      </c>
      <c r="D14" s="37" t="s">
        <v>353</v>
      </c>
      <c r="E14" s="38" t="s">
        <v>348</v>
      </c>
      <c r="F14" s="39" t="str">
        <f aca="false">IFERROR(IF(ABS(Price_and_Bridge!$C$115-Price_and_Bridge!$C$11)&lt;0.005,"holds","does not hold"),"error")</f>
        <v>holds</v>
      </c>
      <c r="G14" s="9"/>
      <c r="H14" s="9"/>
      <c r="I14" s="35" t="str">
        <f aca="false">IFERROR(IF(ABS(Price_and_Bridge!$C$115-Price_and_Bridge!$C$11)&lt;0.005,"PASS","FAIL"),"FAIL")</f>
        <v>PASS</v>
      </c>
    </row>
    <row r="15" customFormat="false" ht="15" hidden="false" customHeight="true" outlineLevel="0" collapsed="false">
      <c r="B15" s="36" t="n">
        <v>6</v>
      </c>
      <c r="C15" s="9" t="s">
        <v>351</v>
      </c>
      <c r="D15" s="37" t="s">
        <v>354</v>
      </c>
      <c r="E15" s="38" t="s">
        <v>348</v>
      </c>
      <c r="F15" s="39" t="str">
        <f aca="false">IFERROR(IF(ABS(Price_and_Bridge!$C$105)&lt;Reconciliation!$C$10,"holds","does not hold"),"error")</f>
        <v>holds</v>
      </c>
      <c r="G15" s="9"/>
      <c r="H15" s="9"/>
      <c r="I15" s="35" t="str">
        <f aca="false">IFERROR(IF(ABS(Price_and_Bridge!$C$105)&lt;Reconciliation!$C$10,"PASS","FAIL"),"FAIL")</f>
        <v>PASS</v>
      </c>
    </row>
    <row r="16" customFormat="false" ht="15" hidden="false" customHeight="true" outlineLevel="0" collapsed="false">
      <c r="B16" s="36" t="n">
        <v>7</v>
      </c>
      <c r="C16" s="9" t="s">
        <v>355</v>
      </c>
      <c r="D16" s="37" t="s">
        <v>356</v>
      </c>
      <c r="E16" s="38" t="s">
        <v>348</v>
      </c>
      <c r="F16" s="39" t="str">
        <f aca="false">IFERROR(IF(ABS(Exchange_Tax!$C$8+Exchange_Tax!$C$9-Exchange_Tax!$C$7)&lt;0.005,"holds","does not hold"),"error")</f>
        <v>holds</v>
      </c>
      <c r="G16" s="9"/>
      <c r="H16" s="9"/>
      <c r="I16" s="35" t="str">
        <f aca="false">IFERROR(IF(ABS(Exchange_Tax!$C$8+Exchange_Tax!$C$9-Exchange_Tax!$C$7)&lt;0.005,"PASS","FAIL"),"FAIL")</f>
        <v>PASS</v>
      </c>
    </row>
    <row r="17" customFormat="false" ht="15" hidden="false" customHeight="false" outlineLevel="0" collapsed="false">
      <c r="B17" s="36" t="n">
        <v>8</v>
      </c>
      <c r="C17" s="9" t="s">
        <v>357</v>
      </c>
      <c r="D17" s="9" t="s">
        <v>358</v>
      </c>
      <c r="E17" s="27" t="n">
        <v>12943503</v>
      </c>
      <c r="F17" s="21" t="n">
        <f aca="false">Investment_Value!$C$72</f>
        <v>12943502.6222401</v>
      </c>
      <c r="G17" s="31" t="n">
        <f aca="false">IFERROR(IF(ISNUMBER(F17),F17-E17,"n/a"),"n/a")</f>
        <v>-0.377759926021099</v>
      </c>
      <c r="H17" s="40" t="n">
        <v>0.500000001</v>
      </c>
      <c r="I17" s="35" t="str">
        <f aca="false">IFERROR(IF(ISNUMBER(F17),IF(ABS(F17-E17)&lt;=H17,"PASS","FAIL"),"FAIL"),"FAIL")</f>
        <v>PASS</v>
      </c>
    </row>
    <row r="18" customFormat="false" ht="15" hidden="false" customHeight="true" outlineLevel="0" collapsed="false">
      <c r="B18" s="36" t="n">
        <v>9</v>
      </c>
      <c r="C18" s="9" t="s">
        <v>357</v>
      </c>
      <c r="D18" s="37" t="s">
        <v>359</v>
      </c>
      <c r="E18" s="38" t="s">
        <v>348</v>
      </c>
      <c r="F18" s="39" t="str">
        <f aca="false">IFERROR(IF(AND(Price_and_Bridge!$C$9&lt;Investment_Value!$C$72,Price_and_Bridge!$C$6&gt;Reconciliation!$C$39),"holds","does not hold"),"error")</f>
        <v>holds</v>
      </c>
      <c r="G18" s="9"/>
      <c r="H18" s="9"/>
      <c r="I18" s="35" t="str">
        <f aca="false">IFERROR(IF(AND(Price_and_Bridge!$C$9&lt;Investment_Value!$C$72,Price_and_Bridge!$C$6&gt;Reconciliation!$C$39),"PASS","FAIL"),"FAIL")</f>
        <v>PASS</v>
      </c>
    </row>
    <row r="19" customFormat="false" ht="30" hidden="false" customHeight="true" outlineLevel="0" collapsed="false">
      <c r="B19" s="36" t="n">
        <v>10</v>
      </c>
      <c r="C19" s="9" t="s">
        <v>357</v>
      </c>
      <c r="D19" s="37" t="s">
        <v>360</v>
      </c>
      <c r="E19" s="38" t="s">
        <v>348</v>
      </c>
      <c r="F19" s="39" t="str">
        <f aca="false">IFERROR(IF(ABS(Investment_Value!$D$19-(Investment_Value!$C$10-Investment_Value!$C$11*(Investment_Value!$D$18-Investment_Value!$C$9)))&lt;0.0000001,"holds","does not hold"),"error")</f>
        <v>holds</v>
      </c>
      <c r="G19" s="9"/>
      <c r="H19" s="9"/>
      <c r="I19" s="35" t="str">
        <f aca="false">IFERROR(IF(ABS(Investment_Value!$D$19-(Investment_Value!$C$10-Investment_Value!$C$11*(Investment_Value!$D$18-Investment_Value!$C$9)))&lt;0.0000001,"PASS","FAIL"),"FAIL")</f>
        <v>PASS</v>
      </c>
    </row>
    <row r="20" customFormat="false" ht="15" hidden="false" customHeight="true" outlineLevel="0" collapsed="false">
      <c r="B20" s="36" t="n">
        <v>11</v>
      </c>
      <c r="C20" s="9" t="s">
        <v>361</v>
      </c>
      <c r="D20" s="37" t="s">
        <v>362</v>
      </c>
      <c r="E20" s="38" t="s">
        <v>348</v>
      </c>
      <c r="F20" s="39" t="str">
        <f aca="false">IFERROR(IF(ABS(Special!$C$31+Special!$C$26+Special!$C$30-Special!$C$23)&lt;0.005,"holds","does not hold"),"error")</f>
        <v>holds</v>
      </c>
      <c r="G20" s="9"/>
      <c r="H20" s="9"/>
      <c r="I20" s="35" t="str">
        <f aca="false">IFERROR(IF(ABS(Special!$C$31+Special!$C$26+Special!$C$30-Special!$C$23)&lt;0.005,"PASS","FAIL"),"FAIL")</f>
        <v>PASS</v>
      </c>
    </row>
    <row r="21" customFormat="false" ht="15" hidden="false" customHeight="true" outlineLevel="0" collapsed="false">
      <c r="B21" s="36" t="n">
        <v>12</v>
      </c>
      <c r="C21" s="9" t="s">
        <v>363</v>
      </c>
      <c r="D21" s="37" t="s">
        <v>364</v>
      </c>
      <c r="E21" s="38" t="s">
        <v>348</v>
      </c>
      <c r="F21" s="39" t="str">
        <f aca="false">IFERROR(IF(Rules!$C$29&lt;Rules!$C$30,"holds","does not hold"),"error")</f>
        <v>holds</v>
      </c>
      <c r="G21" s="9"/>
      <c r="H21" s="9"/>
      <c r="I21" s="35" t="str">
        <f aca="false">IFERROR(IF(Rules!$C$29&lt;Rules!$C$30,"PASS","FAIL"),"FAIL")</f>
        <v>PASS</v>
      </c>
    </row>
    <row r="22" customFormat="false" ht="15" hidden="false" customHeight="false" outlineLevel="0" collapsed="false">
      <c r="B22" s="36" t="n">
        <v>13</v>
      </c>
      <c r="C22" s="9" t="s">
        <v>346</v>
      </c>
      <c r="D22" s="9" t="s">
        <v>365</v>
      </c>
      <c r="E22" s="27" t="n">
        <v>72</v>
      </c>
      <c r="F22" s="21" t="n">
        <f aca="false">Reconciliation!$C$6</f>
        <v>72</v>
      </c>
      <c r="G22" s="31" t="n">
        <f aca="false">IFERROR(IF(ISNUMBER(F22),F22-E22,"n/a"),"n/a")</f>
        <v>0</v>
      </c>
      <c r="H22" s="40" t="n">
        <v>0.500000001</v>
      </c>
      <c r="I22" s="35" t="str">
        <f aca="false">IFERROR(IF(ISNUMBER(F22),IF(ABS(F22-E22)&lt;=H22,"PASS","FAIL"),"FAIL"),"FAIL")</f>
        <v>PASS</v>
      </c>
    </row>
    <row r="23" customFormat="false" ht="15" hidden="false" customHeight="false" outlineLevel="0" collapsed="false">
      <c r="B23" s="36" t="n">
        <v>14</v>
      </c>
      <c r="C23" s="9" t="s">
        <v>346</v>
      </c>
      <c r="D23" s="9" t="s">
        <v>366</v>
      </c>
      <c r="E23" s="27" t="n">
        <v>150000</v>
      </c>
      <c r="F23" s="21" t="n">
        <f aca="false">Reconciliation!$C$7</f>
        <v>150000</v>
      </c>
      <c r="G23" s="31" t="n">
        <f aca="false">IFERROR(IF(ISNUMBER(F23),F23-E23,"n/a"),"n/a")</f>
        <v>0</v>
      </c>
      <c r="H23" s="40" t="n">
        <v>0.500000001</v>
      </c>
      <c r="I23" s="35" t="str">
        <f aca="false">IFERROR(IF(ISNUMBER(F23),IF(ABS(F23-E23)&lt;=H23,"PASS","FAIL"),"FAIL"),"FAIL")</f>
        <v>PASS</v>
      </c>
    </row>
    <row r="24" customFormat="false" ht="15" hidden="false" customHeight="false" outlineLevel="0" collapsed="false">
      <c r="B24" s="36" t="n">
        <v>15</v>
      </c>
      <c r="C24" s="9" t="s">
        <v>346</v>
      </c>
      <c r="D24" s="9" t="s">
        <v>367</v>
      </c>
      <c r="E24" s="27" t="n">
        <v>20880</v>
      </c>
      <c r="F24" s="21" t="n">
        <f aca="false">Reconciliation!$C$8</f>
        <v>20880</v>
      </c>
      <c r="G24" s="31" t="n">
        <f aca="false">IFERROR(IF(ISNUMBER(F24),F24-E24,"n/a"),"n/a")</f>
        <v>0</v>
      </c>
      <c r="H24" s="40" t="n">
        <v>0.500000001</v>
      </c>
      <c r="I24" s="35" t="str">
        <f aca="false">IFERROR(IF(ISNUMBER(F24),IF(ABS(F24-E24)&lt;=H24,"PASS","FAIL"),"FAIL"),"FAIL")</f>
        <v>PASS</v>
      </c>
    </row>
    <row r="25" customFormat="false" ht="15" hidden="false" customHeight="false" outlineLevel="0" collapsed="false">
      <c r="B25" s="36" t="n">
        <v>16</v>
      </c>
      <c r="C25" s="9" t="s">
        <v>346</v>
      </c>
      <c r="D25" s="9" t="s">
        <v>368</v>
      </c>
      <c r="E25" s="27" t="n">
        <v>170880</v>
      </c>
      <c r="F25" s="21" t="n">
        <f aca="false">Reconciliation!$C$9</f>
        <v>170880</v>
      </c>
      <c r="G25" s="31" t="n">
        <f aca="false">IFERROR(IF(ISNUMBER(F25),F25-E25,"n/a"),"n/a")</f>
        <v>0</v>
      </c>
      <c r="H25" s="40" t="n">
        <v>0.500000001</v>
      </c>
      <c r="I25" s="35" t="str">
        <f aca="false">IFERROR(IF(ISNUMBER(F25),IF(ABS(F25-E25)&lt;=H25,"PASS","FAIL"),"FAIL"),"FAIL")</f>
        <v>PASS</v>
      </c>
    </row>
    <row r="26" customFormat="false" ht="15" hidden="false" customHeight="false" outlineLevel="0" collapsed="false">
      <c r="B26" s="36" t="n">
        <v>17</v>
      </c>
      <c r="C26" s="9" t="s">
        <v>346</v>
      </c>
      <c r="D26" s="9" t="s">
        <v>369</v>
      </c>
      <c r="E26" s="27" t="n">
        <v>50000</v>
      </c>
      <c r="F26" s="21" t="n">
        <f aca="false">Reconciliation!$C$10</f>
        <v>50000</v>
      </c>
      <c r="G26" s="31" t="n">
        <f aca="false">IFERROR(IF(ISNUMBER(F26),F26-E26,"n/a"),"n/a")</f>
        <v>0</v>
      </c>
      <c r="H26" s="40" t="n">
        <v>0.500000001</v>
      </c>
      <c r="I26" s="35" t="str">
        <f aca="false">IFERROR(IF(ISNUMBER(F26),IF(ABS(F26-E26)&lt;=H26,"PASS","FAIL"),"FAIL"),"FAIL")</f>
        <v>PASS</v>
      </c>
    </row>
    <row r="27" customFormat="false" ht="15" hidden="false" customHeight="false" outlineLevel="0" collapsed="false">
      <c r="B27" s="36" t="n">
        <v>18</v>
      </c>
      <c r="C27" s="9" t="s">
        <v>346</v>
      </c>
      <c r="D27" s="9" t="s">
        <v>370</v>
      </c>
      <c r="E27" s="27" t="n">
        <v>12052103</v>
      </c>
      <c r="F27" s="21" t="n">
        <f aca="false">Reconciliation!$C$13</f>
        <v>12052102.9565217</v>
      </c>
      <c r="G27" s="31" t="n">
        <f aca="false">IFERROR(IF(ISNUMBER(F27),F27-E27,"n/a"),"n/a")</f>
        <v>-0.0434782598167658</v>
      </c>
      <c r="H27" s="40" t="n">
        <v>0.500000001</v>
      </c>
      <c r="I27" s="35" t="str">
        <f aca="false">IFERROR(IF(ISNUMBER(F27),IF(ABS(F27-E27)&lt;=H27,"PASS","FAIL"),"FAIL"),"FAIL")</f>
        <v>PASS</v>
      </c>
    </row>
    <row r="28" customFormat="false" ht="15" hidden="false" customHeight="false" outlineLevel="0" collapsed="false">
      <c r="B28" s="36" t="n">
        <v>19</v>
      </c>
      <c r="C28" s="9" t="s">
        <v>346</v>
      </c>
      <c r="D28" s="9" t="s">
        <v>371</v>
      </c>
      <c r="E28" s="27" t="n">
        <v>12021083</v>
      </c>
      <c r="F28" s="21" t="n">
        <f aca="false">Reconciliation!$C$14</f>
        <v>12021082.6524638</v>
      </c>
      <c r="G28" s="31" t="n">
        <f aca="false">IFERROR(IF(ISNUMBER(F28),F28-E28,"n/a"),"n/a")</f>
        <v>-0.347536239773035</v>
      </c>
      <c r="H28" s="40" t="n">
        <v>0.500000001</v>
      </c>
      <c r="I28" s="35" t="str">
        <f aca="false">IFERROR(IF(ISNUMBER(F28),IF(ABS(F28-E28)&lt;=H28,"PASS","FAIL"),"FAIL"),"FAIL")</f>
        <v>PASS</v>
      </c>
    </row>
    <row r="29" customFormat="false" ht="15" hidden="false" customHeight="false" outlineLevel="0" collapsed="false">
      <c r="B29" s="36" t="n">
        <v>20</v>
      </c>
      <c r="C29" s="9" t="s">
        <v>346</v>
      </c>
      <c r="D29" s="9" t="s">
        <v>372</v>
      </c>
      <c r="E29" s="27" t="n">
        <v>12126000</v>
      </c>
      <c r="F29" s="21" t="n">
        <f aca="false">Reconciliation!$C$15</f>
        <v>12126000</v>
      </c>
      <c r="G29" s="31" t="n">
        <f aca="false">IFERROR(IF(ISNUMBER(F29),F29-E29,"n/a"),"n/a")</f>
        <v>0</v>
      </c>
      <c r="H29" s="40" t="n">
        <v>0.500000001</v>
      </c>
      <c r="I29" s="35" t="str">
        <f aca="false">IFERROR(IF(ISNUMBER(F29),IF(ABS(F29-E29)&lt;=H29,"PASS","FAIL"),"FAIL"),"FAIL")</f>
        <v>PASS</v>
      </c>
    </row>
    <row r="30" customFormat="false" ht="15" hidden="false" customHeight="false" outlineLevel="0" collapsed="false">
      <c r="B30" s="36" t="n">
        <v>21</v>
      </c>
      <c r="C30" s="9" t="s">
        <v>346</v>
      </c>
      <c r="D30" s="9" t="s">
        <v>373</v>
      </c>
      <c r="E30" s="27" t="n">
        <v>12496880</v>
      </c>
      <c r="F30" s="21" t="n">
        <f aca="false">Reconciliation!$C$16</f>
        <v>12496880.1669565</v>
      </c>
      <c r="G30" s="31" t="n">
        <f aca="false">IFERROR(IF(ISNUMBER(F30),F30-E30,"n/a"),"n/a")</f>
        <v>0.166956519708037</v>
      </c>
      <c r="H30" s="40" t="n">
        <v>0.500000001</v>
      </c>
      <c r="I30" s="35" t="str">
        <f aca="false">IFERROR(IF(ISNUMBER(F30),IF(ABS(F30-E30)&lt;=H30,"PASS","FAIL"),"FAIL"),"FAIL")</f>
        <v>PASS</v>
      </c>
    </row>
    <row r="31" customFormat="false" ht="15" hidden="false" customHeight="false" outlineLevel="0" collapsed="false">
      <c r="B31" s="36" t="n">
        <v>22</v>
      </c>
      <c r="C31" s="9" t="s">
        <v>346</v>
      </c>
      <c r="D31" s="9" t="s">
        <v>374</v>
      </c>
      <c r="E31" s="27" t="n">
        <v>12050000</v>
      </c>
      <c r="F31" s="21" t="n">
        <f aca="false">Reconciliation!$C$19</f>
        <v>12050000</v>
      </c>
      <c r="G31" s="31" t="n">
        <f aca="false">IFERROR(IF(ISNUMBER(F31),F31-E31,"n/a"),"n/a")</f>
        <v>0</v>
      </c>
      <c r="H31" s="40" t="n">
        <v>0.500000001</v>
      </c>
      <c r="I31" s="35" t="str">
        <f aca="false">IFERROR(IF(ISNUMBER(F31),IF(ABS(F31-E31)&lt;=H31,"PASS","FAIL"),"FAIL"),"FAIL")</f>
        <v>PASS</v>
      </c>
    </row>
    <row r="32" customFormat="false" ht="15" hidden="false" customHeight="false" outlineLevel="0" collapsed="false">
      <c r="B32" s="36" t="n">
        <v>23</v>
      </c>
      <c r="C32" s="9" t="s">
        <v>346</v>
      </c>
      <c r="D32" s="9" t="s">
        <v>375</v>
      </c>
      <c r="E32" s="27" t="n">
        <v>12000000</v>
      </c>
      <c r="F32" s="21" t="n">
        <f aca="false">Reconciliation!$C$20</f>
        <v>12000000</v>
      </c>
      <c r="G32" s="31" t="n">
        <f aca="false">IFERROR(IF(ISNUMBER(F32),F32-E32,"n/a"),"n/a")</f>
        <v>0</v>
      </c>
      <c r="H32" s="40" t="n">
        <v>0.500000001</v>
      </c>
      <c r="I32" s="35" t="str">
        <f aca="false">IFERROR(IF(ISNUMBER(F32),IF(ABS(F32-E32)&lt;=H32,"PASS","FAIL"),"FAIL"),"FAIL")</f>
        <v>PASS</v>
      </c>
    </row>
    <row r="33" customFormat="false" ht="15" hidden="false" customHeight="false" outlineLevel="0" collapsed="false">
      <c r="B33" s="36" t="n">
        <v>24</v>
      </c>
      <c r="C33" s="9" t="s">
        <v>346</v>
      </c>
      <c r="D33" s="9" t="s">
        <v>376</v>
      </c>
      <c r="E33" s="27" t="n">
        <v>50000</v>
      </c>
      <c r="F33" s="21" t="n">
        <f aca="false">Reconciliation!$C$21</f>
        <v>50000</v>
      </c>
      <c r="G33" s="31" t="n">
        <f aca="false">IFERROR(IF(ISNUMBER(F33),F33-E33,"n/a"),"n/a")</f>
        <v>0</v>
      </c>
      <c r="H33" s="40" t="n">
        <v>0.500000001</v>
      </c>
      <c r="I33" s="35" t="str">
        <f aca="false">IFERROR(IF(ISNUMBER(F33),IF(ABS(F33-E33)&lt;=H33,"PASS","FAIL"),"FAIL"),"FAIL")</f>
        <v>PASS</v>
      </c>
    </row>
    <row r="34" customFormat="false" ht="15" hidden="false" customHeight="false" outlineLevel="0" collapsed="false">
      <c r="B34" s="36" t="n">
        <v>25</v>
      </c>
      <c r="C34" s="9" t="s">
        <v>346</v>
      </c>
      <c r="D34" s="9" t="s">
        <v>377</v>
      </c>
      <c r="E34" s="27" t="n">
        <v>12050000</v>
      </c>
      <c r="F34" s="21" t="n">
        <f aca="false">Reconciliation!$C$22</f>
        <v>12050000</v>
      </c>
      <c r="G34" s="31" t="n">
        <f aca="false">IFERROR(IF(ISNUMBER(F34),F34-E34,"n/a"),"n/a")</f>
        <v>0</v>
      </c>
      <c r="H34" s="40" t="n">
        <v>0.500000001</v>
      </c>
      <c r="I34" s="35" t="str">
        <f aca="false">IFERROR(IF(ISNUMBER(F34),IF(ABS(F34-E34)&lt;=H34,"PASS","FAIL"),"FAIL"),"FAIL")</f>
        <v>PASS</v>
      </c>
    </row>
    <row r="35" customFormat="false" ht="15" hidden="false" customHeight="false" outlineLevel="0" collapsed="false">
      <c r="B35" s="36" t="n">
        <v>26</v>
      </c>
      <c r="C35" s="9" t="s">
        <v>346</v>
      </c>
      <c r="D35" s="9" t="s">
        <v>378</v>
      </c>
      <c r="E35" s="27" t="n">
        <v>12150000</v>
      </c>
      <c r="F35" s="21" t="n">
        <f aca="false">Reconciliation!$C$23</f>
        <v>12150000</v>
      </c>
      <c r="G35" s="31" t="n">
        <f aca="false">IFERROR(IF(ISNUMBER(F35),F35-E35,"n/a"),"n/a")</f>
        <v>0</v>
      </c>
      <c r="H35" s="40" t="n">
        <v>0.500000001</v>
      </c>
      <c r="I35" s="35" t="str">
        <f aca="false">IFERROR(IF(ISNUMBER(F35),IF(ABS(F35-E35)&lt;=H35,"PASS","FAIL"),"FAIL"),"FAIL")</f>
        <v>PASS</v>
      </c>
    </row>
    <row r="36" customFormat="false" ht="15" hidden="false" customHeight="false" outlineLevel="0" collapsed="false">
      <c r="B36" s="36" t="n">
        <v>27</v>
      </c>
      <c r="C36" s="9" t="s">
        <v>346</v>
      </c>
      <c r="D36" s="9" t="s">
        <v>379</v>
      </c>
      <c r="E36" s="27" t="n">
        <v>12500000</v>
      </c>
      <c r="F36" s="21" t="n">
        <f aca="false">Reconciliation!$C$24</f>
        <v>12500000</v>
      </c>
      <c r="G36" s="31" t="n">
        <f aca="false">IFERROR(IF(ISNUMBER(F36),F36-E36,"n/a"),"n/a")</f>
        <v>0</v>
      </c>
      <c r="H36" s="40" t="n">
        <v>0.500000001</v>
      </c>
      <c r="I36" s="35" t="str">
        <f aca="false">IFERROR(IF(ISNUMBER(F36),IF(ABS(F36-E36)&lt;=H36,"PASS","FAIL"),"FAIL"),"FAIL")</f>
        <v>PASS</v>
      </c>
    </row>
    <row r="37" customFormat="false" ht="15" hidden="false" customHeight="false" outlineLevel="0" collapsed="false">
      <c r="B37" s="36" t="n">
        <v>28</v>
      </c>
      <c r="C37" s="9" t="s">
        <v>346</v>
      </c>
      <c r="D37" s="9" t="s">
        <v>380</v>
      </c>
      <c r="E37" s="27" t="n">
        <v>100000</v>
      </c>
      <c r="F37" s="21" t="n">
        <f aca="false">Reconciliation!$C$25</f>
        <v>100000</v>
      </c>
      <c r="G37" s="31" t="n">
        <f aca="false">IFERROR(IF(ISNUMBER(F37),F37-E37,"n/a"),"n/a")</f>
        <v>0</v>
      </c>
      <c r="H37" s="40" t="n">
        <v>0.500000001</v>
      </c>
      <c r="I37" s="35" t="str">
        <f aca="false">IFERROR(IF(ISNUMBER(F37),IF(ABS(F37-E37)&lt;=H37,"PASS","FAIL"),"FAIL"),"FAIL")</f>
        <v>PASS</v>
      </c>
    </row>
    <row r="38" customFormat="false" ht="15" hidden="false" customHeight="false" outlineLevel="0" collapsed="false">
      <c r="B38" s="36" t="n">
        <v>29</v>
      </c>
      <c r="C38" s="9" t="s">
        <v>346</v>
      </c>
      <c r="D38" s="9" t="s">
        <v>381</v>
      </c>
      <c r="E38" s="27" t="n">
        <v>12050000</v>
      </c>
      <c r="F38" s="21" t="n">
        <f aca="false">Reconciliation!$C$26</f>
        <v>12050000</v>
      </c>
      <c r="G38" s="31" t="n">
        <f aca="false">IFERROR(IF(ISNUMBER(F38),F38-E38,"n/a"),"n/a")</f>
        <v>0</v>
      </c>
      <c r="H38" s="40" t="n">
        <v>0.500000001</v>
      </c>
      <c r="I38" s="35" t="str">
        <f aca="false">IFERROR(IF(ISNUMBER(F38),IF(ABS(F38-E38)&lt;=H38,"PASS","FAIL"),"FAIL"),"FAIL")</f>
        <v>PASS</v>
      </c>
    </row>
    <row r="39" customFormat="false" ht="15" hidden="false" customHeight="false" outlineLevel="0" collapsed="false">
      <c r="B39" s="36" t="n">
        <v>30</v>
      </c>
      <c r="C39" s="9" t="s">
        <v>346</v>
      </c>
      <c r="D39" s="9" t="s">
        <v>382</v>
      </c>
      <c r="E39" s="27" t="n">
        <v>12500000</v>
      </c>
      <c r="F39" s="21" t="n">
        <f aca="false">Reconciliation!$C$27</f>
        <v>12500000</v>
      </c>
      <c r="G39" s="31" t="n">
        <f aca="false">IFERROR(IF(ISNUMBER(F39),F39-E39,"n/a"),"n/a")</f>
        <v>0</v>
      </c>
      <c r="H39" s="40" t="n">
        <v>0.500000001</v>
      </c>
      <c r="I39" s="35" t="str">
        <f aca="false">IFERROR(IF(ISNUMBER(F39),IF(ABS(F39-E39)&lt;=H39,"PASS","FAIL"),"FAIL"),"FAIL")</f>
        <v>PASS</v>
      </c>
    </row>
    <row r="40" customFormat="false" ht="15" hidden="false" customHeight="false" outlineLevel="0" collapsed="false">
      <c r="B40" s="36" t="n">
        <v>31</v>
      </c>
      <c r="C40" s="9" t="s">
        <v>346</v>
      </c>
      <c r="D40" s="9" t="s">
        <v>383</v>
      </c>
      <c r="E40" s="27" t="n">
        <v>450000</v>
      </c>
      <c r="F40" s="21" t="n">
        <f aca="false">Reconciliation!$C$28</f>
        <v>450000</v>
      </c>
      <c r="G40" s="31" t="n">
        <f aca="false">IFERROR(IF(ISNUMBER(F40),F40-E40,"n/a"),"n/a")</f>
        <v>0</v>
      </c>
      <c r="H40" s="40" t="n">
        <v>0.500000001</v>
      </c>
      <c r="I40" s="35" t="str">
        <f aca="false">IFERROR(IF(ISNUMBER(F40),IF(ABS(F40-E40)&lt;=H40,"PASS","FAIL"),"FAIL"),"FAIL")</f>
        <v>PASS</v>
      </c>
    </row>
    <row r="41" customFormat="false" ht="15" hidden="false" customHeight="false" outlineLevel="0" collapsed="false">
      <c r="B41" s="36" t="n">
        <v>32</v>
      </c>
      <c r="C41" s="9" t="s">
        <v>346</v>
      </c>
      <c r="D41" s="9" t="s">
        <v>384</v>
      </c>
      <c r="E41" s="15" t="n">
        <v>0.4</v>
      </c>
      <c r="F41" s="19" t="n">
        <f aca="false">Reconciliation!$C$31</f>
        <v>0.4</v>
      </c>
      <c r="G41" s="31" t="n">
        <f aca="false">IFERROR(IF(ISNUMBER(F41),F41-E41,"n/a"),"n/a")</f>
        <v>0</v>
      </c>
      <c r="H41" s="40" t="n">
        <v>0.005000001</v>
      </c>
      <c r="I41" s="35" t="str">
        <f aca="false">IFERROR(IF(ISNUMBER(F41),IF(ABS(F41-E41)&lt;=H41,"PASS","FAIL"),"FAIL"),"FAIL")</f>
        <v>PASS</v>
      </c>
    </row>
    <row r="42" customFormat="false" ht="15" hidden="false" customHeight="false" outlineLevel="0" collapsed="false">
      <c r="B42" s="36" t="n">
        <v>33</v>
      </c>
      <c r="C42" s="9" t="s">
        <v>346</v>
      </c>
      <c r="D42" s="9" t="s">
        <v>385</v>
      </c>
      <c r="E42" s="15" t="n">
        <v>0.55</v>
      </c>
      <c r="F42" s="19" t="n">
        <f aca="false">Reconciliation!$C$32</f>
        <v>0.55</v>
      </c>
      <c r="G42" s="31" t="n">
        <f aca="false">IFERROR(IF(ISNUMBER(F42),F42-E42,"n/a"),"n/a")</f>
        <v>0</v>
      </c>
      <c r="H42" s="40" t="n">
        <v>0.005000001</v>
      </c>
      <c r="I42" s="35" t="str">
        <f aca="false">IFERROR(IF(ISNUMBER(F42),IF(ABS(F42-E42)&lt;=H42,"PASS","FAIL"),"FAIL"),"FAIL")</f>
        <v>PASS</v>
      </c>
    </row>
    <row r="43" customFormat="false" ht="15" hidden="false" customHeight="false" outlineLevel="0" collapsed="false">
      <c r="B43" s="36" t="n">
        <v>34</v>
      </c>
      <c r="C43" s="9" t="s">
        <v>346</v>
      </c>
      <c r="D43" s="9" t="s">
        <v>386</v>
      </c>
      <c r="E43" s="15" t="n">
        <v>0.05</v>
      </c>
      <c r="F43" s="19" t="n">
        <f aca="false">Reconciliation!$C$33</f>
        <v>0.05</v>
      </c>
      <c r="G43" s="31" t="n">
        <f aca="false">IFERROR(IF(ISNUMBER(F43),F43-E43,"n/a"),"n/a")</f>
        <v>0</v>
      </c>
      <c r="H43" s="40" t="n">
        <v>0.005000001</v>
      </c>
      <c r="I43" s="35" t="str">
        <f aca="false">IFERROR(IF(ISNUMBER(F43),IF(ABS(F43-E43)&lt;=H43,"PASS","FAIL"),"FAIL"),"FAIL")</f>
        <v>PASS</v>
      </c>
    </row>
    <row r="44" customFormat="false" ht="15" hidden="false" customHeight="false" outlineLevel="0" collapsed="false">
      <c r="B44" s="36" t="n">
        <v>35</v>
      </c>
      <c r="C44" s="9" t="s">
        <v>346</v>
      </c>
      <c r="D44" s="9" t="s">
        <v>387</v>
      </c>
      <c r="E44" s="27" t="n">
        <v>12112500</v>
      </c>
      <c r="F44" s="21" t="n">
        <f aca="false">Reconciliation!$C$35</f>
        <v>12112500</v>
      </c>
      <c r="G44" s="31" t="n">
        <f aca="false">IFERROR(IF(ISNUMBER(F44),F44-E44,"n/a"),"n/a")</f>
        <v>0</v>
      </c>
      <c r="H44" s="40" t="n">
        <v>0.500000001</v>
      </c>
      <c r="I44" s="35" t="str">
        <f aca="false">IFERROR(IF(ISNUMBER(F44),IF(ABS(F44-E44)&lt;=H44,"PASS","FAIL"),"FAIL"),"FAIL")</f>
        <v>PASS</v>
      </c>
    </row>
    <row r="45" customFormat="false" ht="15" hidden="false" customHeight="false" outlineLevel="0" collapsed="false">
      <c r="B45" s="36" t="n">
        <v>36</v>
      </c>
      <c r="C45" s="9" t="s">
        <v>346</v>
      </c>
      <c r="D45" s="9" t="s">
        <v>388</v>
      </c>
      <c r="E45" s="27" t="n">
        <v>12100000</v>
      </c>
      <c r="F45" s="21" t="n">
        <f aca="false">Reconciliation!$C$36</f>
        <v>12100000</v>
      </c>
      <c r="G45" s="31" t="n">
        <f aca="false">IFERROR(IF(ISNUMBER(F45),F45-E45,"n/a"),"n/a")</f>
        <v>0</v>
      </c>
      <c r="H45" s="40" t="n">
        <v>0.500000001</v>
      </c>
      <c r="I45" s="35" t="str">
        <f aca="false">IFERROR(IF(ISNUMBER(F45),IF(ABS(F45-E45)&lt;=H45,"PASS","FAIL"),"FAIL"),"FAIL")</f>
        <v>PASS</v>
      </c>
    </row>
    <row r="46" customFormat="false" ht="15" hidden="false" customHeight="false" outlineLevel="0" collapsed="false">
      <c r="B46" s="36" t="n">
        <v>37</v>
      </c>
      <c r="C46" s="9" t="s">
        <v>346</v>
      </c>
      <c r="D46" s="9" t="s">
        <v>389</v>
      </c>
      <c r="E46" s="27" t="n">
        <v>12100000</v>
      </c>
      <c r="F46" s="21" t="n">
        <f aca="false">Reconciliation!$C$39</f>
        <v>12100000</v>
      </c>
      <c r="G46" s="31" t="n">
        <f aca="false">IFERROR(IF(ISNUMBER(F46),F46-E46,"n/a"),"n/a")</f>
        <v>0</v>
      </c>
      <c r="H46" s="40" t="n">
        <v>0.500000001</v>
      </c>
      <c r="I46" s="35" t="str">
        <f aca="false">IFERROR(IF(ISNUMBER(F46),IF(ABS(F46-E46)&lt;=H46,"PASS","FAIL"),"FAIL"),"FAIL")</f>
        <v>PASS</v>
      </c>
    </row>
    <row r="47" customFormat="false" ht="15" hidden="false" customHeight="false" outlineLevel="0" collapsed="false">
      <c r="B47" s="36" t="n">
        <v>38</v>
      </c>
      <c r="C47" s="9" t="s">
        <v>346</v>
      </c>
      <c r="D47" s="9" t="s">
        <v>390</v>
      </c>
      <c r="E47" s="27" t="n">
        <v>168056</v>
      </c>
      <c r="F47" s="21" t="n">
        <f aca="false">Reconciliation!$C$41</f>
        <v>168055.555555556</v>
      </c>
      <c r="G47" s="31" t="n">
        <f aca="false">IFERROR(IF(ISNUMBER(F47),F47-E47,"n/a"),"n/a")</f>
        <v>-0.444444444437977</v>
      </c>
      <c r="H47" s="40" t="n">
        <v>0.500000001</v>
      </c>
      <c r="I47" s="35" t="str">
        <f aca="false">IFERROR(IF(ISNUMBER(F47),IF(ABS(F47-E47)&lt;=H47,"PASS","FAIL"),"FAIL"),"FAIL")</f>
        <v>PASS</v>
      </c>
    </row>
    <row r="48" customFormat="false" ht="15" hidden="false" customHeight="false" outlineLevel="0" collapsed="false">
      <c r="B48" s="36" t="n">
        <v>39</v>
      </c>
      <c r="C48" s="9" t="s">
        <v>346</v>
      </c>
      <c r="D48" s="9" t="s">
        <v>391</v>
      </c>
      <c r="E48" s="27" t="n">
        <v>12250000</v>
      </c>
      <c r="F48" s="21" t="n">
        <f aca="false">Reconciliation!$C$42</f>
        <v>12250000</v>
      </c>
      <c r="G48" s="31" t="n">
        <f aca="false">IFERROR(IF(ISNUMBER(F48),F48-E48,"n/a"),"n/a")</f>
        <v>0</v>
      </c>
      <c r="H48" s="40" t="n">
        <v>0.500000001</v>
      </c>
      <c r="I48" s="35" t="str">
        <f aca="false">IFERROR(IF(ISNUMBER(F48),IF(ABS(F48-E48)&lt;=H48,"PASS","FAIL"),"FAIL"),"FAIL")</f>
        <v>PASS</v>
      </c>
    </row>
    <row r="49" customFormat="false" ht="15" hidden="false" customHeight="false" outlineLevel="0" collapsed="false">
      <c r="B49" s="36" t="n">
        <v>40</v>
      </c>
      <c r="C49" s="9" t="s">
        <v>346</v>
      </c>
      <c r="D49" s="9" t="s">
        <v>392</v>
      </c>
      <c r="E49" s="27" t="n">
        <v>150000</v>
      </c>
      <c r="F49" s="21" t="n">
        <f aca="false">Reconciliation!$C$43</f>
        <v>150000</v>
      </c>
      <c r="G49" s="31" t="n">
        <f aca="false">IFERROR(IF(ISNUMBER(F49),F49-E49,"n/a"),"n/a")</f>
        <v>0</v>
      </c>
      <c r="H49" s="40" t="n">
        <v>0.500000001</v>
      </c>
      <c r="I49" s="35" t="str">
        <f aca="false">IFERROR(IF(ISNUMBER(F49),IF(ABS(F49-E49)&lt;=H49,"PASS","FAIL"),"FAIL"),"FAIL")</f>
        <v>PASS</v>
      </c>
    </row>
    <row r="50" customFormat="false" ht="15" hidden="false" customHeight="false" outlineLevel="0" collapsed="false">
      <c r="B50" s="36" t="n">
        <v>41</v>
      </c>
      <c r="C50" s="9" t="s">
        <v>346</v>
      </c>
      <c r="D50" s="9" t="s">
        <v>393</v>
      </c>
      <c r="E50" s="26" t="n">
        <v>0.037</v>
      </c>
      <c r="F50" s="22" t="n">
        <f aca="false">Reconciliation!$C$44</f>
        <v>0.0371900826446281</v>
      </c>
      <c r="G50" s="31" t="n">
        <f aca="false">IFERROR(IF(ISNUMBER(F50),F50-E50,"n/a"),"n/a")</f>
        <v>0.000190082644628088</v>
      </c>
      <c r="H50" s="40" t="n">
        <v>0.000500001</v>
      </c>
      <c r="I50" s="35" t="str">
        <f aca="false">IFERROR(IF(ISNUMBER(F50),IF(ABS(F50-E50)&lt;=H50,"PASS","FAIL"),"FAIL"),"FAIL")</f>
        <v>PASS</v>
      </c>
    </row>
    <row r="51" customFormat="false" ht="15" hidden="false" customHeight="false" outlineLevel="0" collapsed="false">
      <c r="B51" s="36" t="n">
        <v>42</v>
      </c>
      <c r="C51" s="9" t="s">
        <v>346</v>
      </c>
      <c r="D51" s="9" t="s">
        <v>394</v>
      </c>
      <c r="E51" s="27" t="n">
        <v>400000</v>
      </c>
      <c r="F51" s="21" t="n">
        <f aca="false">Reconciliation!$C$45</f>
        <v>400000</v>
      </c>
      <c r="G51" s="31" t="n">
        <f aca="false">IFERROR(IF(ISNUMBER(F51),F51-E51,"n/a"),"n/a")</f>
        <v>0</v>
      </c>
      <c r="H51" s="40" t="n">
        <v>0.500000001</v>
      </c>
      <c r="I51" s="35" t="str">
        <f aca="false">IFERROR(IF(ISNUMBER(F51),IF(ABS(F51-E51)&lt;=H51,"PASS","FAIL"),"FAIL"),"FAIL")</f>
        <v>PASS</v>
      </c>
    </row>
    <row r="52" customFormat="false" ht="15" hidden="false" customHeight="false" outlineLevel="0" collapsed="false">
      <c r="B52" s="36" t="n">
        <v>43</v>
      </c>
      <c r="C52" s="9" t="s">
        <v>346</v>
      </c>
      <c r="D52" s="9" t="s">
        <v>395</v>
      </c>
      <c r="E52" s="26" t="n">
        <v>0.033</v>
      </c>
      <c r="F52" s="22" t="n">
        <f aca="false">Reconciliation!$C$46</f>
        <v>0.0330578512396693</v>
      </c>
      <c r="G52" s="31" t="n">
        <f aca="false">IFERROR(IF(ISNUMBER(F52),F52-E52,"n/a"),"n/a")</f>
        <v>5.78512396693098E-005</v>
      </c>
      <c r="H52" s="40" t="n">
        <v>0.000500001</v>
      </c>
      <c r="I52" s="35" t="str">
        <f aca="false">IFERROR(IF(ISNUMBER(F52),IF(ABS(F52-E52)&lt;=H52,"PASS","FAIL"),"FAIL"),"FAIL")</f>
        <v>PASS</v>
      </c>
    </row>
    <row r="53" customFormat="false" ht="15" hidden="false" customHeight="false" outlineLevel="0" collapsed="false">
      <c r="B53" s="36" t="n">
        <v>44</v>
      </c>
      <c r="C53" s="9" t="s">
        <v>346</v>
      </c>
      <c r="D53" s="9" t="s">
        <v>396</v>
      </c>
      <c r="E53" s="20" t="n">
        <v>0.0041</v>
      </c>
      <c r="F53" s="41" t="n">
        <f aca="false">Reconciliation!$C$47</f>
        <v>0.00413223140495868</v>
      </c>
      <c r="G53" s="31" t="n">
        <f aca="false">IFERROR(IF(ISNUMBER(F53),F53-E53,"n/a"),"n/a")</f>
        <v>3.22314049586792E-005</v>
      </c>
      <c r="H53" s="40" t="n">
        <v>5.0001E-005</v>
      </c>
      <c r="I53" s="35" t="str">
        <f aca="false">IFERROR(IF(ISNUMBER(F53),IF(ABS(F53-E53)&lt;=H53,"PASS","FAIL"),"FAIL"),"FAIL")</f>
        <v>PASS</v>
      </c>
    </row>
    <row r="54" customFormat="false" ht="15" hidden="false" customHeight="false" outlineLevel="0" collapsed="false">
      <c r="B54" s="36" t="n">
        <v>45</v>
      </c>
      <c r="C54" s="9" t="s">
        <v>351</v>
      </c>
      <c r="D54" s="9" t="s">
        <v>397</v>
      </c>
      <c r="E54" s="27" t="n">
        <v>12850000</v>
      </c>
      <c r="F54" s="21" t="n">
        <f aca="false">Price_and_Bridge!$C$6</f>
        <v>12850000</v>
      </c>
      <c r="G54" s="31" t="n">
        <f aca="false">IFERROR(IF(ISNUMBER(F54),F54-E54,"n/a"),"n/a")</f>
        <v>0</v>
      </c>
      <c r="H54" s="40" t="n">
        <v>0.500000001</v>
      </c>
      <c r="I54" s="35" t="str">
        <f aca="false">IFERROR(IF(ISNUMBER(F54),IF(ABS(F54-E54)&lt;=H54,"PASS","FAIL"),"FAIL"),"FAIL")</f>
        <v>PASS</v>
      </c>
    </row>
    <row r="55" customFormat="false" ht="15" hidden="false" customHeight="false" outlineLevel="0" collapsed="false">
      <c r="B55" s="36" t="n">
        <v>46</v>
      </c>
      <c r="C55" s="9" t="s">
        <v>351</v>
      </c>
      <c r="D55" s="9" t="s">
        <v>398</v>
      </c>
      <c r="E55" s="27" t="n">
        <v>178472</v>
      </c>
      <c r="F55" s="21" t="n">
        <f aca="false">Price_and_Bridge!$C$7</f>
        <v>178472.222222222</v>
      </c>
      <c r="G55" s="31" t="n">
        <f aca="false">IFERROR(IF(ISNUMBER(F55),F55-E55,"n/a"),"n/a")</f>
        <v>0.222222222218988</v>
      </c>
      <c r="H55" s="40" t="n">
        <v>0.500000001</v>
      </c>
      <c r="I55" s="35" t="str">
        <f aca="false">IFERROR(IF(ISNUMBER(F55),IF(ABS(F55-E55)&lt;=H55,"PASS","FAIL"),"FAIL"),"FAIL")</f>
        <v>PASS</v>
      </c>
    </row>
    <row r="56" customFormat="false" ht="15" hidden="false" customHeight="false" outlineLevel="0" collapsed="false">
      <c r="B56" s="36" t="n">
        <v>47</v>
      </c>
      <c r="C56" s="9" t="s">
        <v>351</v>
      </c>
      <c r="D56" s="9" t="s">
        <v>399</v>
      </c>
      <c r="E56" s="27" t="n">
        <v>150000</v>
      </c>
      <c r="F56" s="21" t="n">
        <f aca="false">Price_and_Bridge!$C$8</f>
        <v>150000</v>
      </c>
      <c r="G56" s="31" t="n">
        <f aca="false">IFERROR(IF(ISNUMBER(F56),F56-E56,"n/a"),"n/a")</f>
        <v>0</v>
      </c>
      <c r="H56" s="40" t="n">
        <v>0.500000001</v>
      </c>
      <c r="I56" s="35" t="str">
        <f aca="false">IFERROR(IF(ISNUMBER(F56),IF(ABS(F56-E56)&lt;=H56,"PASS","FAIL"),"FAIL"),"FAIL")</f>
        <v>PASS</v>
      </c>
    </row>
    <row r="57" customFormat="false" ht="15" hidden="false" customHeight="false" outlineLevel="0" collapsed="false">
      <c r="B57" s="36" t="n">
        <v>48</v>
      </c>
      <c r="C57" s="9" t="s">
        <v>351</v>
      </c>
      <c r="D57" s="9" t="s">
        <v>400</v>
      </c>
      <c r="E57" s="27" t="n">
        <v>12700000</v>
      </c>
      <c r="F57" s="21" t="n">
        <f aca="false">Price_and_Bridge!$C$9</f>
        <v>12700000</v>
      </c>
      <c r="G57" s="31" t="n">
        <f aca="false">IFERROR(IF(ISNUMBER(F57),F57-E57,"n/a"),"n/a")</f>
        <v>0</v>
      </c>
      <c r="H57" s="40" t="n">
        <v>0.500000001</v>
      </c>
      <c r="I57" s="35" t="str">
        <f aca="false">IFERROR(IF(ISNUMBER(F57),IF(ABS(F57-E57)&lt;=H57,"PASS","FAIL"),"FAIL"),"FAIL")</f>
        <v>PASS</v>
      </c>
    </row>
    <row r="58" customFormat="false" ht="15" hidden="false" customHeight="false" outlineLevel="0" collapsed="false">
      <c r="B58" s="36" t="n">
        <v>49</v>
      </c>
      <c r="C58" s="9" t="s">
        <v>351</v>
      </c>
      <c r="D58" s="9" t="s">
        <v>401</v>
      </c>
      <c r="E58" s="27" t="n">
        <v>750000</v>
      </c>
      <c r="F58" s="21" t="n">
        <f aca="false">Price_and_Bridge!$C$11</f>
        <v>750000</v>
      </c>
      <c r="G58" s="31" t="n">
        <f aca="false">IFERROR(IF(ISNUMBER(F58),F58-E58,"n/a"),"n/a")</f>
        <v>0</v>
      </c>
      <c r="H58" s="40" t="n">
        <v>0.500000001</v>
      </c>
      <c r="I58" s="35" t="str">
        <f aca="false">IFERROR(IF(ISNUMBER(F58),IF(ABS(F58-E58)&lt;=H58,"PASS","FAIL"),"FAIL"),"FAIL")</f>
        <v>PASS</v>
      </c>
    </row>
    <row r="59" customFormat="false" ht="15" hidden="false" customHeight="false" outlineLevel="0" collapsed="false">
      <c r="B59" s="36" t="n">
        <v>50</v>
      </c>
      <c r="C59" s="9" t="s">
        <v>351</v>
      </c>
      <c r="D59" s="9" t="s">
        <v>402</v>
      </c>
      <c r="E59" s="26" t="n">
        <v>0.062</v>
      </c>
      <c r="F59" s="22" t="n">
        <f aca="false">Price_and_Bridge!$C$12</f>
        <v>0.0619834710743802</v>
      </c>
      <c r="G59" s="31" t="n">
        <f aca="false">IFERROR(IF(ISNUMBER(F59),F59-E59,"n/a"),"n/a")</f>
        <v>-1.65289256198325E-005</v>
      </c>
      <c r="H59" s="40" t="n">
        <v>0.000500001</v>
      </c>
      <c r="I59" s="35" t="str">
        <f aca="false">IFERROR(IF(ISNUMBER(F59),IF(ABS(F59-E59)&lt;=H59,"PASS","FAIL"),"FAIL"),"FAIL")</f>
        <v>PASS</v>
      </c>
    </row>
    <row r="60" customFormat="false" ht="15" hidden="false" customHeight="false" outlineLevel="0" collapsed="false">
      <c r="B60" s="36" t="n">
        <v>51</v>
      </c>
      <c r="C60" s="9" t="s">
        <v>351</v>
      </c>
      <c r="D60" s="9" t="s">
        <v>403</v>
      </c>
      <c r="E60" s="26" t="n">
        <v>1.062</v>
      </c>
      <c r="F60" s="22" t="n">
        <f aca="false">Price_and_Bridge!$C$13</f>
        <v>1.06198347107438</v>
      </c>
      <c r="G60" s="31" t="n">
        <f aca="false">IFERROR(IF(ISNUMBER(F60),F60-E60,"n/a"),"n/a")</f>
        <v>-1.65289256199852E-005</v>
      </c>
      <c r="H60" s="40" t="n">
        <v>0.000500001</v>
      </c>
      <c r="I60" s="35" t="str">
        <f aca="false">IFERROR(IF(ISNUMBER(F60),IF(ABS(F60-E60)&lt;=H60,"PASS","FAIL"),"FAIL"),"FAIL")</f>
        <v>PASS</v>
      </c>
    </row>
    <row r="61" customFormat="false" ht="15" hidden="false" customHeight="false" outlineLevel="0" collapsed="false">
      <c r="B61" s="36" t="n">
        <v>52</v>
      </c>
      <c r="C61" s="9" t="s">
        <v>351</v>
      </c>
      <c r="D61" s="9" t="s">
        <v>404</v>
      </c>
      <c r="E61" s="27" t="n">
        <v>600000</v>
      </c>
      <c r="F61" s="21" t="n">
        <f aca="false">Price_and_Bridge!$C$14</f>
        <v>600000</v>
      </c>
      <c r="G61" s="31" t="n">
        <f aca="false">IFERROR(IF(ISNUMBER(F61),F61-E61,"n/a"),"n/a")</f>
        <v>0</v>
      </c>
      <c r="H61" s="40" t="n">
        <v>0.500000001</v>
      </c>
      <c r="I61" s="35" t="str">
        <f aca="false">IFERROR(IF(ISNUMBER(F61),IF(ABS(F61-E61)&lt;=H61,"PASS","FAIL"),"FAIL"),"FAIL")</f>
        <v>PASS</v>
      </c>
    </row>
    <row r="62" customFormat="false" ht="15" hidden="false" customHeight="false" outlineLevel="0" collapsed="false">
      <c r="B62" s="36" t="n">
        <v>53</v>
      </c>
      <c r="C62" s="9" t="s">
        <v>351</v>
      </c>
      <c r="D62" s="9" t="s">
        <v>405</v>
      </c>
      <c r="E62" s="26" t="n">
        <v>0.05</v>
      </c>
      <c r="F62" s="22" t="n">
        <f aca="false">Price_and_Bridge!$C$15</f>
        <v>0.0495867768595041</v>
      </c>
      <c r="G62" s="31" t="n">
        <f aca="false">IFERROR(IF(ISNUMBER(F62),F62-E62,"n/a"),"n/a")</f>
        <v>-0.000413223140495869</v>
      </c>
      <c r="H62" s="40" t="n">
        <v>0.000500001</v>
      </c>
      <c r="I62" s="35" t="str">
        <f aca="false">IFERROR(IF(ISNUMBER(F62),IF(ABS(F62-E62)&lt;=H62,"PASS","FAIL"),"FAIL"),"FAIL")</f>
        <v>PASS</v>
      </c>
    </row>
    <row r="63" customFormat="false" ht="15" hidden="false" customHeight="false" outlineLevel="0" collapsed="false">
      <c r="B63" s="36" t="n">
        <v>54</v>
      </c>
      <c r="C63" s="9" t="s">
        <v>351</v>
      </c>
      <c r="D63" s="9" t="s">
        <v>406</v>
      </c>
      <c r="E63" s="27" t="n">
        <v>12500000</v>
      </c>
      <c r="F63" s="21" t="n">
        <f aca="false">Price_and_Bridge!$C$16</f>
        <v>12500000</v>
      </c>
      <c r="G63" s="31" t="n">
        <f aca="false">IFERROR(IF(ISNUMBER(F63),F63-E63,"n/a"),"n/a")</f>
        <v>0</v>
      </c>
      <c r="H63" s="40" t="n">
        <v>0.500000001</v>
      </c>
      <c r="I63" s="35" t="str">
        <f aca="false">IFERROR(IF(ISNUMBER(F63),IF(ABS(F63-E63)&lt;=H63,"PASS","FAIL"),"FAIL"),"FAIL")</f>
        <v>PASS</v>
      </c>
    </row>
    <row r="64" customFormat="false" ht="15" hidden="false" customHeight="false" outlineLevel="0" collapsed="false">
      <c r="B64" s="36" t="n">
        <v>55</v>
      </c>
      <c r="C64" s="9" t="s">
        <v>351</v>
      </c>
      <c r="D64" s="9" t="s">
        <v>407</v>
      </c>
      <c r="E64" s="27" t="n">
        <v>350000</v>
      </c>
      <c r="F64" s="21" t="n">
        <f aca="false">Price_and_Bridge!$C$17</f>
        <v>350000</v>
      </c>
      <c r="G64" s="31" t="n">
        <f aca="false">IFERROR(IF(ISNUMBER(F64),F64-E64,"n/a"),"n/a")</f>
        <v>0</v>
      </c>
      <c r="H64" s="40" t="n">
        <v>0.500000001</v>
      </c>
      <c r="I64" s="35" t="str">
        <f aca="false">IFERROR(IF(ISNUMBER(F64),IF(ABS(F64-E64)&lt;=H64,"PASS","FAIL"),"FAIL"),"FAIL")</f>
        <v>PASS</v>
      </c>
    </row>
    <row r="65" customFormat="false" ht="15" hidden="false" customHeight="false" outlineLevel="0" collapsed="false">
      <c r="B65" s="36" t="n">
        <v>56</v>
      </c>
      <c r="C65" s="9" t="s">
        <v>351</v>
      </c>
      <c r="D65" s="9" t="s">
        <v>408</v>
      </c>
      <c r="E65" s="27" t="n">
        <v>60</v>
      </c>
      <c r="F65" s="21" t="n">
        <f aca="false">Price_and_Bridge!$C$18</f>
        <v>60</v>
      </c>
      <c r="G65" s="31" t="n">
        <f aca="false">IFERROR(IF(ISNUMBER(F65),F65-E65,"n/a"),"n/a")</f>
        <v>0</v>
      </c>
      <c r="H65" s="40" t="n">
        <v>0.500000001</v>
      </c>
      <c r="I65" s="35" t="str">
        <f aca="false">IFERROR(IF(ISNUMBER(F65),IF(ABS(F65-E65)&lt;=H65,"PASS","FAIL"),"FAIL"),"FAIL")</f>
        <v>PASS</v>
      </c>
    </row>
    <row r="66" customFormat="false" ht="15" hidden="false" customHeight="false" outlineLevel="0" collapsed="false">
      <c r="B66" s="36" t="n">
        <v>57</v>
      </c>
      <c r="C66" s="9" t="s">
        <v>351</v>
      </c>
      <c r="D66" s="9" t="s">
        <v>409</v>
      </c>
      <c r="E66" s="27" t="n">
        <v>9</v>
      </c>
      <c r="F66" s="21" t="n">
        <f aca="false">Price_and_Bridge!$C$19</f>
        <v>9</v>
      </c>
      <c r="G66" s="31" t="n">
        <f aca="false">IFERROR(IF(ISNUMBER(F66),F66-E66,"n/a"),"n/a")</f>
        <v>0</v>
      </c>
      <c r="H66" s="40" t="n">
        <v>0.500000001</v>
      </c>
      <c r="I66" s="35" t="str">
        <f aca="false">IFERROR(IF(ISNUMBER(F66),IF(ABS(F66-E66)&lt;=H66,"PASS","FAIL"),"FAIL"),"FAIL")</f>
        <v>PASS</v>
      </c>
    </row>
    <row r="67" customFormat="false" ht="15" hidden="false" customHeight="false" outlineLevel="0" collapsed="false">
      <c r="B67" s="36" t="n">
        <v>58</v>
      </c>
      <c r="C67" s="9" t="s">
        <v>351</v>
      </c>
      <c r="D67" s="9" t="s">
        <v>410</v>
      </c>
      <c r="E67" s="27" t="n">
        <v>12750000</v>
      </c>
      <c r="F67" s="21" t="n">
        <f aca="false">Price_and_Bridge!$C$20</f>
        <v>12750000</v>
      </c>
      <c r="G67" s="31" t="n">
        <f aca="false">IFERROR(IF(ISNUMBER(F67),F67-E67,"n/a"),"n/a")</f>
        <v>0</v>
      </c>
      <c r="H67" s="40" t="n">
        <v>0.500000001</v>
      </c>
      <c r="I67" s="35" t="str">
        <f aca="false">IFERROR(IF(ISNUMBER(F67),IF(ABS(F67-E67)&lt;=H67,"PASS","FAIL"),"FAIL"),"FAIL")</f>
        <v>PASS</v>
      </c>
    </row>
    <row r="68" customFormat="false" ht="15" hidden="false" customHeight="false" outlineLevel="0" collapsed="false">
      <c r="B68" s="36" t="n">
        <v>59</v>
      </c>
      <c r="C68" s="9" t="s">
        <v>351</v>
      </c>
      <c r="D68" s="9" t="s">
        <v>411</v>
      </c>
      <c r="E68" s="27" t="n">
        <v>177083</v>
      </c>
      <c r="F68" s="21" t="n">
        <f aca="false">Price_and_Bridge!$C$21</f>
        <v>177083.333333333</v>
      </c>
      <c r="G68" s="31" t="n">
        <f aca="false">IFERROR(IF(ISNUMBER(F68),F68-E68,"n/a"),"n/a")</f>
        <v>0.333333333343035</v>
      </c>
      <c r="H68" s="40" t="n">
        <v>0.500000001</v>
      </c>
      <c r="I68" s="35" t="str">
        <f aca="false">IFERROR(IF(ISNUMBER(F68),IF(ABS(F68-E68)&lt;=H68,"PASS","FAIL"),"FAIL"),"FAIL")</f>
        <v>PASS</v>
      </c>
    </row>
    <row r="69" customFormat="false" ht="15" hidden="false" customHeight="false" outlineLevel="0" collapsed="false">
      <c r="B69" s="36" t="n">
        <v>60</v>
      </c>
      <c r="C69" s="9" t="s">
        <v>351</v>
      </c>
      <c r="D69" s="9" t="s">
        <v>412</v>
      </c>
      <c r="E69" s="27" t="n">
        <v>650000</v>
      </c>
      <c r="F69" s="21" t="n">
        <f aca="false">Price_and_Bridge!$C$22</f>
        <v>650000</v>
      </c>
      <c r="G69" s="31" t="n">
        <f aca="false">IFERROR(IF(ISNUMBER(F69),F69-E69,"n/a"),"n/a")</f>
        <v>0</v>
      </c>
      <c r="H69" s="40" t="n">
        <v>0.500000001</v>
      </c>
      <c r="I69" s="35" t="str">
        <f aca="false">IFERROR(IF(ISNUMBER(F69),IF(ABS(F69-E69)&lt;=H69,"PASS","FAIL"),"FAIL"),"FAIL")</f>
        <v>PASS</v>
      </c>
    </row>
    <row r="70" customFormat="false" ht="15" hidden="false" customHeight="false" outlineLevel="0" collapsed="false">
      <c r="B70" s="36" t="n">
        <v>61</v>
      </c>
      <c r="C70" s="9" t="s">
        <v>351</v>
      </c>
      <c r="D70" s="9" t="s">
        <v>413</v>
      </c>
      <c r="E70" s="26" t="n">
        <v>0.054</v>
      </c>
      <c r="F70" s="22" t="n">
        <f aca="false">Price_and_Bridge!$C$23</f>
        <v>0.0537190082644627</v>
      </c>
      <c r="G70" s="31" t="n">
        <f aca="false">IFERROR(IF(ISNUMBER(F70),F70-E70,"n/a"),"n/a")</f>
        <v>-0.000280991735537271</v>
      </c>
      <c r="H70" s="40" t="n">
        <v>0.000500001</v>
      </c>
      <c r="I70" s="35" t="str">
        <f aca="false">IFERROR(IF(ISNUMBER(F70),IF(ABS(F70-E70)&lt;=H70,"PASS","FAIL"),"FAIL"),"FAIL")</f>
        <v>PASS</v>
      </c>
    </row>
    <row r="71" customFormat="false" ht="15" hidden="false" customHeight="false" outlineLevel="0" collapsed="false">
      <c r="B71" s="36" t="n">
        <v>62</v>
      </c>
      <c r="C71" s="9" t="s">
        <v>351</v>
      </c>
      <c r="D71" s="9" t="s">
        <v>414</v>
      </c>
      <c r="E71" s="27" t="n">
        <v>150000</v>
      </c>
      <c r="F71" s="21" t="n">
        <f aca="false">Price_and_Bridge!$C$26</f>
        <v>150000</v>
      </c>
      <c r="G71" s="31" t="n">
        <f aca="false">IFERROR(IF(ISNUMBER(F71),F71-E71,"n/a"),"n/a")</f>
        <v>0</v>
      </c>
      <c r="H71" s="40" t="n">
        <v>0.500000001</v>
      </c>
      <c r="I71" s="35" t="str">
        <f aca="false">IFERROR(IF(ISNUMBER(F71),IF(ABS(F71-E71)&lt;=H71,"PASS","FAIL"),"FAIL"),"FAIL")</f>
        <v>PASS</v>
      </c>
    </row>
    <row r="72" customFormat="false" ht="15" hidden="false" customHeight="false" outlineLevel="0" collapsed="false">
      <c r="B72" s="36" t="n">
        <v>63</v>
      </c>
      <c r="C72" s="9" t="s">
        <v>351</v>
      </c>
      <c r="D72" s="9" t="s">
        <v>415</v>
      </c>
      <c r="E72" s="27" t="n">
        <v>3400000</v>
      </c>
      <c r="F72" s="21" t="n">
        <f aca="false">Price_and_Bridge!$C$29</f>
        <v>3400000</v>
      </c>
      <c r="G72" s="31" t="n">
        <f aca="false">IFERROR(IF(ISNUMBER(F72),F72-E72,"n/a"),"n/a")</f>
        <v>0</v>
      </c>
      <c r="H72" s="40" t="n">
        <v>0.500000001</v>
      </c>
      <c r="I72" s="35" t="str">
        <f aca="false">IFERROR(IF(ISNUMBER(F72),IF(ABS(F72-E72)&lt;=H72,"PASS","FAIL"),"FAIL"),"FAIL")</f>
        <v>PASS</v>
      </c>
    </row>
    <row r="73" customFormat="false" ht="15" hidden="false" customHeight="false" outlineLevel="0" collapsed="false">
      <c r="B73" s="36" t="n">
        <v>64</v>
      </c>
      <c r="C73" s="9" t="s">
        <v>351</v>
      </c>
      <c r="D73" s="9" t="s">
        <v>416</v>
      </c>
      <c r="E73" s="20" t="n">
        <v>0.0475</v>
      </c>
      <c r="F73" s="41" t="n">
        <f aca="false">Price_and_Bridge!$C$30</f>
        <v>0.0475</v>
      </c>
      <c r="G73" s="31" t="n">
        <f aca="false">IFERROR(IF(ISNUMBER(F73),F73-E73,"n/a"),"n/a")</f>
        <v>0</v>
      </c>
      <c r="H73" s="40" t="n">
        <v>5.0001E-005</v>
      </c>
      <c r="I73" s="35" t="str">
        <f aca="false">IFERROR(IF(ISNUMBER(F73),IF(ABS(F73-E73)&lt;=H73,"PASS","FAIL"),"FAIL"),"FAIL")</f>
        <v>PASS</v>
      </c>
    </row>
    <row r="74" customFormat="false" ht="15" hidden="false" customHeight="false" outlineLevel="0" collapsed="false">
      <c r="B74" s="36" t="n">
        <v>65</v>
      </c>
      <c r="C74" s="9" t="s">
        <v>351</v>
      </c>
      <c r="D74" s="9" t="s">
        <v>417</v>
      </c>
      <c r="E74" s="27" t="n">
        <v>36</v>
      </c>
      <c r="F74" s="21" t="n">
        <f aca="false">Price_and_Bridge!$C$31</f>
        <v>36</v>
      </c>
      <c r="G74" s="31" t="n">
        <f aca="false">IFERROR(IF(ISNUMBER(F74),F74-E74,"n/a"),"n/a")</f>
        <v>0</v>
      </c>
      <c r="H74" s="40" t="n">
        <v>0.500000001</v>
      </c>
      <c r="I74" s="35" t="str">
        <f aca="false">IFERROR(IF(ISNUMBER(F74),IF(ABS(F74-E74)&lt;=H74,"PASS","FAIL"),"FAIL"),"FAIL")</f>
        <v>PASS</v>
      </c>
    </row>
    <row r="75" customFormat="false" ht="15" hidden="false" customHeight="false" outlineLevel="0" collapsed="false">
      <c r="B75" s="36" t="n">
        <v>66</v>
      </c>
      <c r="C75" s="9" t="s">
        <v>351</v>
      </c>
      <c r="D75" s="9" t="s">
        <v>418</v>
      </c>
      <c r="E75" s="20" t="n">
        <v>0.061</v>
      </c>
      <c r="F75" s="41" t="n">
        <f aca="false">Price_and_Bridge!$C$32</f>
        <v>0.061</v>
      </c>
      <c r="G75" s="31" t="n">
        <f aca="false">IFERROR(IF(ISNUMBER(F75),F75-E75,"n/a"),"n/a")</f>
        <v>0</v>
      </c>
      <c r="H75" s="40" t="n">
        <v>5.0001E-005</v>
      </c>
      <c r="I75" s="35" t="str">
        <f aca="false">IFERROR(IF(ISNUMBER(F75),IF(ABS(F75-E75)&lt;=H75,"PASS","FAIL"),"FAIL"),"FAIL")</f>
        <v>PASS</v>
      </c>
    </row>
    <row r="76" customFormat="false" ht="15" hidden="false" customHeight="false" outlineLevel="0" collapsed="false">
      <c r="B76" s="36" t="n">
        <v>67</v>
      </c>
      <c r="C76" s="9" t="s">
        <v>351</v>
      </c>
      <c r="D76" s="9" t="s">
        <v>419</v>
      </c>
      <c r="E76" s="20" t="n">
        <v>0.0135</v>
      </c>
      <c r="F76" s="41" t="n">
        <f aca="false">Price_and_Bridge!$C$33</f>
        <v>0.0135</v>
      </c>
      <c r="G76" s="31" t="n">
        <f aca="false">IFERROR(IF(ISNUMBER(F76),F76-E76,"n/a"),"n/a")</f>
        <v>0</v>
      </c>
      <c r="H76" s="40" t="n">
        <v>5.0001E-005</v>
      </c>
      <c r="I76" s="35" t="str">
        <f aca="false">IFERROR(IF(ISNUMBER(F76),IF(ABS(F76-E76)&lt;=H76,"PASS","FAIL"),"FAIL"),"FAIL")</f>
        <v>PASS</v>
      </c>
    </row>
    <row r="77" customFormat="false" ht="15" hidden="false" customHeight="false" outlineLevel="0" collapsed="false">
      <c r="B77" s="36" t="n">
        <v>68</v>
      </c>
      <c r="C77" s="9" t="s">
        <v>351</v>
      </c>
      <c r="D77" s="9" t="s">
        <v>420</v>
      </c>
      <c r="E77" s="27" t="n">
        <v>3825</v>
      </c>
      <c r="F77" s="21" t="n">
        <f aca="false">Price_and_Bridge!$C$34</f>
        <v>3825</v>
      </c>
      <c r="G77" s="31" t="n">
        <f aca="false">IFERROR(IF(ISNUMBER(F77),F77-E77,"n/a"),"n/a")</f>
        <v>0</v>
      </c>
      <c r="H77" s="40" t="n">
        <v>0.500000001</v>
      </c>
      <c r="I77" s="35" t="str">
        <f aca="false">IFERROR(IF(ISNUMBER(F77),IF(ABS(F77-E77)&lt;=H77,"PASS","FAIL"),"FAIL"),"FAIL")</f>
        <v>PASS</v>
      </c>
    </row>
    <row r="78" customFormat="false" ht="15" hidden="false" customHeight="false" outlineLevel="0" collapsed="false">
      <c r="B78" s="36" t="n">
        <v>69</v>
      </c>
      <c r="C78" s="9" t="s">
        <v>351</v>
      </c>
      <c r="D78" s="9" t="s">
        <v>421</v>
      </c>
      <c r="E78" s="27" t="n">
        <v>45900</v>
      </c>
      <c r="F78" s="21" t="n">
        <f aca="false">Price_and_Bridge!$C$35</f>
        <v>45900</v>
      </c>
      <c r="G78" s="31" t="n">
        <f aca="false">IFERROR(IF(ISNUMBER(F78),F78-E78,"n/a"),"n/a")</f>
        <v>0</v>
      </c>
      <c r="H78" s="40" t="n">
        <v>0.500000001</v>
      </c>
      <c r="I78" s="35" t="str">
        <f aca="false">IFERROR(IF(ISNUMBER(F78),IF(ABS(F78-E78)&lt;=H78,"PASS","FAIL"),"FAIL"),"FAIL")</f>
        <v>PASS</v>
      </c>
    </row>
    <row r="79" customFormat="false" ht="15" hidden="false" customHeight="false" outlineLevel="0" collapsed="false">
      <c r="B79" s="36" t="n">
        <v>70</v>
      </c>
      <c r="C79" s="9" t="s">
        <v>351</v>
      </c>
      <c r="D79" s="9" t="s">
        <v>422</v>
      </c>
      <c r="E79" s="28" t="n">
        <v>32.82</v>
      </c>
      <c r="F79" s="42" t="n">
        <f aca="false">Price_and_Bridge!$C$36</f>
        <v>32.8221090804869</v>
      </c>
      <c r="G79" s="31" t="n">
        <f aca="false">IFERROR(IF(ISNUMBER(F79),F79-E79,"n/a"),"n/a")</f>
        <v>0.0021090804869246</v>
      </c>
      <c r="H79" s="40" t="n">
        <v>0.005000001</v>
      </c>
      <c r="I79" s="35" t="str">
        <f aca="false">IFERROR(IF(ISNUMBER(F79),IF(ABS(F79-E79)&lt;=H79,"PASS","FAIL"),"FAIL"),"FAIL")</f>
        <v>PASS</v>
      </c>
    </row>
    <row r="80" customFormat="false" ht="15" hidden="false" customHeight="false" outlineLevel="0" collapsed="false">
      <c r="B80" s="36" t="n">
        <v>71</v>
      </c>
      <c r="C80" s="9" t="s">
        <v>351</v>
      </c>
      <c r="D80" s="9" t="s">
        <v>423</v>
      </c>
      <c r="E80" s="27" t="n">
        <v>125545</v>
      </c>
      <c r="F80" s="21" t="n">
        <f aca="false">Price_and_Bridge!$C$37</f>
        <v>125544.567232862</v>
      </c>
      <c r="G80" s="31" t="n">
        <f aca="false">IFERROR(IF(ISNUMBER(F80),F80-E80,"n/a"),"n/a")</f>
        <v>-0.432767137521296</v>
      </c>
      <c r="H80" s="40" t="n">
        <v>0.500000001</v>
      </c>
      <c r="I80" s="35" t="str">
        <f aca="false">IFERROR(IF(ISNUMBER(F80),IF(ABS(F80-E80)&lt;=H80,"PASS","FAIL"),"FAIL"),"FAIL")</f>
        <v>PASS</v>
      </c>
    </row>
    <row r="81" customFormat="false" ht="15" hidden="false" customHeight="false" outlineLevel="0" collapsed="false">
      <c r="B81" s="36" t="n">
        <v>72</v>
      </c>
      <c r="C81" s="9" t="s">
        <v>351</v>
      </c>
      <c r="D81" s="9" t="s">
        <v>424</v>
      </c>
      <c r="E81" s="26" t="n">
        <v>0.265</v>
      </c>
      <c r="F81" s="22" t="n">
        <f aca="false">Price_and_Bridge!$C$38</f>
        <v>0.264591439688716</v>
      </c>
      <c r="G81" s="31" t="n">
        <f aca="false">IFERROR(IF(ISNUMBER(F81),F81-E81,"n/a"),"n/a")</f>
        <v>-0.000408560311284056</v>
      </c>
      <c r="H81" s="40" t="n">
        <v>0.000500001</v>
      </c>
      <c r="I81" s="35" t="str">
        <f aca="false">IFERROR(IF(ISNUMBER(F81),IF(ABS(F81-E81)&lt;=H81,"PASS","FAIL"),"FAIL"),"FAIL")</f>
        <v>PASS</v>
      </c>
    </row>
    <row r="82" customFormat="false" ht="15" hidden="false" customHeight="false" outlineLevel="0" collapsed="false">
      <c r="B82" s="36" t="n">
        <v>73</v>
      </c>
      <c r="C82" s="9" t="s">
        <v>351</v>
      </c>
      <c r="D82" s="9" t="s">
        <v>425</v>
      </c>
      <c r="E82" s="27" t="n">
        <v>148000</v>
      </c>
      <c r="F82" s="21" t="n">
        <f aca="false">Price_and_Bridge!$C$41</f>
        <v>148000</v>
      </c>
      <c r="G82" s="31" t="n">
        <f aca="false">IFERROR(IF(ISNUMBER(F82),F82-E82,"n/a"),"n/a")</f>
        <v>0</v>
      </c>
      <c r="H82" s="40" t="n">
        <v>0.500000001</v>
      </c>
      <c r="I82" s="35" t="str">
        <f aca="false">IFERROR(IF(ISNUMBER(F82),IF(ABS(F82-E82)&lt;=H82,"PASS","FAIL"),"FAIL"),"FAIL")</f>
        <v>PASS</v>
      </c>
    </row>
    <row r="83" customFormat="false" ht="15" hidden="false" customHeight="false" outlineLevel="0" collapsed="false">
      <c r="B83" s="36" t="n">
        <v>74</v>
      </c>
      <c r="C83" s="9" t="s">
        <v>351</v>
      </c>
      <c r="D83" s="9" t="s">
        <v>426</v>
      </c>
      <c r="E83" s="27" t="n">
        <v>156400</v>
      </c>
      <c r="F83" s="21" t="n">
        <f aca="false">Price_and_Bridge!$C$42</f>
        <v>156400</v>
      </c>
      <c r="G83" s="31" t="n">
        <f aca="false">IFERROR(IF(ISNUMBER(F83),F83-E83,"n/a"),"n/a")</f>
        <v>0</v>
      </c>
      <c r="H83" s="40" t="n">
        <v>0.500000001</v>
      </c>
      <c r="I83" s="35" t="str">
        <f aca="false">IFERROR(IF(ISNUMBER(F83),IF(ABS(F83-E83)&lt;=H83,"PASS","FAIL"),"FAIL"),"FAIL")</f>
        <v>PASS</v>
      </c>
    </row>
    <row r="84" customFormat="false" ht="15" hidden="false" customHeight="false" outlineLevel="0" collapsed="false">
      <c r="B84" s="36" t="n">
        <v>75</v>
      </c>
      <c r="C84" s="9" t="s">
        <v>351</v>
      </c>
      <c r="D84" s="9" t="s">
        <v>427</v>
      </c>
      <c r="E84" s="27" t="n">
        <v>18</v>
      </c>
      <c r="F84" s="21" t="n">
        <f aca="false">Price_and_Bridge!$C$43</f>
        <v>18</v>
      </c>
      <c r="G84" s="31" t="n">
        <f aca="false">IFERROR(IF(ISNUMBER(F84),F84-E84,"n/a"),"n/a")</f>
        <v>0</v>
      </c>
      <c r="H84" s="40" t="n">
        <v>0.500000001</v>
      </c>
      <c r="I84" s="35" t="str">
        <f aca="false">IFERROR(IF(ISNUMBER(F84),IF(ABS(F84-E84)&lt;=H84,"PASS","FAIL"),"FAIL"),"FAIL")</f>
        <v>PASS</v>
      </c>
    </row>
    <row r="85" customFormat="false" ht="15" hidden="false" customHeight="false" outlineLevel="0" collapsed="false">
      <c r="B85" s="36" t="n">
        <v>76</v>
      </c>
      <c r="C85" s="9" t="s">
        <v>351</v>
      </c>
      <c r="D85" s="9" t="s">
        <v>428</v>
      </c>
      <c r="E85" s="20" t="n">
        <v>0.0031</v>
      </c>
      <c r="F85" s="41" t="n">
        <f aca="false">Price_and_Bridge!$C$44</f>
        <v>0.00307162749572432</v>
      </c>
      <c r="G85" s="31" t="n">
        <f aca="false">IFERROR(IF(ISNUMBER(F85),F85-E85,"n/a"),"n/a")</f>
        <v>-2.83725042756837E-005</v>
      </c>
      <c r="H85" s="40" t="n">
        <v>5.0001E-005</v>
      </c>
      <c r="I85" s="35" t="str">
        <f aca="false">IFERROR(IF(ISNUMBER(F85),IF(ABS(F85-E85)&lt;=H85,"PASS","FAIL"),"FAIL"),"FAIL")</f>
        <v>PASS</v>
      </c>
    </row>
    <row r="86" customFormat="false" ht="15" hidden="false" customHeight="false" outlineLevel="0" collapsed="false">
      <c r="B86" s="36" t="n">
        <v>77</v>
      </c>
      <c r="C86" s="9" t="s">
        <v>351</v>
      </c>
      <c r="D86" s="9" t="s">
        <v>429</v>
      </c>
      <c r="E86" s="20" t="n">
        <v>0.0025</v>
      </c>
      <c r="F86" s="41" t="n">
        <f aca="false">Price_and_Bridge!$C$45</f>
        <v>0.0025</v>
      </c>
      <c r="G86" s="31" t="n">
        <f aca="false">IFERROR(IF(ISNUMBER(F86),F86-E86,"n/a"),"n/a")</f>
        <v>0</v>
      </c>
      <c r="H86" s="40" t="n">
        <v>5.0001E-005</v>
      </c>
      <c r="I86" s="35" t="str">
        <f aca="false">IFERROR(IF(ISNUMBER(F86),IF(ABS(F86-E86)&lt;=H86,"PASS","FAIL"),"FAIL"),"FAIL")</f>
        <v>PASS</v>
      </c>
    </row>
    <row r="87" customFormat="false" ht="15" hidden="false" customHeight="false" outlineLevel="0" collapsed="false">
      <c r="B87" s="36" t="n">
        <v>78</v>
      </c>
      <c r="C87" s="9" t="s">
        <v>351</v>
      </c>
      <c r="D87" s="9" t="s">
        <v>430</v>
      </c>
      <c r="E87" s="43" t="n">
        <v>0.00057</v>
      </c>
      <c r="F87" s="44" t="n">
        <f aca="false">Price_and_Bridge!$C$46</f>
        <v>0.000571627495724316</v>
      </c>
      <c r="G87" s="31" t="n">
        <f aca="false">IFERROR(IF(ISNUMBER(F87),F87-E87,"n/a"),"n/a")</f>
        <v>1.62749572431612E-006</v>
      </c>
      <c r="H87" s="40" t="n">
        <v>5.001E-006</v>
      </c>
      <c r="I87" s="35" t="str">
        <f aca="false">IFERROR(IF(ISNUMBER(F87),IF(ABS(F87-E87)&lt;=H87,"PASS","FAIL"),"FAIL"),"FAIL")</f>
        <v>PASS</v>
      </c>
    </row>
    <row r="88" customFormat="false" ht="15" hidden="false" customHeight="false" outlineLevel="0" collapsed="false">
      <c r="B88" s="36" t="n">
        <v>79</v>
      </c>
      <c r="C88" s="9" t="s">
        <v>351</v>
      </c>
      <c r="D88" s="9" t="s">
        <v>431</v>
      </c>
      <c r="E88" s="27" t="n">
        <v>3</v>
      </c>
      <c r="F88" s="21" t="n">
        <f aca="false">Price_and_Bridge!$C$48</f>
        <v>3</v>
      </c>
      <c r="G88" s="31" t="n">
        <f aca="false">IFERROR(IF(ISNUMBER(F88),F88-E88,"n/a"),"n/a")</f>
        <v>0</v>
      </c>
      <c r="H88" s="40" t="n">
        <v>0.500000001</v>
      </c>
      <c r="I88" s="35" t="str">
        <f aca="false">IFERROR(IF(ISNUMBER(F88),IF(ABS(F88-E88)&lt;=H88,"PASS","FAIL"),"FAIL"),"FAIL")</f>
        <v>PASS</v>
      </c>
    </row>
    <row r="89" customFormat="false" ht="15" hidden="false" customHeight="false" outlineLevel="0" collapsed="false">
      <c r="B89" s="36" t="n">
        <v>80</v>
      </c>
      <c r="C89" s="9" t="s">
        <v>351</v>
      </c>
      <c r="D89" s="9" t="s">
        <v>432</v>
      </c>
      <c r="E89" s="27" t="n">
        <v>8</v>
      </c>
      <c r="F89" s="21" t="n">
        <f aca="false">Price_and_Bridge!$C$49</f>
        <v>8</v>
      </c>
      <c r="G89" s="31" t="n">
        <f aca="false">IFERROR(IF(ISNUMBER(F89),F89-E89,"n/a"),"n/a")</f>
        <v>0</v>
      </c>
      <c r="H89" s="40" t="n">
        <v>0.500000001</v>
      </c>
      <c r="I89" s="35" t="str">
        <f aca="false">IFERROR(IF(ISNUMBER(F89),IF(ABS(F89-E89)&lt;=H89,"PASS","FAIL"),"FAIL"),"FAIL")</f>
        <v>PASS</v>
      </c>
    </row>
    <row r="90" customFormat="false" ht="15" hidden="false" customHeight="false" outlineLevel="0" collapsed="false">
      <c r="B90" s="36" t="n">
        <v>81</v>
      </c>
      <c r="C90" s="9" t="s">
        <v>351</v>
      </c>
      <c r="D90" s="9" t="s">
        <v>433</v>
      </c>
      <c r="E90" s="27" t="n">
        <v>11</v>
      </c>
      <c r="F90" s="21" t="n">
        <f aca="false">Price_and_Bridge!$C$50</f>
        <v>11</v>
      </c>
      <c r="G90" s="31" t="n">
        <f aca="false">IFERROR(IF(ISNUMBER(F90),F90-E90,"n/a"),"n/a")</f>
        <v>0</v>
      </c>
      <c r="H90" s="40" t="n">
        <v>0.500000001</v>
      </c>
      <c r="I90" s="35" t="str">
        <f aca="false">IFERROR(IF(ISNUMBER(F90),IF(ABS(F90-E90)&lt;=H90,"PASS","FAIL"),"FAIL"),"FAIL")</f>
        <v>PASS</v>
      </c>
    </row>
    <row r="91" customFormat="false" ht="15" hidden="false" customHeight="false" outlineLevel="0" collapsed="false">
      <c r="B91" s="36" t="n">
        <v>82</v>
      </c>
      <c r="C91" s="9" t="s">
        <v>351</v>
      </c>
      <c r="D91" s="9" t="s">
        <v>434</v>
      </c>
      <c r="E91" s="27" t="n">
        <v>5</v>
      </c>
      <c r="F91" s="21" t="n">
        <f aca="false">Price_and_Bridge!$C$51</f>
        <v>5</v>
      </c>
      <c r="G91" s="31" t="n">
        <f aca="false">IFERROR(IF(ISNUMBER(F91),F91-E91,"n/a"),"n/a")</f>
        <v>0</v>
      </c>
      <c r="H91" s="40" t="n">
        <v>0.500000001</v>
      </c>
      <c r="I91" s="35" t="str">
        <f aca="false">IFERROR(IF(ISNUMBER(F91),IF(ABS(F91-E91)&lt;=H91,"PASS","FAIL"),"FAIL"),"FAIL")</f>
        <v>PASS</v>
      </c>
    </row>
    <row r="92" customFormat="false" ht="15" hidden="false" customHeight="false" outlineLevel="0" collapsed="false">
      <c r="B92" s="36" t="n">
        <v>83</v>
      </c>
      <c r="C92" s="9" t="s">
        <v>351</v>
      </c>
      <c r="D92" s="9" t="s">
        <v>435</v>
      </c>
      <c r="E92" s="27" t="n">
        <v>14</v>
      </c>
      <c r="F92" s="21" t="n">
        <f aca="false">Price_and_Bridge!$C$52</f>
        <v>14</v>
      </c>
      <c r="G92" s="31" t="n">
        <f aca="false">IFERROR(IF(ISNUMBER(F92),F92-E92,"n/a"),"n/a")</f>
        <v>0</v>
      </c>
      <c r="H92" s="40" t="n">
        <v>0.500000001</v>
      </c>
      <c r="I92" s="35" t="str">
        <f aca="false">IFERROR(IF(ISNUMBER(F92),IF(ABS(F92-E92)&lt;=H92,"PASS","FAIL"),"FAIL"),"FAIL")</f>
        <v>PASS</v>
      </c>
    </row>
    <row r="93" customFormat="false" ht="15" hidden="false" customHeight="false" outlineLevel="0" collapsed="false">
      <c r="B93" s="36" t="n">
        <v>84</v>
      </c>
      <c r="C93" s="9" t="s">
        <v>351</v>
      </c>
      <c r="D93" s="9" t="s">
        <v>436</v>
      </c>
      <c r="E93" s="45" t="n">
        <v>8.2</v>
      </c>
      <c r="F93" s="46" t="n">
        <f aca="false">Price_and_Bridge!$C$53</f>
        <v>8.2</v>
      </c>
      <c r="G93" s="31" t="n">
        <f aca="false">IFERROR(IF(ISNUMBER(F93),F93-E93,"n/a"),"n/a")</f>
        <v>0</v>
      </c>
      <c r="H93" s="40" t="n">
        <v>0.050000001</v>
      </c>
      <c r="I93" s="35" t="str">
        <f aca="false">IFERROR(IF(ISNUMBER(F93),IF(ABS(F93-E93)&lt;=H93,"PASS","FAIL"),"FAIL"),"FAIL")</f>
        <v>PASS</v>
      </c>
    </row>
    <row r="94" customFormat="false" ht="15" hidden="false" customHeight="false" outlineLevel="0" collapsed="false">
      <c r="B94" s="36" t="n">
        <v>85</v>
      </c>
      <c r="C94" s="9" t="s">
        <v>351</v>
      </c>
      <c r="D94" s="9" t="s">
        <v>437</v>
      </c>
      <c r="E94" s="20" t="n">
        <v>0.0047</v>
      </c>
      <c r="F94" s="41" t="n">
        <f aca="false">Price_and_Bridge!$C$54</f>
        <v>0.00468734546493939</v>
      </c>
      <c r="G94" s="31" t="n">
        <f aca="false">IFERROR(IF(ISNUMBER(F94),F94-E94,"n/a"),"n/a")</f>
        <v>-1.26545350606078E-005</v>
      </c>
      <c r="H94" s="40" t="n">
        <v>5.0001E-005</v>
      </c>
      <c r="I94" s="35" t="str">
        <f aca="false">IFERROR(IF(ISNUMBER(F94),IF(ABS(F94-E94)&lt;=H94,"PASS","FAIL"),"FAIL"),"FAIL")</f>
        <v>PASS</v>
      </c>
    </row>
    <row r="95" customFormat="false" ht="15" hidden="false" customHeight="false" outlineLevel="0" collapsed="false">
      <c r="B95" s="36" t="n">
        <v>86</v>
      </c>
      <c r="C95" s="9" t="s">
        <v>351</v>
      </c>
      <c r="D95" s="9" t="s">
        <v>438</v>
      </c>
      <c r="E95" s="27" t="n">
        <v>56717</v>
      </c>
      <c r="F95" s="21" t="n">
        <f aca="false">Price_and_Bridge!$C$55</f>
        <v>56716.8801257666</v>
      </c>
      <c r="G95" s="31" t="n">
        <f aca="false">IFERROR(IF(ISNUMBER(F95),F95-E95,"n/a"),"n/a")</f>
        <v>-0.119874233365408</v>
      </c>
      <c r="H95" s="40" t="n">
        <v>0.500000001</v>
      </c>
      <c r="I95" s="35" t="str">
        <f aca="false">IFERROR(IF(ISNUMBER(F95),IF(ABS(F95-E95)&lt;=H95,"PASS","FAIL"),"FAIL"),"FAIL")</f>
        <v>PASS</v>
      </c>
    </row>
    <row r="96" customFormat="false" ht="15" hidden="false" customHeight="false" outlineLevel="0" collapsed="false">
      <c r="B96" s="36" t="n">
        <v>87</v>
      </c>
      <c r="C96" s="9" t="s">
        <v>351</v>
      </c>
      <c r="D96" s="9" t="s">
        <v>439</v>
      </c>
      <c r="E96" s="27" t="n">
        <v>1157328</v>
      </c>
      <c r="F96" s="21" t="n">
        <f aca="false">Price_and_Bridge!$C$58</f>
        <v>1157328</v>
      </c>
      <c r="G96" s="31" t="n">
        <f aca="false">IFERROR(IF(ISNUMBER(F96),F96-E96,"n/a"),"n/a")</f>
        <v>0</v>
      </c>
      <c r="H96" s="40" t="n">
        <v>0.500000001</v>
      </c>
      <c r="I96" s="35" t="str">
        <f aca="false">IFERROR(IF(ISNUMBER(F96),IF(ABS(F96-E96)&lt;=H96,"PASS","FAIL"),"FAIL"),"FAIL")</f>
        <v>PASS</v>
      </c>
    </row>
    <row r="97" customFormat="false" ht="15" hidden="false" customHeight="false" outlineLevel="0" collapsed="false">
      <c r="B97" s="36" t="n">
        <v>88</v>
      </c>
      <c r="C97" s="9" t="s">
        <v>351</v>
      </c>
      <c r="D97" s="9" t="s">
        <v>440</v>
      </c>
      <c r="E97" s="26" t="n">
        <v>0.03</v>
      </c>
      <c r="F97" s="22" t="n">
        <f aca="false">Price_and_Bridge!$C$60</f>
        <v>0.03</v>
      </c>
      <c r="G97" s="31" t="n">
        <f aca="false">IFERROR(IF(ISNUMBER(F97),F97-E97,"n/a"),"n/a")</f>
        <v>0</v>
      </c>
      <c r="H97" s="40" t="n">
        <v>0.000500001</v>
      </c>
      <c r="I97" s="35" t="str">
        <f aca="false">IFERROR(IF(ISNUMBER(F97),IF(ABS(F97-E97)&lt;=H97,"PASS","FAIL"),"FAIL"),"FAIL")</f>
        <v>PASS</v>
      </c>
    </row>
    <row r="98" customFormat="false" ht="15" hidden="false" customHeight="false" outlineLevel="0" collapsed="false">
      <c r="B98" s="36" t="n">
        <v>89</v>
      </c>
      <c r="C98" s="9" t="s">
        <v>351</v>
      </c>
      <c r="D98" s="9" t="s">
        <v>441</v>
      </c>
      <c r="E98" s="27" t="n">
        <v>5787</v>
      </c>
      <c r="F98" s="21" t="n">
        <f aca="false">Price_and_Bridge!$C$61</f>
        <v>5786.64000000001</v>
      </c>
      <c r="G98" s="31" t="n">
        <f aca="false">IFERROR(IF(ISNUMBER(F98),F98-E98,"n/a"),"n/a")</f>
        <v>-0.359999999995125</v>
      </c>
      <c r="H98" s="40" t="n">
        <v>0.500000001</v>
      </c>
      <c r="I98" s="35" t="str">
        <f aca="false">IFERROR(IF(ISNUMBER(F98),IF(ABS(F98-E98)&lt;=H98,"PASS","FAIL"),"FAIL"),"FAIL")</f>
        <v>PASS</v>
      </c>
    </row>
    <row r="99" customFormat="false" ht="15" hidden="false" customHeight="false" outlineLevel="0" collapsed="false">
      <c r="B99" s="36" t="n">
        <v>90</v>
      </c>
      <c r="C99" s="9" t="s">
        <v>351</v>
      </c>
      <c r="D99" s="9" t="s">
        <v>442</v>
      </c>
      <c r="E99" s="27" t="n">
        <v>650</v>
      </c>
      <c r="F99" s="21" t="n">
        <f aca="false">Price_and_Bridge!$C$62</f>
        <v>650</v>
      </c>
      <c r="G99" s="31" t="n">
        <f aca="false">IFERROR(IF(ISNUMBER(F99),F99-E99,"n/a"),"n/a")</f>
        <v>0</v>
      </c>
      <c r="H99" s="40" t="n">
        <v>0.500000001</v>
      </c>
      <c r="I99" s="35" t="str">
        <f aca="false">IFERROR(IF(ISNUMBER(F99),IF(ABS(F99-E99)&lt;=H99,"PASS","FAIL"),"FAIL"),"FAIL")</f>
        <v>PASS</v>
      </c>
    </row>
    <row r="100" customFormat="false" ht="15" hidden="false" customHeight="false" outlineLevel="0" collapsed="false">
      <c r="B100" s="36" t="n">
        <v>91</v>
      </c>
      <c r="C100" s="9" t="s">
        <v>351</v>
      </c>
      <c r="D100" s="9" t="s">
        <v>443</v>
      </c>
      <c r="E100" s="27" t="n">
        <v>600</v>
      </c>
      <c r="F100" s="21" t="n">
        <f aca="false">Price_and_Bridge!$C$63</f>
        <v>600</v>
      </c>
      <c r="G100" s="31" t="n">
        <f aca="false">IFERROR(IF(ISNUMBER(F100),F100-E100,"n/a"),"n/a")</f>
        <v>0</v>
      </c>
      <c r="H100" s="40" t="n">
        <v>0.500000001</v>
      </c>
      <c r="I100" s="35" t="str">
        <f aca="false">IFERROR(IF(ISNUMBER(F100),IF(ABS(F100-E100)&lt;=H100,"PASS","FAIL"),"FAIL"),"FAIL")</f>
        <v>PASS</v>
      </c>
    </row>
    <row r="101" customFormat="false" ht="15" hidden="false" customHeight="false" outlineLevel="0" collapsed="false">
      <c r="B101" s="36" t="n">
        <v>92</v>
      </c>
      <c r="C101" s="9" t="s">
        <v>351</v>
      </c>
      <c r="D101" s="9" t="s">
        <v>444</v>
      </c>
      <c r="E101" s="27" t="n">
        <v>3600</v>
      </c>
      <c r="F101" s="21" t="n">
        <f aca="false">Price_and_Bridge!$C$64</f>
        <v>3600</v>
      </c>
      <c r="G101" s="31" t="n">
        <f aca="false">IFERROR(IF(ISNUMBER(F101),F101-E101,"n/a"),"n/a")</f>
        <v>0</v>
      </c>
      <c r="H101" s="40" t="n">
        <v>0.500000001</v>
      </c>
      <c r="I101" s="35" t="str">
        <f aca="false">IFERROR(IF(ISNUMBER(F101),IF(ABS(F101-E101)&lt;=H101,"PASS","FAIL"),"FAIL"),"FAIL")</f>
        <v>PASS</v>
      </c>
    </row>
    <row r="102" customFormat="false" ht="15" hidden="false" customHeight="false" outlineLevel="0" collapsed="false">
      <c r="B102" s="36" t="n">
        <v>93</v>
      </c>
      <c r="C102" s="9" t="s">
        <v>351</v>
      </c>
      <c r="D102" s="9" t="s">
        <v>445</v>
      </c>
      <c r="E102" s="27" t="n">
        <v>9387</v>
      </c>
      <c r="F102" s="21" t="n">
        <f aca="false">Price_and_Bridge!$C$65</f>
        <v>9386.64000000001</v>
      </c>
      <c r="G102" s="31" t="n">
        <f aca="false">IFERROR(IF(ISNUMBER(F102),F102-E102,"n/a"),"n/a")</f>
        <v>-0.359999999995125</v>
      </c>
      <c r="H102" s="40" t="n">
        <v>0.500000001</v>
      </c>
      <c r="I102" s="35" t="str">
        <f aca="false">IFERROR(IF(ISNUMBER(F102),IF(ABS(F102-E102)&lt;=H102,"PASS","FAIL"),"FAIL"),"FAIL")</f>
        <v>PASS</v>
      </c>
    </row>
    <row r="103" customFormat="false" ht="15" hidden="false" customHeight="false" outlineLevel="0" collapsed="false">
      <c r="B103" s="36" t="n">
        <v>94</v>
      </c>
      <c r="C103" s="9" t="s">
        <v>351</v>
      </c>
      <c r="D103" s="9" t="s">
        <v>446</v>
      </c>
      <c r="E103" s="20" t="n">
        <v>0.0575</v>
      </c>
      <c r="F103" s="41" t="n">
        <f aca="false">Price_and_Bridge!$C$66</f>
        <v>0.0575</v>
      </c>
      <c r="G103" s="31" t="n">
        <f aca="false">IFERROR(IF(ISNUMBER(F103),F103-E103,"n/a"),"n/a")</f>
        <v>0</v>
      </c>
      <c r="H103" s="40" t="n">
        <v>5.0001E-005</v>
      </c>
      <c r="I103" s="35" t="str">
        <f aca="false">IFERROR(IF(ISNUMBER(F103),IF(ABS(F103-E103)&lt;=H103,"PASS","FAIL"),"FAIL"),"FAIL")</f>
        <v>PASS</v>
      </c>
    </row>
    <row r="104" customFormat="false" ht="15" hidden="false" customHeight="false" outlineLevel="0" collapsed="false">
      <c r="B104" s="36" t="n">
        <v>95</v>
      </c>
      <c r="C104" s="9" t="s">
        <v>351</v>
      </c>
      <c r="D104" s="9" t="s">
        <v>447</v>
      </c>
      <c r="E104" s="27" t="n">
        <v>163246</v>
      </c>
      <c r="F104" s="21" t="n">
        <f aca="false">Price_and_Bridge!$C$67</f>
        <v>163245.913043478</v>
      </c>
      <c r="G104" s="31" t="n">
        <f aca="false">IFERROR(IF(ISNUMBER(F104),F104-E104,"n/a"),"n/a")</f>
        <v>-0.0869565216707997</v>
      </c>
      <c r="H104" s="40" t="n">
        <v>0.500000001</v>
      </c>
      <c r="I104" s="35" t="str">
        <f aca="false">IFERROR(IF(ISNUMBER(F104),IF(ABS(F104-E104)&lt;=H104,"PASS","FAIL"),"FAIL"),"FAIL")</f>
        <v>PASS</v>
      </c>
    </row>
    <row r="105" customFormat="false" ht="15" hidden="false" customHeight="false" outlineLevel="0" collapsed="false">
      <c r="B105" s="36" t="n">
        <v>96</v>
      </c>
      <c r="C105" s="9" t="s">
        <v>351</v>
      </c>
      <c r="D105" s="9" t="s">
        <v>448</v>
      </c>
      <c r="E105" s="27" t="n">
        <v>20</v>
      </c>
      <c r="F105" s="21" t="n">
        <f aca="false">Price_and_Bridge!$C$70</f>
        <v>20</v>
      </c>
      <c r="G105" s="31" t="n">
        <f aca="false">IFERROR(IF(ISNUMBER(F105),F105-E105,"n/a"),"n/a")</f>
        <v>0</v>
      </c>
      <c r="H105" s="40" t="n">
        <v>0.500000001</v>
      </c>
      <c r="I105" s="35" t="str">
        <f aca="false">IFERROR(IF(ISNUMBER(F105),IF(ABS(F105-E105)&lt;=H105,"PASS","FAIL"),"FAIL"),"FAIL")</f>
        <v>PASS</v>
      </c>
    </row>
    <row r="106" customFormat="false" ht="15" hidden="false" customHeight="false" outlineLevel="0" collapsed="false">
      <c r="B106" s="36" t="n">
        <v>97</v>
      </c>
      <c r="C106" s="9" t="s">
        <v>351</v>
      </c>
      <c r="D106" s="9" t="s">
        <v>449</v>
      </c>
      <c r="E106" s="27" t="n">
        <v>7500</v>
      </c>
      <c r="F106" s="21" t="n">
        <f aca="false">Price_and_Bridge!$C$71</f>
        <v>7500</v>
      </c>
      <c r="G106" s="31" t="n">
        <f aca="false">IFERROR(IF(ISNUMBER(F106),F106-E106,"n/a"),"n/a")</f>
        <v>0</v>
      </c>
      <c r="H106" s="40" t="n">
        <v>0.500000001</v>
      </c>
      <c r="I106" s="35" t="str">
        <f aca="false">IFERROR(IF(ISNUMBER(F106),IF(ABS(F106-E106)&lt;=H106,"PASS","FAIL"),"FAIL"),"FAIL")</f>
        <v>PASS</v>
      </c>
    </row>
    <row r="107" customFormat="false" ht="15" hidden="false" customHeight="false" outlineLevel="0" collapsed="false">
      <c r="B107" s="36" t="n">
        <v>98</v>
      </c>
      <c r="C107" s="9" t="s">
        <v>351</v>
      </c>
      <c r="D107" s="9" t="s">
        <v>450</v>
      </c>
      <c r="E107" s="27" t="n">
        <v>90</v>
      </c>
      <c r="F107" s="21" t="n">
        <f aca="false">Price_and_Bridge!$C$72</f>
        <v>90</v>
      </c>
      <c r="G107" s="31" t="n">
        <f aca="false">IFERROR(IF(ISNUMBER(F107),F107-E107,"n/a"),"n/a")</f>
        <v>0</v>
      </c>
      <c r="H107" s="40" t="n">
        <v>0.500000001</v>
      </c>
      <c r="I107" s="35" t="str">
        <f aca="false">IFERROR(IF(ISNUMBER(F107),IF(ABS(F107-E107)&lt;=H107,"PASS","FAIL"),"FAIL"),"FAIL")</f>
        <v>PASS</v>
      </c>
    </row>
    <row r="108" customFormat="false" ht="15" hidden="false" customHeight="false" outlineLevel="0" collapsed="false">
      <c r="B108" s="36" t="n">
        <v>99</v>
      </c>
      <c r="C108" s="9" t="s">
        <v>351</v>
      </c>
      <c r="D108" s="9" t="s">
        <v>451</v>
      </c>
      <c r="E108" s="27" t="n">
        <v>65</v>
      </c>
      <c r="F108" s="21" t="n">
        <f aca="false">Price_and_Bridge!$C$73</f>
        <v>65</v>
      </c>
      <c r="G108" s="31" t="n">
        <f aca="false">IFERROR(IF(ISNUMBER(F108),F108-E108,"n/a"),"n/a")</f>
        <v>0</v>
      </c>
      <c r="H108" s="40" t="n">
        <v>0.500000001</v>
      </c>
      <c r="I108" s="35" t="str">
        <f aca="false">IFERROR(IF(ISNUMBER(F108),IF(ABS(F108-E108)&lt;=H108,"PASS","FAIL"),"FAIL"),"FAIL")</f>
        <v>PASS</v>
      </c>
    </row>
    <row r="109" customFormat="false" ht="15" hidden="false" customHeight="false" outlineLevel="0" collapsed="false">
      <c r="B109" s="36" t="n">
        <v>100</v>
      </c>
      <c r="C109" s="9" t="s">
        <v>351</v>
      </c>
      <c r="D109" s="9" t="s">
        <v>452</v>
      </c>
      <c r="E109" s="27" t="n">
        <v>25</v>
      </c>
      <c r="F109" s="21" t="n">
        <f aca="false">Price_and_Bridge!$C$74</f>
        <v>25</v>
      </c>
      <c r="G109" s="31" t="n">
        <f aca="false">IFERROR(IF(ISNUMBER(F109),F109-E109,"n/a"),"n/a")</f>
        <v>0</v>
      </c>
      <c r="H109" s="40" t="n">
        <v>0.500000001</v>
      </c>
      <c r="I109" s="35" t="str">
        <f aca="false">IFERROR(IF(ISNUMBER(F109),IF(ABS(F109-E109)&lt;=H109,"PASS","FAIL"),"FAIL"),"FAIL")</f>
        <v>PASS</v>
      </c>
    </row>
    <row r="110" customFormat="false" ht="15" hidden="false" customHeight="false" outlineLevel="0" collapsed="false">
      <c r="B110" s="36" t="n">
        <v>101</v>
      </c>
      <c r="C110" s="9" t="s">
        <v>351</v>
      </c>
      <c r="D110" s="9" t="s">
        <v>453</v>
      </c>
      <c r="E110" s="27" t="n">
        <v>150000</v>
      </c>
      <c r="F110" s="21" t="n">
        <f aca="false">Price_and_Bridge!$C$75</f>
        <v>150000</v>
      </c>
      <c r="G110" s="31" t="n">
        <f aca="false">IFERROR(IF(ISNUMBER(F110),F110-E110,"n/a"),"n/a")</f>
        <v>0</v>
      </c>
      <c r="H110" s="40" t="n">
        <v>0.500000001</v>
      </c>
      <c r="I110" s="35" t="str">
        <f aca="false">IFERROR(IF(ISNUMBER(F110),IF(ABS(F110-E110)&lt;=H110,"PASS","FAIL"),"FAIL"),"FAIL")</f>
        <v>PASS</v>
      </c>
    </row>
    <row r="111" customFormat="false" ht="15" hidden="false" customHeight="false" outlineLevel="0" collapsed="false">
      <c r="B111" s="36" t="n">
        <v>102</v>
      </c>
      <c r="C111" s="9" t="s">
        <v>351</v>
      </c>
      <c r="D111" s="9" t="s">
        <v>454</v>
      </c>
      <c r="E111" s="27" t="n">
        <v>21600</v>
      </c>
      <c r="F111" s="21" t="n">
        <f aca="false">Price_and_Bridge!$C$76</f>
        <v>21600</v>
      </c>
      <c r="G111" s="31" t="n">
        <f aca="false">IFERROR(IF(ISNUMBER(F111),F111-E111,"n/a"),"n/a")</f>
        <v>0</v>
      </c>
      <c r="H111" s="40" t="n">
        <v>0.500000001</v>
      </c>
      <c r="I111" s="35" t="str">
        <f aca="false">IFERROR(IF(ISNUMBER(F111),IF(ABS(F111-E111)&lt;=H111,"PASS","FAIL"),"FAIL"),"FAIL")</f>
        <v>PASS</v>
      </c>
    </row>
    <row r="112" customFormat="false" ht="15" hidden="false" customHeight="false" outlineLevel="0" collapsed="false">
      <c r="B112" s="36" t="n">
        <v>103</v>
      </c>
      <c r="C112" s="9" t="s">
        <v>351</v>
      </c>
      <c r="D112" s="9" t="s">
        <v>455</v>
      </c>
      <c r="E112" s="27" t="n">
        <v>375652</v>
      </c>
      <c r="F112" s="21" t="n">
        <f aca="false">Price_and_Bridge!$C$77</f>
        <v>375652.173913043</v>
      </c>
      <c r="G112" s="31" t="n">
        <f aca="false">IFERROR(IF(ISNUMBER(F112),F112-E112,"n/a"),"n/a")</f>
        <v>0.173913043458015</v>
      </c>
      <c r="H112" s="40" t="n">
        <v>0.500000001</v>
      </c>
      <c r="I112" s="35" t="str">
        <f aca="false">IFERROR(IF(ISNUMBER(F112),IF(ABS(F112-E112)&lt;=H112,"PASS","FAIL"),"FAIL"),"FAIL")</f>
        <v>PASS</v>
      </c>
    </row>
    <row r="113" customFormat="false" ht="15" hidden="false" customHeight="false" outlineLevel="0" collapsed="false">
      <c r="B113" s="36" t="n">
        <v>104</v>
      </c>
      <c r="C113" s="9" t="s">
        <v>351</v>
      </c>
      <c r="D113" s="9" t="s">
        <v>456</v>
      </c>
      <c r="E113" s="27" t="n">
        <v>225652</v>
      </c>
      <c r="F113" s="21" t="n">
        <f aca="false">Price_and_Bridge!$C$78</f>
        <v>225652.173913043</v>
      </c>
      <c r="G113" s="31" t="n">
        <f aca="false">IFERROR(IF(ISNUMBER(F113),F113-E113,"n/a"),"n/a")</f>
        <v>0.173913043458015</v>
      </c>
      <c r="H113" s="40" t="n">
        <v>0.500000001</v>
      </c>
      <c r="I113" s="35" t="str">
        <f aca="false">IFERROR(IF(ISNUMBER(F113),IF(ABS(F113-E113)&lt;=H113,"PASS","FAIL"),"FAIL"),"FAIL")</f>
        <v>PASS</v>
      </c>
    </row>
    <row r="114" customFormat="false" ht="15" hidden="false" customHeight="false" outlineLevel="0" collapsed="false">
      <c r="B114" s="36" t="n">
        <v>105</v>
      </c>
      <c r="C114" s="9" t="s">
        <v>351</v>
      </c>
      <c r="D114" s="9" t="s">
        <v>457</v>
      </c>
      <c r="E114" s="15" t="n">
        <v>0.25</v>
      </c>
      <c r="F114" s="19" t="n">
        <f aca="false">Price_and_Bridge!$C$79</f>
        <v>0.25</v>
      </c>
      <c r="G114" s="31" t="n">
        <f aca="false">IFERROR(IF(ISNUMBER(F114),F114-E114,"n/a"),"n/a")</f>
        <v>0</v>
      </c>
      <c r="H114" s="40" t="n">
        <v>0.005000001</v>
      </c>
      <c r="I114" s="35" t="str">
        <f aca="false">IFERROR(IF(ISNUMBER(F114),IF(ABS(F114-E114)&lt;=H114,"PASS","FAIL"),"FAIL"),"FAIL")</f>
        <v>PASS</v>
      </c>
    </row>
    <row r="115" customFormat="false" ht="15" hidden="false" customHeight="false" outlineLevel="0" collapsed="false">
      <c r="B115" s="36" t="n">
        <v>106</v>
      </c>
      <c r="C115" s="9" t="s">
        <v>351</v>
      </c>
      <c r="D115" s="9" t="s">
        <v>458</v>
      </c>
      <c r="E115" s="27" t="n">
        <v>56413</v>
      </c>
      <c r="F115" s="21" t="n">
        <f aca="false">Price_and_Bridge!$C$80</f>
        <v>56413.0434782609</v>
      </c>
      <c r="G115" s="31" t="n">
        <f aca="false">IFERROR(IF(ISNUMBER(F115),F115-E115,"n/a"),"n/a")</f>
        <v>0.0434782608645037</v>
      </c>
      <c r="H115" s="40" t="n">
        <v>0.500000001</v>
      </c>
      <c r="I115" s="35" t="str">
        <f aca="false">IFERROR(IF(ISNUMBER(F115),IF(ABS(F115-E115)&lt;=H115,"PASS","FAIL"),"FAIL"),"FAIL")</f>
        <v>PASS</v>
      </c>
    </row>
    <row r="116" customFormat="false" ht="15" hidden="false" customHeight="false" outlineLevel="0" collapsed="false">
      <c r="B116" s="36" t="n">
        <v>107</v>
      </c>
      <c r="C116" s="9" t="s">
        <v>351</v>
      </c>
      <c r="D116" s="9" t="s">
        <v>459</v>
      </c>
      <c r="E116" s="27" t="n">
        <v>15000</v>
      </c>
      <c r="F116" s="21" t="n">
        <f aca="false">Price_and_Bridge!$C$83</f>
        <v>15000</v>
      </c>
      <c r="G116" s="31" t="n">
        <f aca="false">IFERROR(IF(ISNUMBER(F116),F116-E116,"n/a"),"n/a")</f>
        <v>0</v>
      </c>
      <c r="H116" s="40" t="n">
        <v>0.500000001</v>
      </c>
      <c r="I116" s="35" t="str">
        <f aca="false">IFERROR(IF(ISNUMBER(F116),IF(ABS(F116-E116)&lt;=H116,"PASS","FAIL"),"FAIL"),"FAIL")</f>
        <v>PASS</v>
      </c>
    </row>
    <row r="117" customFormat="false" ht="15" hidden="false" customHeight="false" outlineLevel="0" collapsed="false">
      <c r="B117" s="36" t="n">
        <v>108</v>
      </c>
      <c r="C117" s="9" t="s">
        <v>351</v>
      </c>
      <c r="D117" s="9" t="s">
        <v>460</v>
      </c>
      <c r="E117" s="27" t="n">
        <v>260870</v>
      </c>
      <c r="F117" s="21" t="n">
        <f aca="false">Price_and_Bridge!$C$84</f>
        <v>260869.565217391</v>
      </c>
      <c r="G117" s="31" t="n">
        <f aca="false">IFERROR(IF(ISNUMBER(F117),F117-E117,"n/a"),"n/a")</f>
        <v>-0.434782608703245</v>
      </c>
      <c r="H117" s="40" t="n">
        <v>0.500000001</v>
      </c>
      <c r="I117" s="35" t="str">
        <f aca="false">IFERROR(IF(ISNUMBER(F117),IF(ABS(F117-E117)&lt;=H117,"PASS","FAIL"),"FAIL"),"FAIL")</f>
        <v>PASS</v>
      </c>
    </row>
    <row r="118" customFormat="false" ht="15" hidden="false" customHeight="false" outlineLevel="0" collapsed="false">
      <c r="B118" s="36" t="n">
        <v>109</v>
      </c>
      <c r="C118" s="9" t="s">
        <v>351</v>
      </c>
      <c r="D118" s="9" t="s">
        <v>461</v>
      </c>
      <c r="E118" s="15" t="n">
        <v>0.2</v>
      </c>
      <c r="F118" s="19" t="n">
        <f aca="false">Price_and_Bridge!$C$85</f>
        <v>0.2</v>
      </c>
      <c r="G118" s="31" t="n">
        <f aca="false">IFERROR(IF(ISNUMBER(F118),F118-E118,"n/a"),"n/a")</f>
        <v>0</v>
      </c>
      <c r="H118" s="40" t="n">
        <v>0.005000001</v>
      </c>
      <c r="I118" s="35" t="str">
        <f aca="false">IFERROR(IF(ISNUMBER(F118),IF(ABS(F118-E118)&lt;=H118,"PASS","FAIL"),"FAIL"),"FAIL")</f>
        <v>PASS</v>
      </c>
    </row>
    <row r="119" customFormat="false" ht="15" hidden="false" customHeight="false" outlineLevel="0" collapsed="false">
      <c r="B119" s="36" t="n">
        <v>110</v>
      </c>
      <c r="C119" s="9" t="s">
        <v>351</v>
      </c>
      <c r="D119" s="9" t="s">
        <v>462</v>
      </c>
      <c r="E119" s="27" t="n">
        <v>52174</v>
      </c>
      <c r="F119" s="21" t="n">
        <f aca="false">Price_and_Bridge!$C$86</f>
        <v>52173.9130434783</v>
      </c>
      <c r="G119" s="31" t="n">
        <f aca="false">IFERROR(IF(ISNUMBER(F119),F119-E119,"n/a"),"n/a")</f>
        <v>-0.0869565217362833</v>
      </c>
      <c r="H119" s="40" t="n">
        <v>0.500000001</v>
      </c>
      <c r="I119" s="35" t="str">
        <f aca="false">IFERROR(IF(ISNUMBER(F119),IF(ABS(F119-E119)&lt;=H119,"PASS","FAIL"),"FAIL"),"FAIL")</f>
        <v>PASS</v>
      </c>
    </row>
    <row r="120" customFormat="false" ht="15" hidden="false" customHeight="false" outlineLevel="0" collapsed="false">
      <c r="B120" s="36" t="n">
        <v>111</v>
      </c>
      <c r="C120" s="9" t="s">
        <v>351</v>
      </c>
      <c r="D120" s="9" t="s">
        <v>463</v>
      </c>
      <c r="E120" s="27" t="n">
        <v>100000</v>
      </c>
      <c r="F120" s="21" t="n">
        <f aca="false">Price_and_Bridge!$C$89</f>
        <v>100000</v>
      </c>
      <c r="G120" s="31" t="n">
        <f aca="false">IFERROR(IF(ISNUMBER(F120),F120-E120,"n/a"),"n/a")</f>
        <v>0</v>
      </c>
      <c r="H120" s="40" t="n">
        <v>0.500000001</v>
      </c>
      <c r="I120" s="35" t="str">
        <f aca="false">IFERROR(IF(ISNUMBER(F120),IF(ABS(F120-E120)&lt;=H120,"PASS","FAIL"),"FAIL"),"FAIL")</f>
        <v>PASS</v>
      </c>
    </row>
    <row r="121" customFormat="false" ht="15" hidden="false" customHeight="false" outlineLevel="0" collapsed="false">
      <c r="B121" s="36" t="n">
        <v>112</v>
      </c>
      <c r="C121" s="9" t="s">
        <v>351</v>
      </c>
      <c r="D121" s="9" t="s">
        <v>464</v>
      </c>
      <c r="E121" s="27" t="n">
        <v>0</v>
      </c>
      <c r="F121" s="21" t="n">
        <f aca="false">Price_and_Bridge!$C$92</f>
        <v>0</v>
      </c>
      <c r="G121" s="31" t="n">
        <f aca="false">IFERROR(IF(ISNUMBER(F121),F121-E121,"n/a"),"n/a")</f>
        <v>0</v>
      </c>
      <c r="H121" s="40" t="n">
        <v>0.500000001</v>
      </c>
      <c r="I121" s="35" t="str">
        <f aca="false">IFERROR(IF(ISNUMBER(F121),IF(ABS(F121-E121)&lt;=H121,"PASS","FAIL"),"FAIL"),"FAIL")</f>
        <v>PASS</v>
      </c>
    </row>
    <row r="122" customFormat="false" ht="15" hidden="false" customHeight="false" outlineLevel="0" collapsed="false">
      <c r="B122" s="36" t="n">
        <v>113</v>
      </c>
      <c r="C122" s="9" t="s">
        <v>351</v>
      </c>
      <c r="D122" s="9" t="s">
        <v>465</v>
      </c>
      <c r="E122" s="27" t="n">
        <v>704094</v>
      </c>
      <c r="F122" s="21" t="n">
        <f aca="false">Price_and_Bridge!$C$104</f>
        <v>704094.316923847</v>
      </c>
      <c r="G122" s="31" t="n">
        <f aca="false">IFERROR(IF(ISNUMBER(F122),F122-E122,"n/a"),"n/a")</f>
        <v>0.316923846607097</v>
      </c>
      <c r="H122" s="40" t="n">
        <v>0.500000001</v>
      </c>
      <c r="I122" s="35" t="str">
        <f aca="false">IFERROR(IF(ISNUMBER(F122),IF(ABS(F122-E122)&lt;=H122,"PASS","FAIL"),"FAIL"),"FAIL")</f>
        <v>PASS</v>
      </c>
    </row>
    <row r="123" customFormat="false" ht="15" hidden="false" customHeight="false" outlineLevel="0" collapsed="false">
      <c r="B123" s="36" t="n">
        <v>114</v>
      </c>
      <c r="C123" s="9" t="s">
        <v>351</v>
      </c>
      <c r="D123" s="9" t="s">
        <v>466</v>
      </c>
      <c r="E123" s="26" t="n">
        <v>0.939</v>
      </c>
      <c r="F123" s="22" t="n">
        <f aca="false">Price_and_Bridge!$D$104</f>
        <v>0.938792422565129</v>
      </c>
      <c r="G123" s="31" t="n">
        <f aca="false">IFERROR(IF(ISNUMBER(F123),F123-E123,"n/a"),"n/a")</f>
        <v>-0.000207577434871209</v>
      </c>
      <c r="H123" s="40" t="n">
        <v>0.000500001</v>
      </c>
      <c r="I123" s="35" t="str">
        <f aca="false">IFERROR(IF(ISNUMBER(F123),IF(ABS(F123-E123)&lt;=H123,"PASS","FAIL"),"FAIL"),"FAIL")</f>
        <v>PASS</v>
      </c>
    </row>
    <row r="124" customFormat="false" ht="15" hidden="false" customHeight="false" outlineLevel="0" collapsed="false">
      <c r="B124" s="36" t="n">
        <v>115</v>
      </c>
      <c r="C124" s="9" t="s">
        <v>351</v>
      </c>
      <c r="D124" s="9" t="s">
        <v>467</v>
      </c>
      <c r="E124" s="27" t="n">
        <v>45906</v>
      </c>
      <c r="F124" s="21" t="n">
        <f aca="false">Price_and_Bridge!$C$105</f>
        <v>45905.6830761534</v>
      </c>
      <c r="G124" s="31" t="n">
        <f aca="false">IFERROR(IF(ISNUMBER(F124),F124-E124,"n/a"),"n/a")</f>
        <v>-0.316923846607097</v>
      </c>
      <c r="H124" s="40" t="n">
        <v>0.500000001</v>
      </c>
      <c r="I124" s="35" t="str">
        <f aca="false">IFERROR(IF(ISNUMBER(F124),IF(ABS(F124-E124)&lt;=H124,"PASS","FAIL"),"FAIL"),"FAIL")</f>
        <v>PASS</v>
      </c>
    </row>
    <row r="125" customFormat="false" ht="15" hidden="false" customHeight="false" outlineLevel="0" collapsed="false">
      <c r="B125" s="36" t="n">
        <v>116</v>
      </c>
      <c r="C125" s="9" t="s">
        <v>351</v>
      </c>
      <c r="D125" s="9" t="s">
        <v>468</v>
      </c>
      <c r="E125" s="20" t="n">
        <v>0.0038</v>
      </c>
      <c r="F125" s="41" t="n">
        <f aca="false">Price_and_Bridge!$C$106</f>
        <v>0.00379385810546722</v>
      </c>
      <c r="G125" s="31" t="n">
        <f aca="false">IFERROR(IF(ISNUMBER(F125),F125-E125,"n/a"),"n/a")</f>
        <v>-6.14189453277758E-006</v>
      </c>
      <c r="H125" s="40" t="n">
        <v>5.0001E-005</v>
      </c>
      <c r="I125" s="35" t="str">
        <f aca="false">IFERROR(IF(ISNUMBER(F125),IF(ABS(F125-E125)&lt;=H125,"PASS","FAIL"),"FAIL"),"FAIL")</f>
        <v>PASS</v>
      </c>
    </row>
    <row r="126" customFormat="false" ht="15" hidden="false" customHeight="false" outlineLevel="0" collapsed="false">
      <c r="B126" s="36" t="n">
        <v>117</v>
      </c>
      <c r="C126" s="9" t="s">
        <v>351</v>
      </c>
      <c r="D126" s="9" t="s">
        <v>469</v>
      </c>
      <c r="E126" s="27" t="n">
        <v>275545</v>
      </c>
      <c r="F126" s="21" t="n">
        <f aca="false">Price_and_Bridge!$C$109</f>
        <v>275544.567232862</v>
      </c>
      <c r="G126" s="31" t="n">
        <f aca="false">IFERROR(IF(ISNUMBER(F126),F126-E126,"n/a"),"n/a")</f>
        <v>-0.432767137535848</v>
      </c>
      <c r="H126" s="40" t="n">
        <v>0.500000001</v>
      </c>
      <c r="I126" s="35" t="str">
        <f aca="false">IFERROR(IF(ISNUMBER(F126),IF(ABS(F126-E126)&lt;=H126,"PASS","FAIL"),"FAIL"),"FAIL")</f>
        <v>PASS</v>
      </c>
    </row>
    <row r="127" customFormat="false" ht="15" hidden="false" customHeight="false" outlineLevel="0" collapsed="false">
      <c r="B127" s="36" t="n">
        <v>118</v>
      </c>
      <c r="C127" s="9" t="s">
        <v>351</v>
      </c>
      <c r="D127" s="9" t="s">
        <v>470</v>
      </c>
      <c r="E127" s="27" t="n">
        <v>271833</v>
      </c>
      <c r="F127" s="21" t="n">
        <f aca="false">Price_and_Bridge!$C$110</f>
        <v>271832.869565217</v>
      </c>
      <c r="G127" s="31" t="n">
        <f aca="false">IFERROR(IF(ISNUMBER(F127),F127-E127,"n/a"),"n/a")</f>
        <v>-0.130434782535303</v>
      </c>
      <c r="H127" s="40" t="n">
        <v>0.500000001</v>
      </c>
      <c r="I127" s="35" t="str">
        <f aca="false">IFERROR(IF(ISNUMBER(F127),IF(ABS(F127-E127)&lt;=H127,"PASS","FAIL"),"FAIL"),"FAIL")</f>
        <v>PASS</v>
      </c>
    </row>
    <row r="128" customFormat="false" ht="15" hidden="false" customHeight="false" outlineLevel="0" collapsed="false">
      <c r="B128" s="36" t="n">
        <v>119</v>
      </c>
      <c r="C128" s="9" t="s">
        <v>351</v>
      </c>
      <c r="D128" s="9" t="s">
        <v>471</v>
      </c>
      <c r="E128" s="27" t="n">
        <v>100000</v>
      </c>
      <c r="F128" s="21" t="n">
        <f aca="false">Price_and_Bridge!$C$111</f>
        <v>100000</v>
      </c>
      <c r="G128" s="31" t="n">
        <f aca="false">IFERROR(IF(ISNUMBER(F128),F128-E128,"n/a"),"n/a")</f>
        <v>0</v>
      </c>
      <c r="H128" s="40" t="n">
        <v>0.500000001</v>
      </c>
      <c r="I128" s="35" t="str">
        <f aca="false">IFERROR(IF(ISNUMBER(F128),IF(ABS(F128-E128)&lt;=H128,"PASS","FAIL"),"FAIL"),"FAIL")</f>
        <v>PASS</v>
      </c>
    </row>
    <row r="129" customFormat="false" ht="15" hidden="false" customHeight="false" outlineLevel="0" collapsed="false">
      <c r="B129" s="36" t="n">
        <v>120</v>
      </c>
      <c r="C129" s="9" t="s">
        <v>351</v>
      </c>
      <c r="D129" s="9" t="s">
        <v>472</v>
      </c>
      <c r="E129" s="27" t="n">
        <v>102623</v>
      </c>
      <c r="F129" s="21" t="n">
        <f aca="false">Price_and_Bridge!$C$112</f>
        <v>102622.56320192</v>
      </c>
      <c r="G129" s="31" t="n">
        <f aca="false">IFERROR(IF(ISNUMBER(F129),F129-E129,"n/a"),"n/a")</f>
        <v>-0.436798079972505</v>
      </c>
      <c r="H129" s="40" t="n">
        <v>0.500000001</v>
      </c>
      <c r="I129" s="35" t="str">
        <f aca="false">IFERROR(IF(ISNUMBER(F129),IF(ABS(F129-E129)&lt;=H129,"PASS","FAIL"),"FAIL"),"FAIL")</f>
        <v>PASS</v>
      </c>
    </row>
    <row r="130" customFormat="false" ht="15" hidden="false" customHeight="false" outlineLevel="0" collapsed="false">
      <c r="B130" s="36" t="n">
        <v>121</v>
      </c>
      <c r="C130" s="9" t="s">
        <v>351</v>
      </c>
      <c r="D130" s="9" t="s">
        <v>473</v>
      </c>
      <c r="E130" s="26" t="n">
        <v>0.137</v>
      </c>
      <c r="F130" s="22" t="n">
        <f aca="false">Price_and_Bridge!$C$113</f>
        <v>0.136830084269227</v>
      </c>
      <c r="G130" s="31" t="n">
        <f aca="false">IFERROR(IF(ISNUMBER(F130),F130-E130,"n/a"),"n/a")</f>
        <v>-0.000169915730773296</v>
      </c>
      <c r="H130" s="40" t="n">
        <v>0.000500001</v>
      </c>
      <c r="I130" s="35" t="str">
        <f aca="false">IFERROR(IF(ISNUMBER(F130),IF(ABS(F130-E130)&lt;=H130,"PASS","FAIL"),"FAIL"),"FAIL")</f>
        <v>PASS</v>
      </c>
    </row>
    <row r="131" customFormat="false" ht="15" hidden="false" customHeight="false" outlineLevel="0" collapsed="false">
      <c r="B131" s="36" t="n">
        <v>122</v>
      </c>
      <c r="C131" s="9" t="s">
        <v>351</v>
      </c>
      <c r="D131" s="9" t="s">
        <v>474</v>
      </c>
      <c r="E131" s="20" t="n">
        <v>0.0085</v>
      </c>
      <c r="F131" s="41" t="n">
        <f aca="false">Price_and_Bridge!$C$114</f>
        <v>0.00848120357040661</v>
      </c>
      <c r="G131" s="31" t="n">
        <f aca="false">IFERROR(IF(ISNUMBER(F131),F131-E131,"n/a"),"n/a")</f>
        <v>-1.87964295933867E-005</v>
      </c>
      <c r="H131" s="40" t="n">
        <v>5.0001E-005</v>
      </c>
      <c r="I131" s="35" t="str">
        <f aca="false">IFERROR(IF(ISNUMBER(F131),IF(ABS(F131-E131)&lt;=H131,"PASS","FAIL"),"FAIL"),"FAIL")</f>
        <v>PASS</v>
      </c>
    </row>
    <row r="132" customFormat="false" ht="15" hidden="false" customHeight="false" outlineLevel="0" collapsed="false">
      <c r="B132" s="36" t="n">
        <v>123</v>
      </c>
      <c r="C132" s="9" t="s">
        <v>351</v>
      </c>
      <c r="D132" s="9" t="s">
        <v>475</v>
      </c>
      <c r="E132" s="27" t="n">
        <v>12574455</v>
      </c>
      <c r="F132" s="21" t="n">
        <f aca="false">Price_and_Bridge!$C$118</f>
        <v>12574455.4327671</v>
      </c>
      <c r="G132" s="31" t="n">
        <f aca="false">IFERROR(IF(ISNUMBER(F132),F132-E132,"n/a"),"n/a")</f>
        <v>0.432767137885094</v>
      </c>
      <c r="H132" s="40" t="n">
        <v>0.500000001</v>
      </c>
      <c r="I132" s="35" t="str">
        <f aca="false">IFERROR(IF(ISNUMBER(F132),IF(ABS(F132-E132)&lt;=H132,"PASS","FAIL"),"FAIL"),"FAIL")</f>
        <v>PASS</v>
      </c>
    </row>
    <row r="133" customFormat="false" ht="15" hidden="false" customHeight="false" outlineLevel="0" collapsed="false">
      <c r="B133" s="36" t="n">
        <v>124</v>
      </c>
      <c r="C133" s="9" t="s">
        <v>351</v>
      </c>
      <c r="D133" s="9" t="s">
        <v>476</v>
      </c>
      <c r="E133" s="26" t="n">
        <v>0.039</v>
      </c>
      <c r="F133" s="22" t="n">
        <f aca="false">Price_and_Bridge!$C$119</f>
        <v>0.0392111927906726</v>
      </c>
      <c r="G133" s="31" t="n">
        <f aca="false">IFERROR(IF(ISNUMBER(F133),F133-E133,"n/a"),"n/a")</f>
        <v>0.000211192790672644</v>
      </c>
      <c r="H133" s="40" t="n">
        <v>0.000500001</v>
      </c>
      <c r="I133" s="35" t="str">
        <f aca="false">IFERROR(IF(ISNUMBER(F133),IF(ABS(F133-E133)&lt;=H133,"PASS","FAIL"),"FAIL"),"FAIL")</f>
        <v>PASS</v>
      </c>
    </row>
    <row r="134" customFormat="false" ht="15" hidden="false" customHeight="false" outlineLevel="0" collapsed="false">
      <c r="B134" s="36" t="n">
        <v>125</v>
      </c>
      <c r="C134" s="9" t="s">
        <v>355</v>
      </c>
      <c r="D134" s="9" t="s">
        <v>477</v>
      </c>
      <c r="E134" s="27" t="n">
        <v>9800000</v>
      </c>
      <c r="F134" s="21" t="n">
        <f aca="false">Exchange_Tax!$C$5</f>
        <v>9800000</v>
      </c>
      <c r="G134" s="31" t="n">
        <f aca="false">IFERROR(IF(ISNUMBER(F134),F134-E134,"n/a"),"n/a")</f>
        <v>0</v>
      </c>
      <c r="H134" s="40" t="n">
        <v>0.500000001</v>
      </c>
      <c r="I134" s="35" t="str">
        <f aca="false">IFERROR(IF(ISNUMBER(F134),IF(ABS(F134-E134)&lt;=H134,"PASS","FAIL"),"FAIL"),"FAIL")</f>
        <v>PASS</v>
      </c>
    </row>
    <row r="135" customFormat="false" ht="15" hidden="false" customHeight="false" outlineLevel="0" collapsed="false">
      <c r="B135" s="36" t="n">
        <v>126</v>
      </c>
      <c r="C135" s="9" t="s">
        <v>355</v>
      </c>
      <c r="D135" s="9" t="s">
        <v>478</v>
      </c>
      <c r="E135" s="27" t="n">
        <v>5600000</v>
      </c>
      <c r="F135" s="21" t="n">
        <f aca="false">Exchange_Tax!$C$6</f>
        <v>5600000</v>
      </c>
      <c r="G135" s="31" t="n">
        <f aca="false">IFERROR(IF(ISNUMBER(F135),F135-E135,"n/a"),"n/a")</f>
        <v>0</v>
      </c>
      <c r="H135" s="40" t="n">
        <v>0.500000001</v>
      </c>
      <c r="I135" s="35" t="str">
        <f aca="false">IFERROR(IF(ISNUMBER(F135),IF(ABS(F135-E135)&lt;=H135,"PASS","FAIL"),"FAIL"),"FAIL")</f>
        <v>PASS</v>
      </c>
    </row>
    <row r="136" customFormat="false" ht="15" hidden="false" customHeight="false" outlineLevel="0" collapsed="false">
      <c r="B136" s="36" t="n">
        <v>127</v>
      </c>
      <c r="C136" s="9" t="s">
        <v>355</v>
      </c>
      <c r="D136" s="9" t="s">
        <v>479</v>
      </c>
      <c r="E136" s="27" t="n">
        <v>4200000</v>
      </c>
      <c r="F136" s="21" t="n">
        <f aca="false">Exchange_Tax!$C$7</f>
        <v>4200000</v>
      </c>
      <c r="G136" s="31" t="n">
        <f aca="false">IFERROR(IF(ISNUMBER(F136),F136-E136,"n/a"),"n/a")</f>
        <v>0</v>
      </c>
      <c r="H136" s="40" t="n">
        <v>0.500000001</v>
      </c>
      <c r="I136" s="35" t="str">
        <f aca="false">IFERROR(IF(ISNUMBER(F136),IF(ABS(F136-E136)&lt;=H136,"PASS","FAIL"),"FAIL"),"FAIL")</f>
        <v>PASS</v>
      </c>
    </row>
    <row r="137" customFormat="false" ht="15" hidden="false" customHeight="false" outlineLevel="0" collapsed="false">
      <c r="B137" s="36" t="n">
        <v>128</v>
      </c>
      <c r="C137" s="9" t="s">
        <v>355</v>
      </c>
      <c r="D137" s="9" t="s">
        <v>480</v>
      </c>
      <c r="E137" s="27" t="n">
        <v>1300000</v>
      </c>
      <c r="F137" s="21" t="n">
        <f aca="false">Exchange_Tax!$C$8</f>
        <v>1300000</v>
      </c>
      <c r="G137" s="31" t="n">
        <f aca="false">IFERROR(IF(ISNUMBER(F137),F137-E137,"n/a"),"n/a")</f>
        <v>0</v>
      </c>
      <c r="H137" s="40" t="n">
        <v>0.500000001</v>
      </c>
      <c r="I137" s="35" t="str">
        <f aca="false">IFERROR(IF(ISNUMBER(F137),IF(ABS(F137-E137)&lt;=H137,"PASS","FAIL"),"FAIL"),"FAIL")</f>
        <v>PASS</v>
      </c>
    </row>
    <row r="138" customFormat="false" ht="15" hidden="false" customHeight="false" outlineLevel="0" collapsed="false">
      <c r="B138" s="36" t="n">
        <v>129</v>
      </c>
      <c r="C138" s="9" t="s">
        <v>355</v>
      </c>
      <c r="D138" s="9" t="s">
        <v>481</v>
      </c>
      <c r="E138" s="27" t="n">
        <v>2900000</v>
      </c>
      <c r="F138" s="21" t="n">
        <f aca="false">Exchange_Tax!$C$9</f>
        <v>2900000</v>
      </c>
      <c r="G138" s="31" t="n">
        <f aca="false">IFERROR(IF(ISNUMBER(F138),F138-E138,"n/a"),"n/a")</f>
        <v>0</v>
      </c>
      <c r="H138" s="40" t="n">
        <v>0.500000001</v>
      </c>
      <c r="I138" s="35" t="str">
        <f aca="false">IFERROR(IF(ISNUMBER(F138),IF(ABS(F138-E138)&lt;=H138,"PASS","FAIL"),"FAIL"),"FAIL")</f>
        <v>PASS</v>
      </c>
    </row>
    <row r="139" customFormat="false" ht="15" hidden="false" customHeight="false" outlineLevel="0" collapsed="false">
      <c r="B139" s="36" t="n">
        <v>130</v>
      </c>
      <c r="C139" s="9" t="s">
        <v>355</v>
      </c>
      <c r="D139" s="9" t="s">
        <v>482</v>
      </c>
      <c r="E139" s="15" t="n">
        <v>0.2</v>
      </c>
      <c r="F139" s="19" t="n">
        <f aca="false">Exchange_Tax!$C$10</f>
        <v>0.2</v>
      </c>
      <c r="G139" s="31" t="n">
        <f aca="false">IFERROR(IF(ISNUMBER(F139),F139-E139,"n/a"),"n/a")</f>
        <v>0</v>
      </c>
      <c r="H139" s="40" t="n">
        <v>0.005000001</v>
      </c>
      <c r="I139" s="35" t="str">
        <f aca="false">IFERROR(IF(ISNUMBER(F139),IF(ABS(F139-E139)&lt;=H139,"PASS","FAIL"),"FAIL"),"FAIL")</f>
        <v>PASS</v>
      </c>
    </row>
    <row r="140" customFormat="false" ht="15" hidden="false" customHeight="false" outlineLevel="0" collapsed="false">
      <c r="B140" s="36" t="n">
        <v>131</v>
      </c>
      <c r="C140" s="9" t="s">
        <v>355</v>
      </c>
      <c r="D140" s="9" t="s">
        <v>483</v>
      </c>
      <c r="E140" s="15" t="n">
        <v>0.25</v>
      </c>
      <c r="F140" s="19" t="n">
        <f aca="false">Exchange_Tax!$C$11</f>
        <v>0.25</v>
      </c>
      <c r="G140" s="31" t="n">
        <f aca="false">IFERROR(IF(ISNUMBER(F140),F140-E140,"n/a"),"n/a")</f>
        <v>0</v>
      </c>
      <c r="H140" s="40" t="n">
        <v>0.005000001</v>
      </c>
      <c r="I140" s="35" t="str">
        <f aca="false">IFERROR(IF(ISNUMBER(F140),IF(ABS(F140-E140)&lt;=H140,"PASS","FAIL"),"FAIL"),"FAIL")</f>
        <v>PASS</v>
      </c>
    </row>
    <row r="141" customFormat="false" ht="15" hidden="false" customHeight="false" outlineLevel="0" collapsed="false">
      <c r="B141" s="36" t="n">
        <v>132</v>
      </c>
      <c r="C141" s="9" t="s">
        <v>355</v>
      </c>
      <c r="D141" s="9" t="s">
        <v>484</v>
      </c>
      <c r="E141" s="26" t="n">
        <v>0.038</v>
      </c>
      <c r="F141" s="22" t="n">
        <f aca="false">Exchange_Tax!$C$12</f>
        <v>0.038</v>
      </c>
      <c r="G141" s="31" t="n">
        <f aca="false">IFERROR(IF(ISNUMBER(F141),F141-E141,"n/a"),"n/a")</f>
        <v>0</v>
      </c>
      <c r="H141" s="40" t="n">
        <v>0.000500001</v>
      </c>
      <c r="I141" s="35" t="str">
        <f aca="false">IFERROR(IF(ISNUMBER(F141),IF(ABS(F141-E141)&lt;=H141,"PASS","FAIL"),"FAIL"),"FAIL")</f>
        <v>PASS</v>
      </c>
    </row>
    <row r="142" customFormat="false" ht="15" hidden="false" customHeight="false" outlineLevel="0" collapsed="false">
      <c r="B142" s="36" t="n">
        <v>133</v>
      </c>
      <c r="C142" s="9" t="s">
        <v>355</v>
      </c>
      <c r="D142" s="9" t="s">
        <v>485</v>
      </c>
      <c r="E142" s="15" t="n">
        <v>0.05</v>
      </c>
      <c r="F142" s="19" t="n">
        <f aca="false">Exchange_Tax!$C$13</f>
        <v>0.05</v>
      </c>
      <c r="G142" s="31" t="n">
        <f aca="false">IFERROR(IF(ISNUMBER(F142),F142-E142,"n/a"),"n/a")</f>
        <v>0</v>
      </c>
      <c r="H142" s="40" t="n">
        <v>0.005000001</v>
      </c>
      <c r="I142" s="35" t="str">
        <f aca="false">IFERROR(IF(ISNUMBER(F142),IF(ABS(F142-E142)&lt;=H142,"PASS","FAIL"),"FAIL"),"FAIL")</f>
        <v>PASS</v>
      </c>
    </row>
    <row r="143" customFormat="false" ht="15" hidden="false" customHeight="false" outlineLevel="0" collapsed="false">
      <c r="B143" s="36" t="n">
        <v>134</v>
      </c>
      <c r="C143" s="9" t="s">
        <v>355</v>
      </c>
      <c r="D143" s="9" t="s">
        <v>486</v>
      </c>
      <c r="E143" s="27" t="n">
        <v>1274600</v>
      </c>
      <c r="F143" s="21" t="n">
        <f aca="false">Exchange_Tax!$C$16</f>
        <v>1274600</v>
      </c>
      <c r="G143" s="31" t="n">
        <f aca="false">IFERROR(IF(ISNUMBER(F143),F143-E143,"n/a"),"n/a")</f>
        <v>0</v>
      </c>
      <c r="H143" s="40" t="n">
        <v>0.500000001</v>
      </c>
      <c r="I143" s="35" t="str">
        <f aca="false">IFERROR(IF(ISNUMBER(F143),IF(ABS(F143-E143)&lt;=H143,"PASS","FAIL"),"FAIL"),"FAIL")</f>
        <v>PASS</v>
      </c>
    </row>
    <row r="144" customFormat="false" ht="15" hidden="false" customHeight="false" outlineLevel="0" collapsed="false">
      <c r="B144" s="36" t="n">
        <v>135</v>
      </c>
      <c r="C144" s="9" t="s">
        <v>355</v>
      </c>
      <c r="D144" s="9" t="s">
        <v>487</v>
      </c>
      <c r="E144" s="26" t="n">
        <v>0.099</v>
      </c>
      <c r="F144" s="22" t="n">
        <f aca="false">Exchange_Tax!$C$17</f>
        <v>0.0991906614785992</v>
      </c>
      <c r="G144" s="31" t="n">
        <f aca="false">IFERROR(IF(ISNUMBER(F144),F144-E144,"n/a"),"n/a")</f>
        <v>0.000190661478599211</v>
      </c>
      <c r="H144" s="40" t="n">
        <v>0.000500001</v>
      </c>
      <c r="I144" s="35" t="str">
        <f aca="false">IFERROR(IF(ISNUMBER(F144),IF(ABS(F144-E144)&lt;=H144,"PASS","FAIL"),"FAIL"),"FAIL")</f>
        <v>PASS</v>
      </c>
    </row>
    <row r="145" customFormat="false" ht="15" hidden="false" customHeight="false" outlineLevel="0" collapsed="false">
      <c r="B145" s="36" t="n">
        <v>136</v>
      </c>
      <c r="C145" s="9" t="s">
        <v>355</v>
      </c>
      <c r="D145" s="9" t="s">
        <v>488</v>
      </c>
      <c r="E145" s="26" t="n">
        <v>0.078</v>
      </c>
      <c r="F145" s="22" t="n">
        <f aca="false">Exchange_Tax!$C$18</f>
        <v>0.0784559861917464</v>
      </c>
      <c r="G145" s="31" t="n">
        <f aca="false">IFERROR(IF(ISNUMBER(F145),F145-E145,"n/a"),"n/a")</f>
        <v>0.00045598619174643</v>
      </c>
      <c r="H145" s="40" t="n">
        <v>0.000500001</v>
      </c>
      <c r="I145" s="35" t="str">
        <f aca="false">IFERROR(IF(ISNUMBER(F145),IF(ABS(F145-E145)&lt;=H145,"PASS","FAIL"),"FAIL"),"FAIL")</f>
        <v>PASS</v>
      </c>
    </row>
    <row r="146" customFormat="false" ht="15" hidden="false" customHeight="false" outlineLevel="0" collapsed="false">
      <c r="B146" s="36" t="n">
        <v>137</v>
      </c>
      <c r="C146" s="9" t="s">
        <v>357</v>
      </c>
      <c r="D146" s="9" t="s">
        <v>489</v>
      </c>
      <c r="E146" s="20" t="n">
        <v>0.0775</v>
      </c>
      <c r="F146" s="41" t="n">
        <f aca="false">Investment_Value!$C$44</f>
        <v>0.0775</v>
      </c>
      <c r="G146" s="31" t="n">
        <f aca="false">IFERROR(IF(ISNUMBER(F146),F146-E146,"n/a"),"n/a")</f>
        <v>0</v>
      </c>
      <c r="H146" s="40" t="n">
        <v>5.0001E-005</v>
      </c>
      <c r="I146" s="35" t="str">
        <f aca="false">IFERROR(IF(ISNUMBER(F146),IF(ABS(F146-E146)&lt;=H146,"PASS","FAIL"),"FAIL"),"FAIL")</f>
        <v>PASS</v>
      </c>
    </row>
    <row r="147" customFormat="false" ht="15" hidden="false" customHeight="false" outlineLevel="0" collapsed="false">
      <c r="B147" s="36" t="n">
        <v>138</v>
      </c>
      <c r="C147" s="9" t="s">
        <v>357</v>
      </c>
      <c r="D147" s="9" t="s">
        <v>490</v>
      </c>
      <c r="E147" s="20" t="n">
        <v>0.06</v>
      </c>
      <c r="F147" s="41" t="n">
        <f aca="false">Investment_Value!$C$45</f>
        <v>0.06</v>
      </c>
      <c r="G147" s="31" t="n">
        <f aca="false">IFERROR(IF(ISNUMBER(F147),F147-E147,"n/a"),"n/a")</f>
        <v>0</v>
      </c>
      <c r="H147" s="40" t="n">
        <v>5.0001E-005</v>
      </c>
      <c r="I147" s="35" t="str">
        <f aca="false">IFERROR(IF(ISNUMBER(F147),IF(ABS(F147-E147)&lt;=H147,"PASS","FAIL"),"FAIL"),"FAIL")</f>
        <v>PASS</v>
      </c>
    </row>
    <row r="148" customFormat="false" ht="15" hidden="false" customHeight="false" outlineLevel="0" collapsed="false">
      <c r="B148" s="36" t="n">
        <v>139</v>
      </c>
      <c r="C148" s="9" t="s">
        <v>357</v>
      </c>
      <c r="D148" s="9" t="s">
        <v>491</v>
      </c>
      <c r="E148" s="27" t="n">
        <v>717993</v>
      </c>
      <c r="F148" s="21" t="n">
        <f aca="false">Investment_Value!$C$60</f>
        <v>717993.24</v>
      </c>
      <c r="G148" s="31" t="n">
        <f aca="false">IFERROR(IF(ISNUMBER(F148),F148-E148,"n/a"),"n/a")</f>
        <v>0.239999999990687</v>
      </c>
      <c r="H148" s="40" t="n">
        <v>0.500000001</v>
      </c>
      <c r="I148" s="35" t="str">
        <f aca="false">IFERROR(IF(ISNUMBER(F148),IF(ABS(F148-E148)&lt;=H148,"PASS","FAIL"),"FAIL"),"FAIL")</f>
        <v>PASS</v>
      </c>
    </row>
    <row r="149" customFormat="false" ht="15" hidden="false" customHeight="false" outlineLevel="0" collapsed="false">
      <c r="B149" s="36" t="n">
        <v>140</v>
      </c>
      <c r="C149" s="9" t="s">
        <v>357</v>
      </c>
      <c r="D149" s="9" t="s">
        <v>492</v>
      </c>
      <c r="E149" s="27" t="n">
        <v>417993</v>
      </c>
      <c r="F149" s="21" t="n">
        <f aca="false">Investment_Value!$C$62</f>
        <v>417993.24</v>
      </c>
      <c r="G149" s="31" t="n">
        <f aca="false">IFERROR(IF(ISNUMBER(F149),F149-E149,"n/a"),"n/a")</f>
        <v>0.239999999990687</v>
      </c>
      <c r="H149" s="40" t="n">
        <v>0.500000001</v>
      </c>
      <c r="I149" s="35" t="str">
        <f aca="false">IFERROR(IF(ISNUMBER(F149),IF(ABS(F149-E149)&lt;=H149,"PASS","FAIL"),"FAIL"),"FAIL")</f>
        <v>PASS</v>
      </c>
    </row>
    <row r="150" customFormat="false" ht="15" hidden="false" customHeight="false" outlineLevel="0" collapsed="false">
      <c r="B150" s="36" t="n">
        <v>141</v>
      </c>
      <c r="C150" s="9" t="s">
        <v>357</v>
      </c>
      <c r="D150" s="9" t="s">
        <v>493</v>
      </c>
      <c r="E150" s="27" t="n">
        <v>767583</v>
      </c>
      <c r="F150" s="21" t="n">
        <f aca="false">Investment_Value!$D$60</f>
        <v>767582.657372984</v>
      </c>
      <c r="G150" s="31" t="n">
        <f aca="false">IFERROR(IF(ISNUMBER(F150),F150-E150,"n/a"),"n/a")</f>
        <v>-0.342627015663311</v>
      </c>
      <c r="H150" s="40" t="n">
        <v>0.500000001</v>
      </c>
      <c r="I150" s="35" t="str">
        <f aca="false">IFERROR(IF(ISNUMBER(F150),IF(ABS(F150-E150)&lt;=H150,"PASS","FAIL"),"FAIL"),"FAIL")</f>
        <v>PASS</v>
      </c>
    </row>
    <row r="151" customFormat="false" ht="15" hidden="false" customHeight="false" outlineLevel="0" collapsed="false">
      <c r="B151" s="36" t="n">
        <v>142</v>
      </c>
      <c r="C151" s="9" t="s">
        <v>357</v>
      </c>
      <c r="D151" s="9" t="s">
        <v>494</v>
      </c>
      <c r="E151" s="27" t="n">
        <v>12950000</v>
      </c>
      <c r="F151" s="21" t="n">
        <f aca="false">Investment_Value!$C$77</f>
        <v>12950000</v>
      </c>
      <c r="G151" s="31" t="n">
        <f aca="false">IFERROR(IF(ISNUMBER(F151),F151-E151,"n/a"),"n/a")</f>
        <v>0</v>
      </c>
      <c r="H151" s="40" t="n">
        <v>0.500000001</v>
      </c>
      <c r="I151" s="35" t="str">
        <f aca="false">IFERROR(IF(ISNUMBER(F151),IF(ABS(F151-E151)&lt;=H151,"PASS","FAIL"),"FAIL"),"FAIL")</f>
        <v>PASS</v>
      </c>
    </row>
    <row r="152" customFormat="false" ht="15" hidden="false" customHeight="false" outlineLevel="0" collapsed="false">
      <c r="B152" s="36" t="n">
        <v>143</v>
      </c>
      <c r="C152" s="9" t="s">
        <v>357</v>
      </c>
      <c r="D152" s="9" t="s">
        <v>495</v>
      </c>
      <c r="E152" s="27" t="n">
        <v>843503</v>
      </c>
      <c r="F152" s="21" t="n">
        <f aca="false">Investment_Value!$C$78</f>
        <v>843502.622240074</v>
      </c>
      <c r="G152" s="31" t="n">
        <f aca="false">IFERROR(IF(ISNUMBER(F152),F152-E152,"n/a"),"n/a")</f>
        <v>-0.377759926021099</v>
      </c>
      <c r="H152" s="40" t="n">
        <v>0.500000001</v>
      </c>
      <c r="I152" s="35" t="str">
        <f aca="false">IFERROR(IF(ISNUMBER(F152),IF(ABS(F152-E152)&lt;=H152,"PASS","FAIL"),"FAIL"),"FAIL")</f>
        <v>PASS</v>
      </c>
    </row>
    <row r="153" customFormat="false" ht="15" hidden="false" customHeight="false" outlineLevel="0" collapsed="false">
      <c r="B153" s="36" t="n">
        <v>144</v>
      </c>
      <c r="C153" s="9" t="s">
        <v>357</v>
      </c>
      <c r="D153" s="9" t="s">
        <v>496</v>
      </c>
      <c r="E153" s="27" t="n">
        <v>243503</v>
      </c>
      <c r="F153" s="21" t="n">
        <f aca="false">Investment_Value!$C$79</f>
        <v>243502.622240074</v>
      </c>
      <c r="G153" s="31" t="n">
        <f aca="false">IFERROR(IF(ISNUMBER(F153),F153-E153,"n/a"),"n/a")</f>
        <v>-0.377759926021099</v>
      </c>
      <c r="H153" s="40" t="n">
        <v>0.500000001</v>
      </c>
      <c r="I153" s="35" t="str">
        <f aca="false">IFERROR(IF(ISNUMBER(F153),IF(ABS(F153-E153)&lt;=H153,"PASS","FAIL"),"FAIL"),"FAIL")</f>
        <v>PASS</v>
      </c>
    </row>
    <row r="154" customFormat="false" ht="15" hidden="false" customHeight="false" outlineLevel="0" collapsed="false">
      <c r="B154" s="36" t="n">
        <v>145</v>
      </c>
      <c r="C154" s="9" t="s">
        <v>361</v>
      </c>
      <c r="D154" s="9" t="s">
        <v>497</v>
      </c>
      <c r="E154" s="15" t="n">
        <v>0.5</v>
      </c>
      <c r="F154" s="19" t="n">
        <f aca="false">Special!$C$6</f>
        <v>0.5</v>
      </c>
      <c r="G154" s="31" t="n">
        <f aca="false">IFERROR(IF(ISNUMBER(F154),F154-E154,"n/a"),"n/a")</f>
        <v>0</v>
      </c>
      <c r="H154" s="40" t="n">
        <v>0.005000001</v>
      </c>
      <c r="I154" s="35" t="str">
        <f aca="false">IFERROR(IF(ISNUMBER(F154),IF(ABS(F154-E154)&lt;=H154,"PASS","FAIL"),"FAIL"),"FAIL")</f>
        <v>PASS</v>
      </c>
    </row>
    <row r="155" customFormat="false" ht="15" hidden="false" customHeight="false" outlineLevel="0" collapsed="false">
      <c r="B155" s="36" t="n">
        <v>146</v>
      </c>
      <c r="C155" s="9" t="s">
        <v>361</v>
      </c>
      <c r="D155" s="9" t="s">
        <v>498</v>
      </c>
      <c r="E155" s="27" t="n">
        <v>6050000</v>
      </c>
      <c r="F155" s="21" t="n">
        <f aca="false">Special!$C$7</f>
        <v>6050000</v>
      </c>
      <c r="G155" s="31" t="n">
        <f aca="false">IFERROR(IF(ISNUMBER(F155),F155-E155,"n/a"),"n/a")</f>
        <v>0</v>
      </c>
      <c r="H155" s="40" t="n">
        <v>0.500000001</v>
      </c>
      <c r="I155" s="35" t="str">
        <f aca="false">IFERROR(IF(ISNUMBER(F155),IF(ABS(F155-E155)&lt;=H155,"PASS","FAIL"),"FAIL"),"FAIL")</f>
        <v>PASS</v>
      </c>
    </row>
    <row r="156" customFormat="false" ht="15" hidden="false" customHeight="false" outlineLevel="0" collapsed="false">
      <c r="B156" s="36" t="n">
        <v>147</v>
      </c>
      <c r="C156" s="9" t="s">
        <v>361</v>
      </c>
      <c r="D156" s="9" t="s">
        <v>499</v>
      </c>
      <c r="E156" s="15" t="n">
        <v>0.2</v>
      </c>
      <c r="F156" s="19" t="n">
        <f aca="false">Special!$C$8</f>
        <v>0.2</v>
      </c>
      <c r="G156" s="31" t="n">
        <f aca="false">IFERROR(IF(ISNUMBER(F156),F156-E156,"n/a"),"n/a")</f>
        <v>0</v>
      </c>
      <c r="H156" s="40" t="n">
        <v>0.005000001</v>
      </c>
      <c r="I156" s="35" t="str">
        <f aca="false">IFERROR(IF(ISNUMBER(F156),IF(ABS(F156-E156)&lt;=H156,"PASS","FAIL"),"FAIL"),"FAIL")</f>
        <v>PASS</v>
      </c>
    </row>
    <row r="157" customFormat="false" ht="15" hidden="false" customHeight="false" outlineLevel="0" collapsed="false">
      <c r="B157" s="36" t="n">
        <v>148</v>
      </c>
      <c r="C157" s="9" t="s">
        <v>361</v>
      </c>
      <c r="D157" s="9" t="s">
        <v>500</v>
      </c>
      <c r="E157" s="27" t="n">
        <v>4840000</v>
      </c>
      <c r="F157" s="21" t="n">
        <f aca="false">Special!$C$9</f>
        <v>4840000</v>
      </c>
      <c r="G157" s="31" t="n">
        <f aca="false">IFERROR(IF(ISNUMBER(F157),F157-E157,"n/a"),"n/a")</f>
        <v>0</v>
      </c>
      <c r="H157" s="40" t="n">
        <v>0.500000001</v>
      </c>
      <c r="I157" s="35" t="str">
        <f aca="false">IFERROR(IF(ISNUMBER(F157),IF(ABS(F157-E157)&lt;=H157,"PASS","FAIL"),"FAIL"),"FAIL")</f>
        <v>PASS</v>
      </c>
    </row>
    <row r="158" customFormat="false" ht="15" hidden="false" customHeight="false" outlineLevel="0" collapsed="false">
      <c r="B158" s="36" t="n">
        <v>149</v>
      </c>
      <c r="C158" s="9" t="s">
        <v>361</v>
      </c>
      <c r="D158" s="9" t="s">
        <v>501</v>
      </c>
      <c r="E158" s="27" t="n">
        <v>1210000</v>
      </c>
      <c r="F158" s="21" t="n">
        <f aca="false">Special!$C$10</f>
        <v>1210000</v>
      </c>
      <c r="G158" s="31" t="n">
        <f aca="false">IFERROR(IF(ISNUMBER(F158),F158-E158,"n/a"),"n/a")</f>
        <v>0</v>
      </c>
      <c r="H158" s="40" t="n">
        <v>0.500000001</v>
      </c>
      <c r="I158" s="35" t="str">
        <f aca="false">IFERROR(IF(ISNUMBER(F158),IF(ABS(F158-E158)&lt;=H158,"PASS","FAIL"),"FAIL"),"FAIL")</f>
        <v>PASS</v>
      </c>
    </row>
    <row r="159" customFormat="false" ht="15" hidden="false" customHeight="false" outlineLevel="0" collapsed="false">
      <c r="B159" s="36" t="n">
        <v>150</v>
      </c>
      <c r="C159" s="9" t="s">
        <v>361</v>
      </c>
      <c r="D159" s="9" t="s">
        <v>502</v>
      </c>
      <c r="E159" s="27" t="n">
        <v>110</v>
      </c>
      <c r="F159" s="21" t="n">
        <f aca="false">Special!$C$13</f>
        <v>110</v>
      </c>
      <c r="G159" s="31" t="n">
        <f aca="false">IFERROR(IF(ISNUMBER(F159),F159-E159,"n/a"),"n/a")</f>
        <v>0</v>
      </c>
      <c r="H159" s="40" t="n">
        <v>0.500000001</v>
      </c>
      <c r="I159" s="35" t="str">
        <f aca="false">IFERROR(IF(ISNUMBER(F159),IF(ABS(F159-E159)&lt;=H159,"PASS","FAIL"),"FAIL"),"FAIL")</f>
        <v>PASS</v>
      </c>
    </row>
    <row r="160" customFormat="false" ht="15" hidden="false" customHeight="false" outlineLevel="0" collapsed="false">
      <c r="B160" s="36" t="n">
        <v>151</v>
      </c>
      <c r="C160" s="9" t="s">
        <v>361</v>
      </c>
      <c r="D160" s="9" t="s">
        <v>503</v>
      </c>
      <c r="E160" s="28" t="n">
        <v>128</v>
      </c>
      <c r="F160" s="42" t="n">
        <f aca="false">Special!$C$14</f>
        <v>128</v>
      </c>
      <c r="G160" s="31" t="n">
        <f aca="false">IFERROR(IF(ISNUMBER(F160),F160-E160,"n/a"),"n/a")</f>
        <v>0</v>
      </c>
      <c r="H160" s="40" t="n">
        <v>0.005000001</v>
      </c>
      <c r="I160" s="35" t="str">
        <f aca="false">IFERROR(IF(ISNUMBER(F160),IF(ABS(F160-E160)&lt;=H160,"PASS","FAIL"),"FAIL"),"FAIL")</f>
        <v>PASS</v>
      </c>
    </row>
    <row r="161" customFormat="false" ht="15" hidden="false" customHeight="false" outlineLevel="0" collapsed="false">
      <c r="B161" s="36" t="n">
        <v>152</v>
      </c>
      <c r="C161" s="9" t="s">
        <v>361</v>
      </c>
      <c r="D161" s="9" t="s">
        <v>504</v>
      </c>
      <c r="E161" s="15" t="n">
        <v>0.68</v>
      </c>
      <c r="F161" s="19" t="n">
        <f aca="false">Special!$C$15</f>
        <v>0.68</v>
      </c>
      <c r="G161" s="31" t="n">
        <f aca="false">IFERROR(IF(ISNUMBER(F161),F161-E161,"n/a"),"n/a")</f>
        <v>0</v>
      </c>
      <c r="H161" s="40" t="n">
        <v>0.005000001</v>
      </c>
      <c r="I161" s="35" t="str">
        <f aca="false">IFERROR(IF(ISNUMBER(F161),IF(ABS(F161-E161)&lt;=H161,"PASS","FAIL"),"FAIL"),"FAIL")</f>
        <v>PASS</v>
      </c>
    </row>
    <row r="162" customFormat="false" ht="15" hidden="false" customHeight="false" outlineLevel="0" collapsed="false">
      <c r="B162" s="36" t="n">
        <v>153</v>
      </c>
      <c r="C162" s="9" t="s">
        <v>361</v>
      </c>
      <c r="D162" s="9" t="s">
        <v>505</v>
      </c>
      <c r="E162" s="28" t="n">
        <v>87.04</v>
      </c>
      <c r="F162" s="42" t="n">
        <f aca="false">Special!$C$16</f>
        <v>87.04</v>
      </c>
      <c r="G162" s="31" t="n">
        <f aca="false">IFERROR(IF(ISNUMBER(F162),F162-E162,"n/a"),"n/a")</f>
        <v>0</v>
      </c>
      <c r="H162" s="40" t="n">
        <v>0.005000001</v>
      </c>
      <c r="I162" s="35" t="str">
        <f aca="false">IFERROR(IF(ISNUMBER(F162),IF(ABS(F162-E162)&lt;=H162,"PASS","FAIL"),"FAIL"),"FAIL")</f>
        <v>PASS</v>
      </c>
    </row>
    <row r="163" customFormat="false" ht="15" hidden="false" customHeight="false" outlineLevel="0" collapsed="false">
      <c r="B163" s="36" t="n">
        <v>154</v>
      </c>
      <c r="C163" s="9" t="s">
        <v>361</v>
      </c>
      <c r="D163" s="9" t="s">
        <v>506</v>
      </c>
      <c r="E163" s="27" t="n">
        <v>3494656</v>
      </c>
      <c r="F163" s="21" t="n">
        <f aca="false">Special!$C$17</f>
        <v>3494656</v>
      </c>
      <c r="G163" s="31" t="n">
        <f aca="false">IFERROR(IF(ISNUMBER(F163),F163-E163,"n/a"),"n/a")</f>
        <v>0</v>
      </c>
      <c r="H163" s="40" t="n">
        <v>0.500000001</v>
      </c>
      <c r="I163" s="35" t="str">
        <f aca="false">IFERROR(IF(ISNUMBER(F163),IF(ABS(F163-E163)&lt;=H163,"PASS","FAIL"),"FAIL"),"FAIL")</f>
        <v>PASS</v>
      </c>
    </row>
    <row r="164" customFormat="false" ht="15" hidden="false" customHeight="false" outlineLevel="0" collapsed="false">
      <c r="B164" s="36" t="n">
        <v>155</v>
      </c>
      <c r="C164" s="9" t="s">
        <v>361</v>
      </c>
      <c r="D164" s="9" t="s">
        <v>507</v>
      </c>
      <c r="E164" s="27" t="n">
        <v>3774228</v>
      </c>
      <c r="F164" s="21" t="n">
        <f aca="false">Special!$C$19</f>
        <v>3774228.48</v>
      </c>
      <c r="G164" s="31" t="n">
        <f aca="false">IFERROR(IF(ISNUMBER(F164),F164-E164,"n/a"),"n/a")</f>
        <v>0.480000000912696</v>
      </c>
      <c r="H164" s="40" t="n">
        <v>0.500000001</v>
      </c>
      <c r="I164" s="35" t="str">
        <f aca="false">IFERROR(IF(ISNUMBER(F164),IF(ABS(F164-E164)&lt;=H164,"PASS","FAIL"),"FAIL"),"FAIL")</f>
        <v>PASS</v>
      </c>
    </row>
    <row r="165" customFormat="false" ht="15" hidden="false" customHeight="false" outlineLevel="0" collapsed="false">
      <c r="B165" s="36" t="n">
        <v>156</v>
      </c>
      <c r="C165" s="9" t="s">
        <v>361</v>
      </c>
      <c r="D165" s="9" t="s">
        <v>508</v>
      </c>
      <c r="E165" s="15" t="n">
        <v>0.33</v>
      </c>
      <c r="F165" s="19" t="n">
        <f aca="false">Special!$C$20</f>
        <v>0.33</v>
      </c>
      <c r="G165" s="31" t="n">
        <f aca="false">IFERROR(IF(ISNUMBER(F165),F165-E165,"n/a"),"n/a")</f>
        <v>0</v>
      </c>
      <c r="H165" s="40" t="n">
        <v>0.005000001</v>
      </c>
      <c r="I165" s="35" t="str">
        <f aca="false">IFERROR(IF(ISNUMBER(F165),IF(ABS(F165-E165)&lt;=H165,"PASS","FAIL"),"FAIL"),"FAIL")</f>
        <v>PASS</v>
      </c>
    </row>
    <row r="166" customFormat="false" ht="15" hidden="false" customHeight="false" outlineLevel="0" collapsed="false">
      <c r="B166" s="36" t="n">
        <v>157</v>
      </c>
      <c r="C166" s="9" t="s">
        <v>361</v>
      </c>
      <c r="D166" s="9" t="s">
        <v>509</v>
      </c>
      <c r="E166" s="27" t="n">
        <v>1245495</v>
      </c>
      <c r="F166" s="21" t="n">
        <f aca="false">Special!$C$21</f>
        <v>1245495.3984</v>
      </c>
      <c r="G166" s="31" t="n">
        <f aca="false">IFERROR(IF(ISNUMBER(F166),F166-E166,"n/a"),"n/a")</f>
        <v>0.398400000296533</v>
      </c>
      <c r="H166" s="40" t="n">
        <v>0.500000001</v>
      </c>
      <c r="I166" s="35" t="str">
        <f aca="false">IFERROR(IF(ISNUMBER(F166),IF(ABS(F166-E166)&lt;=H166,"PASS","FAIL"),"FAIL"),"FAIL")</f>
        <v>PASS</v>
      </c>
    </row>
    <row r="167" customFormat="false" ht="15" hidden="false" customHeight="false" outlineLevel="0" collapsed="false">
      <c r="B167" s="36" t="n">
        <v>158</v>
      </c>
      <c r="C167" s="9" t="s">
        <v>361</v>
      </c>
      <c r="D167" s="9" t="s">
        <v>510</v>
      </c>
      <c r="E167" s="20" t="n">
        <v>0.085</v>
      </c>
      <c r="F167" s="41" t="n">
        <f aca="false">Special!$C$22</f>
        <v>0.085</v>
      </c>
      <c r="G167" s="31" t="n">
        <f aca="false">IFERROR(IF(ISNUMBER(F167),F167-E167,"n/a"),"n/a")</f>
        <v>0</v>
      </c>
      <c r="H167" s="40" t="n">
        <v>5.0001E-005</v>
      </c>
      <c r="I167" s="35" t="str">
        <f aca="false">IFERROR(IF(ISNUMBER(F167),IF(ABS(F167-E167)&lt;=H167,"PASS","FAIL"),"FAIL"),"FAIL")</f>
        <v>PASS</v>
      </c>
    </row>
    <row r="168" customFormat="false" ht="15" hidden="false" customHeight="false" outlineLevel="0" collapsed="false">
      <c r="B168" s="36" t="n">
        <v>159</v>
      </c>
      <c r="C168" s="9" t="s">
        <v>361</v>
      </c>
      <c r="D168" s="9" t="s">
        <v>511</v>
      </c>
      <c r="E168" s="27" t="n">
        <v>14652887</v>
      </c>
      <c r="F168" s="21" t="n">
        <f aca="false">Special!$C$23</f>
        <v>14652887.04</v>
      </c>
      <c r="G168" s="31" t="n">
        <f aca="false">IFERROR(IF(ISNUMBER(F168),F168-E168,"n/a"),"n/a")</f>
        <v>0.0400000028312206</v>
      </c>
      <c r="H168" s="40" t="n">
        <v>0.500000001</v>
      </c>
      <c r="I168" s="35" t="str">
        <f aca="false">IFERROR(IF(ISNUMBER(F168),IF(ABS(F168-E168)&lt;=H168,"PASS","FAIL"),"FAIL"),"FAIL")</f>
        <v>PASS</v>
      </c>
    </row>
    <row r="169" customFormat="false" ht="15" hidden="false" customHeight="false" outlineLevel="0" collapsed="false">
      <c r="B169" s="36" t="n">
        <v>160</v>
      </c>
      <c r="C169" s="9" t="s">
        <v>361</v>
      </c>
      <c r="D169" s="9" t="s">
        <v>512</v>
      </c>
      <c r="E169" s="27" t="n">
        <v>133208</v>
      </c>
      <c r="F169" s="21" t="n">
        <f aca="false">Special!$C$24</f>
        <v>133208.064</v>
      </c>
      <c r="G169" s="31" t="n">
        <f aca="false">IFERROR(IF(ISNUMBER(F169),F169-E169,"n/a"),"n/a")</f>
        <v>0.0640000000130385</v>
      </c>
      <c r="H169" s="40" t="n">
        <v>0.500000001</v>
      </c>
      <c r="I169" s="35" t="str">
        <f aca="false">IFERROR(IF(ISNUMBER(F169),IF(ABS(F169-E169)&lt;=H169,"PASS","FAIL"),"FAIL"),"FAIL")</f>
        <v>PASS</v>
      </c>
    </row>
    <row r="170" customFormat="false" ht="15" hidden="false" customHeight="false" outlineLevel="0" collapsed="false">
      <c r="B170" s="36" t="n">
        <v>161</v>
      </c>
      <c r="C170" s="9" t="s">
        <v>361</v>
      </c>
      <c r="D170" s="9" t="s">
        <v>513</v>
      </c>
      <c r="E170" s="27" t="n">
        <v>12000</v>
      </c>
      <c r="F170" s="21" t="n">
        <f aca="false">Special!$C$25</f>
        <v>12000</v>
      </c>
      <c r="G170" s="31" t="n">
        <f aca="false">IFERROR(IF(ISNUMBER(F170),F170-E170,"n/a"),"n/a")</f>
        <v>0</v>
      </c>
      <c r="H170" s="40" t="n">
        <v>0.500000001</v>
      </c>
      <c r="I170" s="35" t="str">
        <f aca="false">IFERROR(IF(ISNUMBER(F170),IF(ABS(F170-E170)&lt;=H170,"PASS","FAIL"),"FAIL"),"FAIL")</f>
        <v>PASS</v>
      </c>
    </row>
    <row r="171" customFormat="false" ht="15" hidden="false" customHeight="false" outlineLevel="0" collapsed="false">
      <c r="B171" s="36" t="n">
        <v>162</v>
      </c>
      <c r="C171" s="9" t="s">
        <v>361</v>
      </c>
      <c r="D171" s="9" t="s">
        <v>514</v>
      </c>
      <c r="E171" s="27" t="n">
        <v>1320000</v>
      </c>
      <c r="F171" s="21" t="n">
        <f aca="false">Special!$C$26</f>
        <v>1320000</v>
      </c>
      <c r="G171" s="31" t="n">
        <f aca="false">IFERROR(IF(ISNUMBER(F171),F171-E171,"n/a"),"n/a")</f>
        <v>0</v>
      </c>
      <c r="H171" s="40" t="n">
        <v>0.500000001</v>
      </c>
      <c r="I171" s="35" t="str">
        <f aca="false">IFERROR(IF(ISNUMBER(F171),IF(ABS(F171-E171)&lt;=H171,"PASS","FAIL"),"FAIL"),"FAIL")</f>
        <v>PASS</v>
      </c>
    </row>
    <row r="172" customFormat="false" ht="15" hidden="false" customHeight="false" outlineLevel="0" collapsed="false">
      <c r="B172" s="36" t="n">
        <v>163</v>
      </c>
      <c r="C172" s="9" t="s">
        <v>361</v>
      </c>
      <c r="D172" s="9" t="s">
        <v>515</v>
      </c>
      <c r="E172" s="15" t="n">
        <v>0.02</v>
      </c>
      <c r="F172" s="19" t="n">
        <f aca="false">Special!$C$27</f>
        <v>0.02</v>
      </c>
      <c r="G172" s="31" t="n">
        <f aca="false">IFERROR(IF(ISNUMBER(F172),F172-E172,"n/a"),"n/a")</f>
        <v>0</v>
      </c>
      <c r="H172" s="40" t="n">
        <v>0.005000001</v>
      </c>
      <c r="I172" s="35" t="str">
        <f aca="false">IFERROR(IF(ISNUMBER(F172),IF(ABS(F172-E172)&lt;=H172,"PASS","FAIL"),"FAIL"),"FAIL")</f>
        <v>PASS</v>
      </c>
    </row>
    <row r="173" customFormat="false" ht="15" hidden="false" customHeight="false" outlineLevel="0" collapsed="false">
      <c r="B173" s="36" t="n">
        <v>164</v>
      </c>
      <c r="C173" s="9" t="s">
        <v>361</v>
      </c>
      <c r="D173" s="9" t="s">
        <v>516</v>
      </c>
      <c r="E173" s="15" t="n">
        <v>0.15</v>
      </c>
      <c r="F173" s="19" t="n">
        <f aca="false">Special!$C$29</f>
        <v>0.15</v>
      </c>
      <c r="G173" s="31" t="n">
        <f aca="false">IFERROR(IF(ISNUMBER(F173),F173-E173,"n/a"),"n/a")</f>
        <v>0</v>
      </c>
      <c r="H173" s="40" t="n">
        <v>0.005000001</v>
      </c>
      <c r="I173" s="35" t="str">
        <f aca="false">IFERROR(IF(ISNUMBER(F173),IF(ABS(F173-E173)&lt;=H173,"PASS","FAIL"),"FAIL"),"FAIL")</f>
        <v>PASS</v>
      </c>
    </row>
    <row r="174" customFormat="false" ht="15" hidden="false" customHeight="false" outlineLevel="0" collapsed="false">
      <c r="B174" s="36" t="n">
        <v>165</v>
      </c>
      <c r="C174" s="9" t="s">
        <v>361</v>
      </c>
      <c r="D174" s="9" t="s">
        <v>517</v>
      </c>
      <c r="E174" s="27" t="n">
        <v>503230</v>
      </c>
      <c r="F174" s="21" t="n">
        <f aca="false">Special!$C$30</f>
        <v>503230.464</v>
      </c>
      <c r="G174" s="31" t="n">
        <f aca="false">IFERROR(IF(ISNUMBER(F174),F174-E174,"n/a"),"n/a")</f>
        <v>0.464000000152737</v>
      </c>
      <c r="H174" s="40" t="n">
        <v>0.500000001</v>
      </c>
      <c r="I174" s="35" t="str">
        <f aca="false">IFERROR(IF(ISNUMBER(F174),IF(ABS(F174-E174)&lt;=H174,"PASS","FAIL"),"FAIL"),"FAIL")</f>
        <v>PASS</v>
      </c>
    </row>
    <row r="175" customFormat="false" ht="15" hidden="false" customHeight="false" outlineLevel="0" collapsed="false">
      <c r="B175" s="36" t="n">
        <v>166</v>
      </c>
      <c r="C175" s="9" t="s">
        <v>361</v>
      </c>
      <c r="D175" s="9" t="s">
        <v>518</v>
      </c>
      <c r="E175" s="27" t="n">
        <v>12829657</v>
      </c>
      <c r="F175" s="21" t="n">
        <f aca="false">Special!$C$31</f>
        <v>12829656.576</v>
      </c>
      <c r="G175" s="31" t="n">
        <f aca="false">IFERROR(IF(ISNUMBER(F175),F175-E175,"n/a"),"n/a")</f>
        <v>-0.423999996855855</v>
      </c>
      <c r="H175" s="40" t="n">
        <v>0.500000001</v>
      </c>
      <c r="I175" s="35" t="str">
        <f aca="false">IFERROR(IF(ISNUMBER(F175),IF(ABS(F175-E175)&lt;=H175,"PASS","FAIL"),"FAIL"),"FAIL")</f>
        <v>PASS</v>
      </c>
    </row>
    <row r="176" customFormat="false" ht="15" hidden="false" customHeight="false" outlineLevel="0" collapsed="false">
      <c r="B176" s="36" t="n">
        <v>167</v>
      </c>
      <c r="C176" s="9" t="s">
        <v>361</v>
      </c>
      <c r="D176" s="9" t="s">
        <v>519</v>
      </c>
      <c r="E176" s="26" t="n">
        <v>0.876</v>
      </c>
      <c r="F176" s="22" t="n">
        <f aca="false">Special!$C$32</f>
        <v>0.875571929339053</v>
      </c>
      <c r="G176" s="31" t="n">
        <f aca="false">IFERROR(IF(ISNUMBER(F176),F176-E176,"n/a"),"n/a")</f>
        <v>-0.000428070660947189</v>
      </c>
      <c r="H176" s="40" t="n">
        <v>0.000500001</v>
      </c>
      <c r="I176" s="35" t="str">
        <f aca="false">IFERROR(IF(ISNUMBER(F176),IF(ABS(F176-E176)&lt;=H176,"PASS","FAIL"),"FAIL"),"FAIL")</f>
        <v>PASS</v>
      </c>
    </row>
    <row r="177" customFormat="false" ht="15" hidden="false" customHeight="false" outlineLevel="0" collapsed="false">
      <c r="B177" s="36" t="n">
        <v>168</v>
      </c>
      <c r="C177" s="9" t="s">
        <v>363</v>
      </c>
      <c r="D177" s="9" t="s">
        <v>520</v>
      </c>
      <c r="E177" s="27" t="n">
        <v>500000</v>
      </c>
      <c r="F177" s="21" t="n">
        <f aca="false">Rules!$C$6</f>
        <v>500000</v>
      </c>
      <c r="G177" s="31" t="n">
        <f aca="false">IFERROR(IF(ISNUMBER(F177),F177-E177,"n/a"),"n/a")</f>
        <v>0</v>
      </c>
      <c r="H177" s="40" t="n">
        <v>0.500000001</v>
      </c>
      <c r="I177" s="35" t="str">
        <f aca="false">IFERROR(IF(ISNUMBER(F177),IF(ABS(F177-E177)&lt;=H177,"PASS","FAIL"),"FAIL"),"FAIL")</f>
        <v>PASS</v>
      </c>
    </row>
    <row r="178" customFormat="false" ht="15" hidden="false" customHeight="false" outlineLevel="0" collapsed="false">
      <c r="B178" s="36" t="n">
        <v>169</v>
      </c>
      <c r="C178" s="9" t="s">
        <v>363</v>
      </c>
      <c r="D178" s="9" t="s">
        <v>521</v>
      </c>
      <c r="E178" s="27" t="n">
        <v>400000</v>
      </c>
      <c r="F178" s="21" t="n">
        <f aca="false">Rules!$C$7</f>
        <v>400000</v>
      </c>
      <c r="G178" s="31" t="n">
        <f aca="false">IFERROR(IF(ISNUMBER(F178),F178-E178,"n/a"),"n/a")</f>
        <v>0</v>
      </c>
      <c r="H178" s="40" t="n">
        <v>0.500000001</v>
      </c>
      <c r="I178" s="35" t="str">
        <f aca="false">IFERROR(IF(ISNUMBER(F178),IF(ABS(F178-E178)&lt;=H178,"PASS","FAIL"),"FAIL"),"FAIL")</f>
        <v>PASS</v>
      </c>
    </row>
    <row r="179" customFormat="false" ht="15" hidden="false" customHeight="false" outlineLevel="0" collapsed="false">
      <c r="B179" s="36" t="n">
        <v>170</v>
      </c>
      <c r="C179" s="9" t="s">
        <v>363</v>
      </c>
      <c r="D179" s="9" t="s">
        <v>522</v>
      </c>
      <c r="E179" s="27" t="n">
        <v>1000000</v>
      </c>
      <c r="F179" s="21" t="n">
        <f aca="false">Rules!$C$8</f>
        <v>1000000</v>
      </c>
      <c r="G179" s="31" t="n">
        <f aca="false">IFERROR(IF(ISNUMBER(F179),F179-E179,"n/a"),"n/a")</f>
        <v>0</v>
      </c>
      <c r="H179" s="40" t="n">
        <v>0.500000001</v>
      </c>
      <c r="I179" s="35" t="str">
        <f aca="false">IFERROR(IF(ISNUMBER(F179),IF(ABS(F179-E179)&lt;=H179,"PASS","FAIL"),"FAIL"),"FAIL")</f>
        <v>PASS</v>
      </c>
    </row>
    <row r="180" customFormat="false" ht="15" hidden="false" customHeight="false" outlineLevel="0" collapsed="false">
      <c r="B180" s="36" t="n">
        <v>171</v>
      </c>
      <c r="C180" s="9" t="s">
        <v>363</v>
      </c>
      <c r="D180" s="9" t="s">
        <v>523</v>
      </c>
      <c r="E180" s="27" t="n">
        <v>75</v>
      </c>
      <c r="F180" s="21" t="n">
        <f aca="false">Rules!$C$14</f>
        <v>75</v>
      </c>
      <c r="G180" s="31" t="n">
        <f aca="false">IFERROR(IF(ISNUMBER(F180),F180-E180,"n/a"),"n/a")</f>
        <v>0</v>
      </c>
      <c r="H180" s="40" t="n">
        <v>0.500000001</v>
      </c>
      <c r="I180" s="35" t="str">
        <f aca="false">IFERROR(IF(ISNUMBER(F180),IF(ABS(F180-E180)&lt;=H180,"PASS","FAIL"),"FAIL"),"FAIL")</f>
        <v>PASS</v>
      </c>
    </row>
    <row r="181" customFormat="false" ht="15" hidden="false" customHeight="false" outlineLevel="0" collapsed="false">
      <c r="B181" s="36" t="n">
        <v>172</v>
      </c>
      <c r="C181" s="9" t="s">
        <v>363</v>
      </c>
      <c r="D181" s="9" t="s">
        <v>524</v>
      </c>
      <c r="E181" s="27" t="n">
        <v>150</v>
      </c>
      <c r="F181" s="21" t="n">
        <f aca="false">Rules!$C$15</f>
        <v>150</v>
      </c>
      <c r="G181" s="31" t="n">
        <f aca="false">IFERROR(IF(ISNUMBER(F181),F181-E181,"n/a"),"n/a")</f>
        <v>0</v>
      </c>
      <c r="H181" s="40" t="n">
        <v>0.500000001</v>
      </c>
      <c r="I181" s="35" t="str">
        <f aca="false">IFERROR(IF(ISNUMBER(F181),IF(ABS(F181-E181)&lt;=H181,"PASS","FAIL"),"FAIL"),"FAIL")</f>
        <v>PASS</v>
      </c>
    </row>
    <row r="182" customFormat="false" ht="15" hidden="false" customHeight="false" outlineLevel="0" collapsed="false">
      <c r="B182" s="36" t="n">
        <v>173</v>
      </c>
      <c r="C182" s="9" t="s">
        <v>363</v>
      </c>
      <c r="D182" s="9" t="s">
        <v>525</v>
      </c>
      <c r="E182" s="27" t="n">
        <v>1000</v>
      </c>
      <c r="F182" s="21" t="n">
        <f aca="false">Rules!$C$16</f>
        <v>1000</v>
      </c>
      <c r="G182" s="31" t="n">
        <f aca="false">IFERROR(IF(ISNUMBER(F182),F182-E182,"n/a"),"n/a")</f>
        <v>0</v>
      </c>
      <c r="H182" s="40" t="n">
        <v>0.500000001</v>
      </c>
      <c r="I182" s="35" t="str">
        <f aca="false">IFERROR(IF(ISNUMBER(F182),IF(ABS(F182-E182)&lt;=H182,"PASS","FAIL"),"FAIL"),"FAIL")</f>
        <v>PASS</v>
      </c>
    </row>
    <row r="183" customFormat="false" ht="15" hidden="false" customHeight="false" outlineLevel="0" collapsed="false">
      <c r="B183" s="36" t="n">
        <v>174</v>
      </c>
      <c r="C183" s="9" t="s">
        <v>363</v>
      </c>
      <c r="D183" s="9" t="s">
        <v>526</v>
      </c>
      <c r="E183" s="27" t="n">
        <v>6</v>
      </c>
      <c r="F183" s="21" t="n">
        <f aca="false">Rules!$C$17</f>
        <v>6</v>
      </c>
      <c r="G183" s="31" t="n">
        <f aca="false">IFERROR(IF(ISNUMBER(F183),F183-E183,"n/a"),"n/a")</f>
        <v>0</v>
      </c>
      <c r="H183" s="40" t="n">
        <v>0.500000001</v>
      </c>
      <c r="I183" s="35" t="str">
        <f aca="false">IFERROR(IF(ISNUMBER(F183),IF(ABS(F183-E183)&lt;=H183,"PASS","FAIL"),"FAIL"),"FAIL")</f>
        <v>PASS</v>
      </c>
    </row>
    <row r="184" customFormat="false" ht="15" hidden="false" customHeight="false" outlineLevel="0" collapsed="false">
      <c r="B184" s="36" t="n">
        <v>175</v>
      </c>
      <c r="C184" s="9" t="s">
        <v>363</v>
      </c>
      <c r="D184" s="9" t="s">
        <v>527</v>
      </c>
      <c r="E184" s="27" t="n">
        <v>200</v>
      </c>
      <c r="F184" s="21" t="n">
        <f aca="false">Rules!$C$18</f>
        <v>200</v>
      </c>
      <c r="G184" s="31" t="n">
        <f aca="false">IFERROR(IF(ISNUMBER(F184),F184-E184,"n/a"),"n/a")</f>
        <v>0</v>
      </c>
      <c r="H184" s="40" t="n">
        <v>0.500000001</v>
      </c>
      <c r="I184" s="35" t="str">
        <f aca="false">IFERROR(IF(ISNUMBER(F184),IF(ABS(F184-E184)&lt;=H184,"PASS","FAIL"),"FAIL"),"FAIL")</f>
        <v>PASS</v>
      </c>
    </row>
    <row r="185" customFormat="false" ht="15" hidden="false" customHeight="false" outlineLevel="0" collapsed="false">
      <c r="B185" s="36" t="n">
        <v>176</v>
      </c>
      <c r="C185" s="9" t="s">
        <v>363</v>
      </c>
      <c r="D185" s="9" t="s">
        <v>528</v>
      </c>
      <c r="E185" s="27" t="n">
        <v>1500</v>
      </c>
      <c r="F185" s="21" t="n">
        <f aca="false">Rules!$C$19</f>
        <v>1500</v>
      </c>
      <c r="G185" s="31" t="n">
        <f aca="false">IFERROR(IF(ISNUMBER(F185),F185-E185,"n/a"),"n/a")</f>
        <v>0</v>
      </c>
      <c r="H185" s="40" t="n">
        <v>0.500000001</v>
      </c>
      <c r="I185" s="35" t="str">
        <f aca="false">IFERROR(IF(ISNUMBER(F185),IF(ABS(F185-E185)&lt;=H185,"PASS","FAIL"),"FAIL"),"FAIL")</f>
        <v>PASS</v>
      </c>
    </row>
    <row r="186" customFormat="false" ht="15" hidden="false" customHeight="false" outlineLevel="0" collapsed="false">
      <c r="B186" s="36" t="n">
        <v>177</v>
      </c>
      <c r="C186" s="9" t="s">
        <v>363</v>
      </c>
      <c r="D186" s="9" t="s">
        <v>529</v>
      </c>
      <c r="E186" s="27" t="n">
        <v>12</v>
      </c>
      <c r="F186" s="21" t="n">
        <f aca="false">Rules!$C$20</f>
        <v>12</v>
      </c>
      <c r="G186" s="31" t="n">
        <f aca="false">IFERROR(IF(ISNUMBER(F186),F186-E186,"n/a"),"n/a")</f>
        <v>0</v>
      </c>
      <c r="H186" s="40" t="n">
        <v>0.500000001</v>
      </c>
      <c r="I186" s="35" t="str">
        <f aca="false">IFERROR(IF(ISNUMBER(F186),IF(ABS(F186-E186)&lt;=H186,"PASS","FAIL"),"FAIL"),"FAIL")</f>
        <v>PASS</v>
      </c>
    </row>
    <row r="187" customFormat="false" ht="15" hidden="false" customHeight="false" outlineLevel="0" collapsed="false">
      <c r="B187" s="36" t="n">
        <v>178</v>
      </c>
      <c r="C187" s="9" t="s">
        <v>363</v>
      </c>
      <c r="D187" s="9" t="s">
        <v>530</v>
      </c>
      <c r="E187" s="27" t="n">
        <v>300</v>
      </c>
      <c r="F187" s="21" t="n">
        <f aca="false">Rules!$C$21</f>
        <v>300</v>
      </c>
      <c r="G187" s="31" t="n">
        <f aca="false">IFERROR(IF(ISNUMBER(F187),F187-E187,"n/a"),"n/a")</f>
        <v>0</v>
      </c>
      <c r="H187" s="40" t="n">
        <v>0.500000001</v>
      </c>
      <c r="I187" s="35" t="str">
        <f aca="false">IFERROR(IF(ISNUMBER(F187),IF(ABS(F187-E187)&lt;=H187,"PASS","FAIL"),"FAIL"),"FAIL")</f>
        <v>PASS</v>
      </c>
    </row>
    <row r="188" customFormat="false" ht="15" hidden="false" customHeight="false" outlineLevel="0" collapsed="false">
      <c r="B188" s="36" t="n">
        <v>179</v>
      </c>
      <c r="C188" s="9" t="s">
        <v>363</v>
      </c>
      <c r="D188" s="9" t="s">
        <v>531</v>
      </c>
      <c r="E188" s="27" t="n">
        <v>3000</v>
      </c>
      <c r="F188" s="21" t="n">
        <f aca="false">Rules!$C$22</f>
        <v>3000</v>
      </c>
      <c r="G188" s="31" t="n">
        <f aca="false">IFERROR(IF(ISNUMBER(F188),F188-E188,"n/a"),"n/a")</f>
        <v>0</v>
      </c>
      <c r="H188" s="40" t="n">
        <v>0.500000001</v>
      </c>
      <c r="I188" s="35" t="str">
        <f aca="false">IFERROR(IF(ISNUMBER(F188),IF(ABS(F188-E188)&lt;=H188,"PASS","FAIL"),"FAIL"),"FAIL")</f>
        <v>PASS</v>
      </c>
    </row>
    <row r="189" customFormat="false" ht="15" hidden="false" customHeight="false" outlineLevel="0" collapsed="false">
      <c r="B189" s="36" t="n">
        <v>180</v>
      </c>
      <c r="C189" s="9" t="s">
        <v>363</v>
      </c>
      <c r="D189" s="9" t="s">
        <v>532</v>
      </c>
      <c r="E189" s="27" t="n">
        <v>18</v>
      </c>
      <c r="F189" s="21" t="n">
        <f aca="false">Rules!$C$23</f>
        <v>18</v>
      </c>
      <c r="G189" s="31" t="n">
        <f aca="false">IFERROR(IF(ISNUMBER(F189),F189-E189,"n/a"),"n/a")</f>
        <v>0</v>
      </c>
      <c r="H189" s="40" t="n">
        <v>0.500000001</v>
      </c>
      <c r="I189" s="35" t="str">
        <f aca="false">IFERROR(IF(ISNUMBER(F189),IF(ABS(F189-E189)&lt;=H189,"PASS","FAIL"),"FAIL"),"FAIL")</f>
        <v>PASS</v>
      </c>
    </row>
    <row r="190" customFormat="false" ht="15" hidden="false" customHeight="false" outlineLevel="0" collapsed="false">
      <c r="B190" s="36" t="n">
        <v>181</v>
      </c>
      <c r="C190" s="9" t="s">
        <v>363</v>
      </c>
      <c r="D190" s="9" t="s">
        <v>533</v>
      </c>
      <c r="E190" s="27" t="n">
        <v>1500</v>
      </c>
      <c r="F190" s="21" t="n">
        <f aca="false">Rules!$C$24</f>
        <v>1500</v>
      </c>
      <c r="G190" s="31" t="n">
        <f aca="false">IFERROR(IF(ISNUMBER(F190),F190-E190,"n/a"),"n/a")</f>
        <v>0</v>
      </c>
      <c r="H190" s="40" t="n">
        <v>0.500000001</v>
      </c>
      <c r="I190" s="35" t="str">
        <f aca="false">IFERROR(IF(ISNUMBER(F190),IF(ABS(F190-E190)&lt;=H190,"PASS","FAIL"),"FAIL"),"FAIL")</f>
        <v>PASS</v>
      </c>
    </row>
    <row r="191" customFormat="false" ht="15" hidden="false" customHeight="false" outlineLevel="0" collapsed="false">
      <c r="B191" s="36" t="n">
        <v>182</v>
      </c>
      <c r="C191" s="9" t="s">
        <v>363</v>
      </c>
      <c r="D191" s="9" t="s">
        <v>534</v>
      </c>
      <c r="E191" s="27" t="n">
        <v>1000000</v>
      </c>
      <c r="F191" s="21" t="n">
        <f aca="false">Rules!$C$25</f>
        <v>1000000</v>
      </c>
      <c r="G191" s="31" t="n">
        <f aca="false">IFERROR(IF(ISNUMBER(F191),F191-E191,"n/a"),"n/a")</f>
        <v>0</v>
      </c>
      <c r="H191" s="40" t="n">
        <v>0.500000001</v>
      </c>
      <c r="I191" s="35" t="str">
        <f aca="false">IFERROR(IF(ISNUMBER(F191),IF(ABS(F191-E191)&lt;=H191,"PASS","FAIL"),"FAIL"),"FAIL")</f>
        <v>PASS</v>
      </c>
    </row>
    <row r="192" customFormat="false" ht="15" hidden="false" customHeight="false" outlineLevel="0" collapsed="false">
      <c r="B192" s="36" t="n">
        <v>183</v>
      </c>
      <c r="C192" s="9" t="s">
        <v>363</v>
      </c>
      <c r="D192" s="9" t="s">
        <v>535</v>
      </c>
      <c r="E192" s="27" t="n">
        <v>400000</v>
      </c>
      <c r="F192" s="21" t="n">
        <f aca="false">Rules!$C$26</f>
        <v>400000</v>
      </c>
      <c r="G192" s="31" t="n">
        <f aca="false">IFERROR(IF(ISNUMBER(F192),F192-E192,"n/a"),"n/a")</f>
        <v>0</v>
      </c>
      <c r="H192" s="40" t="n">
        <v>0.500000001</v>
      </c>
      <c r="I192" s="35" t="str">
        <f aca="false">IFERROR(IF(ISNUMBER(F192),IF(ABS(F192-E192)&lt;=H192,"PASS","FAIL"),"FAIL"),"FAIL")</f>
        <v>PASS</v>
      </c>
    </row>
    <row r="193" customFormat="false" ht="15" hidden="false" customHeight="false" outlineLevel="0" collapsed="false">
      <c r="B193" s="36" t="n">
        <v>184</v>
      </c>
      <c r="C193" s="9" t="s">
        <v>363</v>
      </c>
      <c r="D193" s="9" t="s">
        <v>536</v>
      </c>
      <c r="E193" s="27" t="n">
        <v>45</v>
      </c>
      <c r="F193" s="21" t="n">
        <f aca="false">Rules!$C$29</f>
        <v>45</v>
      </c>
      <c r="G193" s="31" t="n">
        <f aca="false">IFERROR(IF(ISNUMBER(F193),F193-E193,"n/a"),"n/a")</f>
        <v>0</v>
      </c>
      <c r="H193" s="40" t="n">
        <v>0.500000001</v>
      </c>
      <c r="I193" s="35" t="str">
        <f aca="false">IFERROR(IF(ISNUMBER(F193),IF(ABS(F193-E193)&lt;=H193,"PASS","FAIL"),"FAIL"),"FAIL")</f>
        <v>PASS</v>
      </c>
    </row>
    <row r="194" customFormat="false" ht="15" hidden="false" customHeight="false" outlineLevel="0" collapsed="false">
      <c r="B194" s="36" t="n">
        <v>185</v>
      </c>
      <c r="C194" s="9" t="s">
        <v>363</v>
      </c>
      <c r="D194" s="9" t="s">
        <v>537</v>
      </c>
      <c r="E194" s="27" t="n">
        <v>180</v>
      </c>
      <c r="F194" s="21" t="n">
        <f aca="false">Rules!$C$30</f>
        <v>180</v>
      </c>
      <c r="G194" s="31" t="n">
        <f aca="false">IFERROR(IF(ISNUMBER(F194),F194-E194,"n/a"),"n/a")</f>
        <v>0</v>
      </c>
      <c r="H194" s="40" t="n">
        <v>0.500000001</v>
      </c>
      <c r="I194" s="35" t="str">
        <f aca="false">IFERROR(IF(ISNUMBER(F194),IF(ABS(F194-E194)&lt;=H194,"PASS","FAIL"),"FAIL"),"FAIL")</f>
        <v>PASS</v>
      </c>
    </row>
    <row r="195" customFormat="false" ht="15" hidden="false" customHeight="false" outlineLevel="0" collapsed="false">
      <c r="B195" s="36" t="n">
        <v>186</v>
      </c>
      <c r="C195" s="9" t="s">
        <v>363</v>
      </c>
      <c r="D195" s="9" t="s">
        <v>538</v>
      </c>
      <c r="E195" s="27" t="n">
        <v>3</v>
      </c>
      <c r="F195" s="21" t="n">
        <f aca="false">Rules!$C$31</f>
        <v>3</v>
      </c>
      <c r="G195" s="31" t="n">
        <f aca="false">IFERROR(IF(ISNUMBER(F195),F195-E195,"n/a"),"n/a")</f>
        <v>0</v>
      </c>
      <c r="H195" s="40" t="n">
        <v>0.500000001</v>
      </c>
      <c r="I195" s="35" t="str">
        <f aca="false">IFERROR(IF(ISNUMBER(F195),IF(ABS(F195-E195)&lt;=H195,"PASS","FAIL"),"FAIL"),"FAIL")</f>
        <v>PASS</v>
      </c>
    </row>
    <row r="196" customFormat="false" ht="15" hidden="false" customHeight="false" outlineLevel="0" collapsed="false">
      <c r="B196" s="36" t="n">
        <v>187</v>
      </c>
      <c r="C196" s="9" t="s">
        <v>363</v>
      </c>
      <c r="D196" s="9" t="s">
        <v>539</v>
      </c>
      <c r="E196" s="15" t="n">
        <v>2</v>
      </c>
      <c r="F196" s="19" t="n">
        <f aca="false">Rules!$C$32</f>
        <v>2</v>
      </c>
      <c r="G196" s="31" t="n">
        <f aca="false">IFERROR(IF(ISNUMBER(F196),F196-E196,"n/a"),"n/a")</f>
        <v>0</v>
      </c>
      <c r="H196" s="40" t="n">
        <v>0.005000001</v>
      </c>
      <c r="I196" s="35" t="str">
        <f aca="false">IFERROR(IF(ISNUMBER(F196),IF(ABS(F196-E196)&lt;=H196,"PASS","FAIL"),"FAIL"),"FAIL")</f>
        <v>PASS</v>
      </c>
    </row>
    <row r="197" customFormat="false" ht="15" hidden="false" customHeight="false" outlineLevel="0" collapsed="false">
      <c r="B197" s="36" t="n">
        <v>188</v>
      </c>
      <c r="C197" s="9" t="s">
        <v>363</v>
      </c>
      <c r="D197" s="9" t="s">
        <v>540</v>
      </c>
      <c r="E197" s="27" t="n">
        <v>2024</v>
      </c>
      <c r="F197" s="21" t="n">
        <f aca="false">Rules!$C$35</f>
        <v>2024</v>
      </c>
      <c r="G197" s="31" t="n">
        <f aca="false">IFERROR(IF(ISNUMBER(F197),F197-E197,"n/a"),"n/a")</f>
        <v>0</v>
      </c>
      <c r="H197" s="40" t="n">
        <v>0.500000001</v>
      </c>
      <c r="I197" s="35" t="str">
        <f aca="false">IFERROR(IF(ISNUMBER(F197),IF(ABS(F197-E197)&lt;=H197,"PASS","FAIL"),"FAIL"),"FAIL")</f>
        <v>PASS</v>
      </c>
    </row>
    <row r="198" customFormat="false" ht="15" hidden="false" customHeight="false" outlineLevel="0" collapsed="false">
      <c r="B198" s="36" t="n">
        <v>189</v>
      </c>
      <c r="C198" s="9" t="s">
        <v>363</v>
      </c>
      <c r="D198" s="9" t="s">
        <v>541</v>
      </c>
      <c r="E198" s="27" t="n">
        <v>2010</v>
      </c>
      <c r="F198" s="21" t="n">
        <f aca="false">Rules!$C$36</f>
        <v>2010</v>
      </c>
      <c r="G198" s="31" t="n">
        <f aca="false">IFERROR(IF(ISNUMBER(F198),F198-E198,"n/a"),"n/a")</f>
        <v>0</v>
      </c>
      <c r="H198" s="40" t="n">
        <v>0.500000001</v>
      </c>
      <c r="I198" s="35" t="str">
        <f aca="false">IFERROR(IF(ISNUMBER(F198),IF(ABS(F198-E198)&lt;=H198,"PASS","FAIL"),"FAIL"),"FAIL")</f>
        <v>PASS</v>
      </c>
    </row>
    <row r="199" customFormat="false" ht="15" hidden="false" customHeight="false" outlineLevel="0" collapsed="false">
      <c r="B199" s="36" t="n">
        <v>190</v>
      </c>
      <c r="C199" s="9" t="s">
        <v>363</v>
      </c>
      <c r="D199" s="9" t="s">
        <v>542</v>
      </c>
      <c r="E199" s="27" t="n">
        <v>2024</v>
      </c>
      <c r="F199" s="21" t="n">
        <f aca="false">Rules!$C$37</f>
        <v>2024</v>
      </c>
      <c r="G199" s="31" t="n">
        <f aca="false">IFERROR(IF(ISNUMBER(F199),F199-E199,"n/a"),"n/a")</f>
        <v>0</v>
      </c>
      <c r="H199" s="40" t="n">
        <v>0.500000001</v>
      </c>
      <c r="I199" s="35" t="str">
        <f aca="false">IFERROR(IF(ISNUMBER(F199),IF(ABS(F199-E199)&lt;=H199,"PASS","FAIL"),"FAIL"),"FAIL")</f>
        <v>PASS</v>
      </c>
    </row>
    <row r="200" customFormat="false" ht="15" hidden="false" customHeight="false" outlineLevel="0" collapsed="false">
      <c r="B200" s="36" t="n">
        <v>191</v>
      </c>
      <c r="C200" s="9" t="s">
        <v>363</v>
      </c>
      <c r="D200" s="9" t="s">
        <v>543</v>
      </c>
      <c r="E200" s="27" t="n">
        <v>5</v>
      </c>
      <c r="F200" s="21" t="n">
        <f aca="false">Rules!$C$38</f>
        <v>5</v>
      </c>
      <c r="G200" s="31" t="n">
        <f aca="false">IFERROR(IF(ISNUMBER(F200),F200-E200,"n/a"),"n/a")</f>
        <v>0</v>
      </c>
      <c r="H200" s="40" t="n">
        <v>0.500000001</v>
      </c>
      <c r="I200" s="35" t="str">
        <f aca="false">IFERROR(IF(ISNUMBER(F200),IF(ABS(F200-E200)&lt;=H200,"PASS","FAIL"),"FAIL"),"FAIL")</f>
        <v>PASS</v>
      </c>
    </row>
    <row r="201" customFormat="false" ht="15" hidden="false" customHeight="false" outlineLevel="0" collapsed="false">
      <c r="B201" s="36" t="n">
        <v>192</v>
      </c>
      <c r="C201" s="9" t="s">
        <v>363</v>
      </c>
      <c r="D201" s="9" t="s">
        <v>544</v>
      </c>
      <c r="E201" s="27" t="n">
        <v>2026</v>
      </c>
      <c r="F201" s="21" t="n">
        <f aca="false">Rules!$C$39</f>
        <v>2026</v>
      </c>
      <c r="G201" s="31" t="n">
        <f aca="false">IFERROR(IF(ISNUMBER(F201),F201-E201,"n/a"),"n/a")</f>
        <v>0</v>
      </c>
      <c r="H201" s="40" t="n">
        <v>0.500000001</v>
      </c>
      <c r="I201" s="35" t="str">
        <f aca="false">IFERROR(IF(ISNUMBER(F201),IF(ABS(F201-E201)&lt;=H201,"PASS","FAIL"),"FAIL"),"FAIL")</f>
        <v>PASS</v>
      </c>
    </row>
    <row r="202" customFormat="false" ht="15" hidden="false" customHeight="false" outlineLevel="0" collapsed="false">
      <c r="B202" s="36" t="n">
        <v>193</v>
      </c>
      <c r="C202" s="9" t="s">
        <v>363</v>
      </c>
      <c r="D202" s="9" t="s">
        <v>545</v>
      </c>
      <c r="E202" s="27" t="n">
        <v>6500</v>
      </c>
      <c r="F202" s="21" t="n">
        <f aca="false">Rules!$C$43</f>
        <v>6500</v>
      </c>
      <c r="G202" s="31" t="n">
        <f aca="false">IFERROR(IF(ISNUMBER(F202),F202-E202,"n/a"),"n/a")</f>
        <v>0</v>
      </c>
      <c r="H202" s="40" t="n">
        <v>0.500000001</v>
      </c>
      <c r="I202" s="35" t="str">
        <f aca="false">IFERROR(IF(ISNUMBER(F202),IF(ABS(F202-E202)&lt;=H202,"PASS","FAIL"),"FAIL"),"FAIL")</f>
        <v>PASS</v>
      </c>
    </row>
    <row r="203" customFormat="false" ht="15" hidden="false" customHeight="false" outlineLevel="0" collapsed="false">
      <c r="B203" s="36" t="n">
        <v>194</v>
      </c>
      <c r="C203" s="9" t="s">
        <v>363</v>
      </c>
      <c r="D203" s="9" t="s">
        <v>546</v>
      </c>
      <c r="E203" s="27" t="n">
        <v>21</v>
      </c>
      <c r="F203" s="21" t="n">
        <f aca="false">Rules!$C$44</f>
        <v>21</v>
      </c>
      <c r="G203" s="31" t="n">
        <f aca="false">IFERROR(IF(ISNUMBER(F203),F203-E203,"n/a"),"n/a")</f>
        <v>0</v>
      </c>
      <c r="H203" s="40" t="n">
        <v>0.500000001</v>
      </c>
      <c r="I203" s="35" t="str">
        <f aca="false">IFERROR(IF(ISNUMBER(F203),IF(ABS(F203-E203)&lt;=H203,"PASS","FAIL"),"FAIL"),"FAIL")</f>
        <v>PASS</v>
      </c>
    </row>
    <row r="204" customFormat="false" ht="15" hidden="false" customHeight="false" outlineLevel="0" collapsed="false">
      <c r="B204" s="36" t="n">
        <v>195</v>
      </c>
      <c r="C204" s="9" t="s">
        <v>363</v>
      </c>
      <c r="D204" s="9" t="s">
        <v>547</v>
      </c>
      <c r="E204" s="27" t="n">
        <v>118</v>
      </c>
      <c r="F204" s="21" t="n">
        <f aca="false">Rules!$C$45</f>
        <v>118</v>
      </c>
      <c r="G204" s="31" t="n">
        <f aca="false">IFERROR(IF(ISNUMBER(F204),F204-E204,"n/a"),"n/a")</f>
        <v>0</v>
      </c>
      <c r="H204" s="40" t="n">
        <v>0.500000001</v>
      </c>
      <c r="I204" s="35" t="str">
        <f aca="false">IFERROR(IF(ISNUMBER(F204),IF(ABS(F204-E204)&lt;=H204,"PASS","FAIL"),"FAIL"),"FAIL")</f>
        <v>PASS</v>
      </c>
    </row>
    <row r="205" customFormat="false" ht="15" hidden="false" customHeight="false" outlineLevel="0" collapsed="false">
      <c r="B205" s="36" t="n">
        <v>196</v>
      </c>
      <c r="C205" s="9" t="s">
        <v>363</v>
      </c>
      <c r="D205" s="9" t="s">
        <v>548</v>
      </c>
      <c r="E205" s="43" t="n">
        <v>0.00054</v>
      </c>
      <c r="F205" s="44" t="n">
        <f aca="false">Rules!$C$46</f>
        <v>0.000537190082644628</v>
      </c>
      <c r="G205" s="31" t="n">
        <f aca="false">IFERROR(IF(ISNUMBER(F205),F205-E205,"n/a"),"n/a")</f>
        <v>-2.80991735537189E-006</v>
      </c>
      <c r="H205" s="40" t="n">
        <v>5.001E-006</v>
      </c>
      <c r="I205" s="35" t="str">
        <f aca="false">IFERROR(IF(ISNUMBER(F205),IF(ABS(F205-E205)&lt;=H205,"PASS","FAIL"),"FAIL"),"FAIL")</f>
        <v>PASS</v>
      </c>
    </row>
    <row r="206" customFormat="false" ht="15" hidden="false" customHeight="false" outlineLevel="0" collapsed="false">
      <c r="B206" s="36" t="n">
        <v>197</v>
      </c>
      <c r="C206" s="9" t="s">
        <v>363</v>
      </c>
      <c r="D206" s="9" t="s">
        <v>549</v>
      </c>
      <c r="E206" s="28" t="n">
        <v>90.28</v>
      </c>
      <c r="F206" s="42" t="n">
        <f aca="false">Rules!$C$47</f>
        <v>90.2777777777778</v>
      </c>
      <c r="G206" s="31" t="n">
        <f aca="false">IFERROR(IF(ISNUMBER(F206),F206-E206,"n/a"),"n/a")</f>
        <v>-0.00222222222222968</v>
      </c>
      <c r="H206" s="40" t="n">
        <v>0.005000001</v>
      </c>
      <c r="I206" s="35" t="str">
        <f aca="false">IFERROR(IF(ISNUMBER(F206),IF(ABS(F206-E206)&lt;=H206,"PASS","FAIL"),"FAIL"),"FAIL")</f>
        <v>PASS</v>
      </c>
    </row>
    <row r="207" customFormat="false" ht="15" hidden="false" customHeight="false" outlineLevel="0" collapsed="false">
      <c r="B207" s="36" t="n">
        <v>198</v>
      </c>
      <c r="C207" s="9" t="s">
        <v>363</v>
      </c>
      <c r="D207" s="9" t="s">
        <v>550</v>
      </c>
      <c r="E207" s="27" t="n">
        <v>550</v>
      </c>
      <c r="F207" s="21" t="n">
        <f aca="false">Rules!$C$48</f>
        <v>550</v>
      </c>
      <c r="G207" s="31" t="n">
        <f aca="false">IFERROR(IF(ISNUMBER(F207),F207-E207,"n/a"),"n/a")</f>
        <v>0</v>
      </c>
      <c r="H207" s="40" t="n">
        <v>0.500000001</v>
      </c>
      <c r="I207" s="35" t="str">
        <f aca="false">IFERROR(IF(ISNUMBER(F207),IF(ABS(F207-E207)&lt;=H207,"PASS","FAIL"),"FAIL"),"FAIL")</f>
        <v>PASS</v>
      </c>
    </row>
    <row r="208" customFormat="false" ht="15" hidden="false" customHeight="false" outlineLevel="0" collapsed="false">
      <c r="B208" s="36" t="n">
        <v>199</v>
      </c>
      <c r="C208" s="9" t="s">
        <v>363</v>
      </c>
      <c r="D208" s="9" t="s">
        <v>551</v>
      </c>
      <c r="E208" s="27" t="n">
        <v>7</v>
      </c>
      <c r="F208" s="21" t="n">
        <f aca="false">Rules!$C$49</f>
        <v>7</v>
      </c>
      <c r="G208" s="31" t="n">
        <f aca="false">IFERROR(IF(ISNUMBER(F208),F208-E208,"n/a"),"n/a")</f>
        <v>0</v>
      </c>
      <c r="H208" s="40" t="n">
        <v>0.500000001</v>
      </c>
      <c r="I208" s="35" t="str">
        <f aca="false">IFERROR(IF(ISNUMBER(F208),IF(ABS(F208-E208)&lt;=H208,"PASS","FAIL"),"FAIL"),"FAIL")</f>
        <v>PASS</v>
      </c>
    </row>
    <row r="209" customFormat="false" ht="15" hidden="false" customHeight="false" outlineLevel="0" collapsed="false">
      <c r="B209" s="36" t="n">
        <v>200</v>
      </c>
      <c r="C209" s="9" t="s">
        <v>363</v>
      </c>
      <c r="D209" s="9" t="s">
        <v>552</v>
      </c>
      <c r="E209" s="27" t="n">
        <v>3</v>
      </c>
      <c r="F209" s="21" t="n">
        <f aca="false">Rules!$C$50</f>
        <v>3</v>
      </c>
      <c r="G209" s="31" t="n">
        <f aca="false">IFERROR(IF(ISNUMBER(F209),F209-E209,"n/a"),"n/a")</f>
        <v>0</v>
      </c>
      <c r="H209" s="40" t="n">
        <v>0.500000001</v>
      </c>
      <c r="I209" s="35" t="str">
        <f aca="false">IFERROR(IF(ISNUMBER(F209),IF(ABS(F209-E209)&lt;=H209,"PASS","FAIL"),"FAIL"),"FAIL")</f>
        <v>PASS</v>
      </c>
    </row>
    <row r="210" customFormat="false" ht="15" hidden="false" customHeight="false" outlineLevel="0" collapsed="false">
      <c r="B210" s="36" t="n">
        <v>201</v>
      </c>
      <c r="C210" s="9" t="s">
        <v>363</v>
      </c>
      <c r="D210" s="9" t="s">
        <v>553</v>
      </c>
      <c r="E210" s="27" t="n">
        <v>6</v>
      </c>
      <c r="F210" s="21" t="n">
        <f aca="false">Rules!$C$51</f>
        <v>6</v>
      </c>
      <c r="G210" s="31" t="n">
        <f aca="false">IFERROR(IF(ISNUMBER(F210),F210-E210,"n/a"),"n/a")</f>
        <v>0</v>
      </c>
      <c r="H210" s="40" t="n">
        <v>0.500000001</v>
      </c>
      <c r="I210" s="35" t="str">
        <f aca="false">IFERROR(IF(ISNUMBER(F210),IF(ABS(F210-E210)&lt;=H210,"PASS","FAIL"),"FAIL"),"FAIL")</f>
        <v>PASS</v>
      </c>
    </row>
  </sheetData>
  <mergeCells count="1">
    <mergeCell ref="C7:D7"/>
  </mergeCells>
  <conditionalFormatting sqref="I10:I210">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2026-09-25T20:27:52Z</dcterms:created>
  <dc:creator>openpyxl</dc:creator>
  <dc:description/>
  <dc:language>en-US</dc:language>
  <cp:lastModifiedBy/>
  <dcterms:modified xsi:type="dcterms:W3CDTF">2026-09-25T20:27:52Z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