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Subject" sheetId="2" state="visible" r:id="rId4"/>
    <sheet name="Improved_Sales" sheetId="3" state="visible" r:id="rId5"/>
    <sheet name="Paired_Sales" sheetId="4" state="visible" r:id="rId6"/>
    <sheet name="Grid" sheetId="5" state="visible" r:id="rId7"/>
    <sheet name="Land" sheetId="6" state="visible" r:id="rId8"/>
    <sheet name="Cost_Approach" sheetId="7" state="visible" r:id="rId9"/>
    <sheet name="Highest_Best_Use" sheetId="8" state="visible" r:id="rId10"/>
    <sheet name="Checks"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<sst xmlns="http://schemas.openxmlformats.org/spreadsheetml/2006/main" count="879" uniqueCount="567">
  <si>
    <t xml:space="preserve">Appraisal_Sales_and_Cost.xlsx: the sales comparison and cost approaches to Kestrel Park Apartments</t>
  </si>
  <si>
    <t xml:space="preserve">Companion workbook to Real Estate Appraisal: Appraisal by the Numbers: The Three Approaches, Reconciliation, and Why the Appraised Value Differs from the Price, With the Models Supplied. By Julian R. Sterling. julianrsterling.com/appraisal</t>
  </si>
  <si>
    <t xml:space="preserve">What it is</t>
  </si>
  <si>
    <t xml:space="preserve">The five improved sales, the paired sales behind the adjustments, the full adjustment grid in the model's sequence, the land sales, the cost approach with its three kinds of depreciation and the market extraction, and the highest and best use tests.</t>
  </si>
  <si>
    <t xml:space="preserve">Where it is in the book</t>
  </si>
  <si>
    <t xml:space="preserve">Chapters 3 (highest and best use), 9 and 10 (sales comparison and paired sales) and 11 (cost approach).</t>
  </si>
  <si>
    <t xml:space="preserve">Sheets</t>
  </si>
  <si>
    <t xml:space="preserve">Subject; Improved_Sales; Paired_Sales; Grid; Land; Cost_Approach; Highest_Best_Use; Checks.</t>
  </si>
  <si>
    <t xml:space="preserve">Conventions</t>
  </si>
  <si>
    <t xml:space="preserve">Yellow cells with blue type are inputs; grey cells are formulas. Change an input and every sheet follows. Money in US dollars, annual figures unless a label says a month. Rents are monthly per unit. A cap rate is NOI divided by price, with NOI on the appraiser's basis (market management fee and reserves). Commercial values are rounded to 50,000 and residential values to 1,000 only where the book rounds. No macros, no circular references, no external links, nothing locked, protected or hidden.</t>
  </si>
  <si>
    <t xml:space="preserve">Kestrel Park Apartments, Auberon, the Westlake submarket, every comparable, party and person are fictional. Every rent, expense, cap rate and cost figure is the book's assumption, not market data.</t>
  </si>
  <si>
    <t xml:space="preserve">Checks</t>
  </si>
  <si>
    <t xml:space="preserve">The last sheet, Checks, sets every figure the book prints from this workbook beside the live cell that computes it, with a tolerance of half a unit of the last printed digit, plus logic checks. Its global status reads PASS only if every check passes.</t>
  </si>
  <si>
    <t xml:space="preserve">The file is provided without warranty of any kind. It is a teaching model, not an appraisal, and not investment, legal or tax advice.</t>
  </si>
  <si>
    <t xml:space="preserve">The subject and the figures carried over from the income workbook</t>
  </si>
  <si>
    <t xml:space="preserve">Yellow cells with blue type are inputs. The EGI, the cap rate and the final value come from the income and reconciliation workbooks; the rest describes the subject.</t>
  </si>
  <si>
    <t xml:space="preserve">The subject</t>
  </si>
  <si>
    <t xml:space="preserve">Units</t>
  </si>
  <si>
    <t xml:space="preserve">Year built</t>
  </si>
  <si>
    <t xml:space="preserve">Year of the effective date</t>
  </si>
  <si>
    <t xml:space="preserve">Actual age at the effective date, years</t>
  </si>
  <si>
    <t xml:space="preserve">Net rentable area, square feet</t>
  </si>
  <si>
    <t xml:space="preserve">Average unit size, square feet</t>
  </si>
  <si>
    <t xml:space="preserve">Gross building area, square feet</t>
  </si>
  <si>
    <t xml:space="preserve">Site, acres</t>
  </si>
  <si>
    <t xml:space="preserve">Site, square feet</t>
  </si>
  <si>
    <t xml:space="preserve">Zoning: maximum units per acre</t>
  </si>
  <si>
    <t xml:space="preserve">Units allowed on the site as vacant (whole units)</t>
  </si>
  <si>
    <t xml:space="preserve">Deferred maintenance: the roofs</t>
  </si>
  <si>
    <t xml:space="preserve">From the income and reconciliation workbooks</t>
  </si>
  <si>
    <t xml:space="preserve">Appraiser's effective gross income</t>
  </si>
  <si>
    <t xml:space="preserve">Cap rate by extraction</t>
  </si>
  <si>
    <t xml:space="preserve">Expense ratio assumed in the brokers' NOIs</t>
  </si>
  <si>
    <t xml:space="preserve">Market value as is, the appraiser's opinion</t>
  </si>
  <si>
    <t xml:space="preserve">The five improved sales: price, units, price per unit and per square foot, age, EGI and multiplier</t>
  </si>
  <si>
    <t xml:space="preserve">The same five sales feed the cap rate extraction in the income workbook and the adjustment grid here. The transactional facts (financing, conditions of sale, expenditures after sale) sit at the right.</t>
  </si>
  <si>
    <t xml:space="preserve">#</t>
  </si>
  <si>
    <t xml:space="preserve">Sale</t>
  </si>
  <si>
    <t xml:space="preserve">Built</t>
  </si>
  <si>
    <t xml:space="preserve">Months</t>
  </si>
  <si>
    <t xml:space="preserve">Price</t>
  </si>
  <si>
    <t xml:space="preserve">Price per unit</t>
  </si>
  <si>
    <t xml:space="preserve">Avg unit sf</t>
  </si>
  <si>
    <t xml:space="preserve">Price per sf</t>
  </si>
  <si>
    <t xml:space="preserve">NOI reported</t>
  </si>
  <si>
    <t xml:space="preserve">EGI reported</t>
  </si>
  <si>
    <t xml:space="preserve">EGIM</t>
  </si>
  <si>
    <t xml:space="preserve">Location</t>
  </si>
  <si>
    <t xml:space="preserve">Condition</t>
  </si>
  <si>
    <t xml:space="preserve">Financing</t>
  </si>
  <si>
    <t xml:space="preserve">Conditions of sale</t>
  </si>
  <si>
    <t xml:space="preserve">Expenditures after sale, per unit</t>
  </si>
  <si>
    <t xml:space="preserve">Larkin Ridge</t>
  </si>
  <si>
    <t xml:space="preserve">superior</t>
  </si>
  <si>
    <t xml:space="preserve">similar</t>
  </si>
  <si>
    <t xml:space="preserve">Sable Creek</t>
  </si>
  <si>
    <t xml:space="preserve">inferior</t>
  </si>
  <si>
    <t xml:space="preserve">Windrow Flats</t>
  </si>
  <si>
    <t xml:space="preserve">Alder Bend</t>
  </si>
  <si>
    <t xml:space="preserve">Merriwether Place</t>
  </si>
  <si>
    <t xml:space="preserve">Reading the five</t>
  </si>
  <si>
    <t xml:space="preserve">Unadjusted prices per unit: lowest</t>
  </si>
  <si>
    <t xml:space="preserve">Unadjusted prices per unit: highest</t>
  </si>
  <si>
    <t xml:space="preserve">Unadjusted range as a share of the lowest</t>
  </si>
  <si>
    <t xml:space="preserve">Average age of the five sales at the effective date, months</t>
  </si>
  <si>
    <t xml:space="preserve">EGI multipliers: lowest</t>
  </si>
  <si>
    <t xml:space="preserve">EGI multipliers: highest</t>
  </si>
  <si>
    <t xml:space="preserve">Subject EGIM at the appraised value (value / appraiser's EGI)</t>
  </si>
  <si>
    <t xml:space="preserve">Value at the lowest EGIM</t>
  </si>
  <si>
    <t xml:space="preserve">Value at the highest EGIM</t>
  </si>
  <si>
    <t xml:space="preserve">Appraised value per square foot of rentable area</t>
  </si>
  <si>
    <t xml:space="preserve">Paired sales: where the adjustments come from</t>
  </si>
  <si>
    <t xml:space="preserve">Two sales that differ in one respect price that respect. Three commercial pairs (condition, location, time) and the two residential pairs (living area, pool).</t>
  </si>
  <si>
    <t xml:space="preserve">Condition pair: Harrow Green, Phase I and Phase II (same month, same location)</t>
  </si>
  <si>
    <t xml:space="preserve">Unrenovated phase, price per unit</t>
  </si>
  <si>
    <t xml:space="preserve">Renovated phase, price per unit</t>
  </si>
  <si>
    <t xml:space="preserve">Difference per unit (the condition adjustment)</t>
  </si>
  <si>
    <t xml:space="preserve">Difference in percent</t>
  </si>
  <si>
    <t xml:space="preserve">Location pair: Fenwick Lofts (Westlake) and Corley Square (Eastfield) (same age and condition)</t>
  </si>
  <si>
    <t xml:space="preserve">Westlake property, price per unit</t>
  </si>
  <si>
    <t xml:space="preserve">Eastfield property, price per unit</t>
  </si>
  <si>
    <t xml:space="preserve">Westlake premium over Eastfield (the location adjustment)</t>
  </si>
  <si>
    <t xml:space="preserve">Time pair: Bramble Court, resold</t>
  </si>
  <si>
    <t xml:space="preserve">First sale, price per unit</t>
  </si>
  <si>
    <t xml:space="preserve">Resale, price per unit</t>
  </si>
  <si>
    <t xml:space="preserve">Months between the two sales</t>
  </si>
  <si>
    <t xml:space="preserve">Total change</t>
  </si>
  <si>
    <t xml:space="preserve">Compound change a month</t>
  </si>
  <si>
    <t xml:space="preserve">Change a year</t>
  </si>
  <si>
    <t xml:space="preserve">The appraiser used 0.25 percent a month from the broker survey and kept this pair as a check; the reconciliation workbook measures what that choice cost.</t>
  </si>
  <si>
    <t xml:space="preserve">Residential pair 1: Two houses on Marlow Street, same builder and month</t>
  </si>
  <si>
    <t xml:space="preserve">Smaller house, square feet</t>
  </si>
  <si>
    <t xml:space="preserve">Larger house, square feet</t>
  </si>
  <si>
    <t xml:space="preserve">Smaller house, price</t>
  </si>
  <si>
    <t xml:space="preserve">Larger house, price</t>
  </si>
  <si>
    <t xml:space="preserve">Price difference</t>
  </si>
  <si>
    <t xml:space="preserve">Square feet of difference</t>
  </si>
  <si>
    <t xml:space="preserve">Dollars per square foot (the living area adjustment)</t>
  </si>
  <si>
    <t xml:space="preserve">Residential pair 2: Two houses on Ferris Court</t>
  </si>
  <si>
    <t xml:space="preserve">With pool</t>
  </si>
  <si>
    <t xml:space="preserve">Without pool</t>
  </si>
  <si>
    <t xml:space="preserve">Difference (the pool adjustment)</t>
  </si>
  <si>
    <t xml:space="preserve">The adjustment grid: five sales, the model's sequence, dollars per unit</t>
  </si>
  <si>
    <t xml:space="preserve">Transactional adjustments in sequence (financing, conditions of sale, expenditures after sale, market conditions), each on the running price; then the property adjustments, each on the time-adjusted price.</t>
  </si>
  <si>
    <t xml:space="preserve">Adjustment parameters</t>
  </si>
  <si>
    <t xml:space="preserve">Market conditions adjustment a month (broker survey)</t>
  </si>
  <si>
    <t xml:space="preserve">Market conditions adjustment a year</t>
  </si>
  <si>
    <t xml:space="preserve">Location adjustment, Westlake against Eastfield (location pair)</t>
  </si>
  <si>
    <t xml:space="preserve">Condition adjustment per unit, renovated against original (condition pair)</t>
  </si>
  <si>
    <t xml:space="preserve">Size adjustment: plus for small properties, minus for large</t>
  </si>
  <si>
    <t xml:space="preserve">Small: units at or below</t>
  </si>
  <si>
    <t xml:space="preserve">Large: units at or above</t>
  </si>
  <si>
    <t xml:space="preserve">Age adjustment per year of difference beyond the threshold</t>
  </si>
  <si>
    <t xml:space="preserve">Age difference ignored, years</t>
  </si>
  <si>
    <t xml:space="preserve">Adjustment per square foot of average unit size, per unit</t>
  </si>
  <si>
    <t xml:space="preserve">The grid</t>
  </si>
  <si>
    <t xml:space="preserve">Element</t>
  </si>
  <si>
    <t xml:space="preserve">Sale 1</t>
  </si>
  <si>
    <t xml:space="preserve">Sale 2</t>
  </si>
  <si>
    <t xml:space="preserve">Sale 3</t>
  </si>
  <si>
    <t xml:space="preserve">Sale 4</t>
  </si>
  <si>
    <t xml:space="preserve">Sale 5</t>
  </si>
  <si>
    <t xml:space="preserve">Price per unit (unadjusted)</t>
  </si>
  <si>
    <t xml:space="preserve">Financing adjustment, percent</t>
  </si>
  <si>
    <t xml:space="preserve">Financing, dollars</t>
  </si>
  <si>
    <t xml:space="preserve">Price after financing</t>
  </si>
  <si>
    <t xml:space="preserve">Conditions of sale, percent</t>
  </si>
  <si>
    <t xml:space="preserve">Conditions of sale, dollars</t>
  </si>
  <si>
    <t xml:space="preserve">Price after conditions of sale</t>
  </si>
  <si>
    <t xml:space="preserve">Expenditures after sale, dollars per unit</t>
  </si>
  <si>
    <t xml:space="preserve">Price after expenditures</t>
  </si>
  <si>
    <t xml:space="preserve">Months before the effective date</t>
  </si>
  <si>
    <t xml:space="preserve">Market conditions, dollars</t>
  </si>
  <si>
    <t xml:space="preserve">Time-adjusted price per unit (the base)</t>
  </si>
  <si>
    <t xml:space="preserve">Location against the subject</t>
  </si>
  <si>
    <t xml:space="preserve">Location, dollars</t>
  </si>
  <si>
    <t xml:space="preserve">Condition against the subject</t>
  </si>
  <si>
    <t xml:space="preserve">Condition, dollars</t>
  </si>
  <si>
    <t xml:space="preserve">Age, dollars</t>
  </si>
  <si>
    <t xml:space="preserve">Size, dollars</t>
  </si>
  <si>
    <t xml:space="preserve">Average unit size, dollars</t>
  </si>
  <si>
    <t xml:space="preserve">Property adjustments, total</t>
  </si>
  <si>
    <t xml:space="preserve">Adjusted price per unit</t>
  </si>
  <si>
    <t xml:space="preserve">Adjusted price per unit x the subject's units</t>
  </si>
  <si>
    <t xml:space="preserve">Gross adjustments, dollars</t>
  </si>
  <si>
    <t xml:space="preserve">Gross adjustments as a share of the price per unit</t>
  </si>
  <si>
    <t xml:space="preserve">Net adjustment, dollars</t>
  </si>
  <si>
    <t xml:space="preserve">Net adjustment as a share of the price per unit</t>
  </si>
  <si>
    <t xml:space="preserve">Reading the grid and concluding</t>
  </si>
  <si>
    <t xml:space="preserve">Adjusted prices per unit: lowest</t>
  </si>
  <si>
    <t xml:space="preserve">Adjusted prices per unit: highest</t>
  </si>
  <si>
    <t xml:space="preserve">Adjusted prices per unit: mean</t>
  </si>
  <si>
    <t xml:space="preserve">Adjusted range, dollars per unit</t>
  </si>
  <si>
    <t xml:space="preserve">Adjusted range as a share of the lowest</t>
  </si>
  <si>
    <t xml:space="preserve">Concluded price per unit, as stabilized (the appraiser's judgment)</t>
  </si>
  <si>
    <t xml:space="preserve">Sales comparison, as stabilized: concluded price x units</t>
  </si>
  <si>
    <t xml:space="preserve">As is: less the roof work</t>
  </si>
  <si>
    <t xml:space="preserve">As is, rounded to 50,000 (the indication)</t>
  </si>
  <si>
    <t xml:space="preserve">Land value: four land sales per allowable unit</t>
  </si>
  <si>
    <t xml:space="preserve">Land in this submarket trades per allowable unit. The appraiser concludes a price per unit and applies it to the units the zoning allows on the site as vacant.</t>
  </si>
  <si>
    <t xml:space="preserve">Land sale</t>
  </si>
  <si>
    <t xml:space="preserve">Price per allowable unit</t>
  </si>
  <si>
    <t xml:space="preserve">Allowable units</t>
  </si>
  <si>
    <t xml:space="preserve">Parcel on Wexley Road</t>
  </si>
  <si>
    <t xml:space="preserve">Former nursery site, Hollis Avenue</t>
  </si>
  <si>
    <t xml:space="preserve">Corner of Tamsin and Fourth</t>
  </si>
  <si>
    <t xml:space="preserve">Riverbend Tract</t>
  </si>
  <si>
    <t xml:space="preserve">Concluded land value per allowable unit</t>
  </si>
  <si>
    <t xml:space="preserve">Allowable units on the subject site (Subject)</t>
  </si>
  <si>
    <t xml:space="preserve">Land value</t>
  </si>
  <si>
    <t xml:space="preserve">Land value per square foot of site</t>
  </si>
  <si>
    <t xml:space="preserve">Land as a share of the appraised value</t>
  </si>
  <si>
    <t xml:space="preserve">The cost approach: land, replacement cost new, three kinds of depreciation, and market extraction</t>
  </si>
  <si>
    <t xml:space="preserve">Value = land + replacement cost new of the improvements less physical (curable and incurable), functional and external depreciation. The naive reading with actual age is shown for contrast.</t>
  </si>
  <si>
    <t xml:space="preserve">Replacement cost new</t>
  </si>
  <si>
    <t xml:space="preserve">Building cost new per square foot of gross building area (cost service, invented)</t>
  </si>
  <si>
    <t xml:space="preserve">Buildings: cost per square foot x gross building area</t>
  </si>
  <si>
    <t xml:space="preserve">Indirect costs as a share of building cost</t>
  </si>
  <si>
    <t xml:space="preserve">Indirect costs</t>
  </si>
  <si>
    <t xml:space="preserve">Site improvements</t>
  </si>
  <si>
    <t xml:space="preserve">Entrepreneurial incentive, share of the subtotal</t>
  </si>
  <si>
    <t xml:space="preserve">Entrepreneurial incentive</t>
  </si>
  <si>
    <t xml:space="preserve">Replacement cost new of the improvements</t>
  </si>
  <si>
    <t xml:space="preserve">Replacement cost new per unit</t>
  </si>
  <si>
    <t xml:space="preserve">Replacement cost new plus land (what a new copy would cost)</t>
  </si>
  <si>
    <t xml:space="preserve">Per unit</t>
  </si>
  <si>
    <t xml:space="preserve">Depreciation</t>
  </si>
  <si>
    <t xml:space="preserve">Physical, curable: the roofs (deferred maintenance)</t>
  </si>
  <si>
    <t xml:space="preserve">Basis for age-life: replacement cost new less curable items</t>
  </si>
  <si>
    <t xml:space="preserve">Effective age, years (the appraiser's judgment, supported by extraction)</t>
  </si>
  <si>
    <t xml:space="preserve">Total economic life, years</t>
  </si>
  <si>
    <t xml:space="preserve">Remaining economic life, years</t>
  </si>
  <si>
    <t xml:space="preserve">Incurable physical depreciation by age-life: effective age / life</t>
  </si>
  <si>
    <t xml:space="preserve">Physical, incurable: basis x age-life percentage</t>
  </si>
  <si>
    <t xml:space="preserve">Functional: rent lost per one-bedroom unit a month (no washer and dryer hookups)</t>
  </si>
  <si>
    <t xml:space="preserve">Functional: units affected</t>
  </si>
  <si>
    <t xml:space="preserve">Functional: rent lost a year</t>
  </si>
  <si>
    <t xml:space="preserve">Functional obsolescence: rent loss capitalized at the extracted rate</t>
  </si>
  <si>
    <t xml:space="preserve">External obsolescence (none: the submarket is healthy)</t>
  </si>
  <si>
    <t xml:space="preserve">Total depreciation</t>
  </si>
  <si>
    <t xml:space="preserve">Total depreciation as a share of replacement cost new</t>
  </si>
  <si>
    <t xml:space="preserve">Depreciated value of the improvements</t>
  </si>
  <si>
    <t xml:space="preserve">Cost approach value: land plus depreciated improvements</t>
  </si>
  <si>
    <t xml:space="preserve">Rounded to 50,000 (the indication)</t>
  </si>
  <si>
    <t xml:space="preserve">Per unit (rounded indication / units)</t>
  </si>
  <si>
    <t xml:space="preserve">The naive reading: actual age over a longer life</t>
  </si>
  <si>
    <t xml:space="preserve">Total economic life assumed in the naive reading, years</t>
  </si>
  <si>
    <t xml:space="preserve">Actual age / that life</t>
  </si>
  <si>
    <t xml:space="preserve">Incurable depreciation on that reading</t>
  </si>
  <si>
    <t xml:space="preserve">Cost approach value on that reading</t>
  </si>
  <si>
    <t xml:space="preserve">Rounded</t>
  </si>
  <si>
    <t xml:space="preserve">What the naive reading loses against the appraiser's cost approach</t>
  </si>
  <si>
    <t xml:space="preserve">Market extraction of depreciation from two sales (price less land against cost new at the sale's size)</t>
  </si>
  <si>
    <t xml:space="preserve">Line</t>
  </si>
  <si>
    <t xml:space="preserve">Extraction 1</t>
  </si>
  <si>
    <t xml:space="preserve">Extraction 2</t>
  </si>
  <si>
    <t xml:space="preserve">Land value per unit</t>
  </si>
  <si>
    <t xml:space="preserve">Price less land (depreciated improvements)</t>
  </si>
  <si>
    <t xml:space="preserve">Gross building area per unit, square feet</t>
  </si>
  <si>
    <t xml:space="preserve">Building cost new</t>
  </si>
  <si>
    <t xml:space="preserve">Site improvements (the subject's, per unit)</t>
  </si>
  <si>
    <t xml:space="preserve">Replacement cost new with the incentive</t>
  </si>
  <si>
    <t xml:space="preserve">Depreciation: cost new less depreciated improvements</t>
  </si>
  <si>
    <t xml:space="preserve">Depreciation as a share of cost new</t>
  </si>
  <si>
    <t xml:space="preserve">Actual age, years</t>
  </si>
  <si>
    <t xml:space="preserve">Depreciation a year of actual age</t>
  </si>
  <si>
    <t xml:space="preserve">Market-extracted depreciation: mean of the two</t>
  </si>
  <si>
    <t xml:space="preserve">Extraction 1 takes the subject's gross building area per unit; the site improvements are the subject's, scaled by units. Both are the book's simplifications.</t>
  </si>
  <si>
    <t xml:space="preserve">Highest and best use: the development test as vacant, the land residual, and the renovation test as improved</t>
  </si>
  <si>
    <t xml:space="preserve">As vacant: a new project of the allowable units against its cost plus profit. As improved: the value as improved against the cleared site, and the renovation program against its cost.</t>
  </si>
  <si>
    <t xml:space="preserve">The development test (as vacant)</t>
  </si>
  <si>
    <t xml:space="preserve">Units of a new project on the site as vacant</t>
  </si>
  <si>
    <t xml:space="preserve">Hard and soft costs per unit, excluding land</t>
  </si>
  <si>
    <t xml:space="preserve">Costs excluding land</t>
  </si>
  <si>
    <t xml:space="preserve">Total cost including land (Land sheet)</t>
  </si>
  <si>
    <t xml:space="preserve">Stabilized NOI per unit of a new building</t>
  </si>
  <si>
    <t xml:space="preserve">Stabilized NOI</t>
  </si>
  <si>
    <t xml:space="preserve">Cap rate for new construction</t>
  </si>
  <si>
    <t xml:space="preserve">Value on stabilization: NOI / cap rate</t>
  </si>
  <si>
    <t xml:space="preserve">Value per unit</t>
  </si>
  <si>
    <t xml:space="preserve">Developer's profit required on total cost</t>
  </si>
  <si>
    <t xml:space="preserve">Value required: total cost x (1 + profit)</t>
  </si>
  <si>
    <t xml:space="preserve">Value less required value (feasible if positive)</t>
  </si>
  <si>
    <t xml:space="preserve">Land residual: value / (1 + profit) less costs excluding land</t>
  </si>
  <si>
    <t xml:space="preserve">Land residual per allowable unit</t>
  </si>
  <si>
    <t xml:space="preserve">Land residual per unit less the land sales' conclusion</t>
  </si>
  <si>
    <t xml:space="preserve">Development feasible as vacant</t>
  </si>
  <si>
    <t xml:space="preserve">As improved: the existing buildings against the cleared site</t>
  </si>
  <si>
    <t xml:space="preserve">Demolition cost of the existing buildings</t>
  </si>
  <si>
    <t xml:space="preserve">Land value less demolition: what the site is worth cleared</t>
  </si>
  <si>
    <t xml:space="preserve">Value as improved less cleared land value</t>
  </si>
  <si>
    <t xml:space="preserve">The renovation test (as improved): interior renovation of every unit as leases turn</t>
  </si>
  <si>
    <t xml:space="preserve">Interior renovation cost per unit</t>
  </si>
  <si>
    <t xml:space="preserve">Rent premium a month in the submarket's evidence</t>
  </si>
  <si>
    <t xml:space="preserve">Cost, all units</t>
  </si>
  <si>
    <t xml:space="preserve">Added NOI a year, all units</t>
  </si>
  <si>
    <t xml:space="preserve">Value added at the extracted cap rate</t>
  </si>
  <si>
    <t xml:space="preserve">Value added less cost</t>
  </si>
  <si>
    <t xml:space="preserve">Value added per dollar of cost</t>
  </si>
  <si>
    <t xml:space="preserve">Checks: the figures printed in the book against the live workbook</t>
  </si>
  <si>
    <t xml:space="preserve">Book = the figure as printed in the book (facts.json). Tolerance = half a unit of the last printed digit. The logic checks at the end test that the model holds together. An error value counts as FAIL.</t>
  </si>
  <si>
    <t xml:space="preserve">Number of checks</t>
  </si>
  <si>
    <t xml:space="preserve">PASS</t>
  </si>
  <si>
    <t xml:space="preserve">FAIL</t>
  </si>
  <si>
    <t xml:space="preserve">Global status (PASS only if every check passes)</t>
  </si>
  <si>
    <t xml:space="preserve">Sheet</t>
  </si>
  <si>
    <t xml:space="preserve">Figure printed in the book (facts.json key), or logic check</t>
  </si>
  <si>
    <t xml:space="preserve">Book</t>
  </si>
  <si>
    <t xml:space="preserve">Workbook</t>
  </si>
  <si>
    <t xml:space="preserve">Difference</t>
  </si>
  <si>
    <t xml:space="preserve">Tolerance</t>
  </si>
  <si>
    <t xml:space="preserve">Status</t>
  </si>
  <si>
    <t xml:space="preserve">Improved_Sales</t>
  </si>
  <si>
    <t xml:space="preserve">The subject's EGIM at the appraised value sits inside the sales' range</t>
  </si>
  <si>
    <t xml:space="preserve">holds</t>
  </si>
  <si>
    <t xml:space="preserve">Grid</t>
  </si>
  <si>
    <t xml:space="preserve">The concluded price per unit sits inside the adjusted range</t>
  </si>
  <si>
    <t xml:space="preserve">Paired_Sales</t>
  </si>
  <si>
    <t xml:space="preserve">The paired resale rate sits above the survey rate the appraiser used</t>
  </si>
  <si>
    <t xml:space="preserve">The adjusted range is narrower than the unadjusted range</t>
  </si>
  <si>
    <t xml:space="preserve">The sales with the smallest gross adjustments are sales 4 and 5</t>
  </si>
  <si>
    <t xml:space="preserve">Land</t>
  </si>
  <si>
    <t xml:space="preserve">The concluded land value per unit sits inside the land sales' range</t>
  </si>
  <si>
    <t xml:space="preserve">Cost_Approach</t>
  </si>
  <si>
    <t xml:space="preserve">The extracted depreciation of the two sales brackets the age-life percentage</t>
  </si>
  <si>
    <t xml:space="preserve">Land plus depreciated improvements equals the cost approach value</t>
  </si>
  <si>
    <t xml:space="preserve">Highest_Best_Use</t>
  </si>
  <si>
    <t xml:space="preserve">Development is feasible as vacant and continued use wins as improved</t>
  </si>
  <si>
    <t xml:space="preserve">Subject</t>
  </si>
  <si>
    <t xml:space="preserve">UNITS: Units</t>
  </si>
  <si>
    <t xml:space="preserve">YEAR_BUILT: Year built</t>
  </si>
  <si>
    <t xml:space="preserve">ACTUAL_AGE: Actual age at the effective date, years</t>
  </si>
  <si>
    <t xml:space="preserve">NRA_SF: Net rentable area, square feet</t>
  </si>
  <si>
    <t xml:space="preserve">AVG_UNIT_SF: Average unit size, square feet</t>
  </si>
  <si>
    <t xml:space="preserve">GBA_SF: Gross building area, square feet</t>
  </si>
  <si>
    <t xml:space="preserve">SITE_ACRES: Site, acres</t>
  </si>
  <si>
    <t xml:space="preserve">SITE_SF: Site, square feet</t>
  </si>
  <si>
    <t xml:space="preserve">ZONING_DENSITY: Zoning: maximum units per acre</t>
  </si>
  <si>
    <t xml:space="preserve">ALLOWABLE_UNITS: Units allowed on the site as vacant (whole units)</t>
  </si>
  <si>
    <t xml:space="preserve">DEFERRED_MAINTENANCE: Deferred maintenance: the roofs</t>
  </si>
  <si>
    <t xml:space="preserve">APP_EGI: Appraiser's effective gross income</t>
  </si>
  <si>
    <t xml:space="preserve">CAP_EXTRACTED: Cap rate by extraction</t>
  </si>
  <si>
    <t xml:space="preserve">BROKER_RATIO: Expense ratio assumed in the brokers' NOIs</t>
  </si>
  <si>
    <t xml:space="preserve">V_FINAL: Market value as is, the appraiser's opinion</t>
  </si>
  <si>
    <t xml:space="preserve">S1_UNITS: sale 1 Larkin Ridge: units</t>
  </si>
  <si>
    <t xml:space="preserve">S1_BUILT: sale 1 Larkin Ridge: built</t>
  </si>
  <si>
    <t xml:space="preserve">S1_MONTHS: sale 1 Larkin Ridge: months</t>
  </si>
  <si>
    <t xml:space="preserve">S1_PRICE: sale 1 Larkin Ridge: price</t>
  </si>
  <si>
    <t xml:space="preserve">S1_PPU: sale 1 Larkin Ridge: ppu</t>
  </si>
  <si>
    <t xml:space="preserve">S1_AVG_SF: sale 1 Larkin Ridge: avg sf</t>
  </si>
  <si>
    <t xml:space="preserve">S1_PSF: sale 1 Larkin Ridge: psf</t>
  </si>
  <si>
    <t xml:space="preserve">S1_NOI_REP: sale 1 Larkin Ridge: noi rep</t>
  </si>
  <si>
    <t xml:space="preserve">S1_EGI_REP: sale 1 Larkin Ridge: egi rep</t>
  </si>
  <si>
    <t xml:space="preserve">S1_EGIM: sale 1 Larkin Ridge: egim</t>
  </si>
  <si>
    <t xml:space="preserve">S2_UNITS: sale 2 Sable Creek: units</t>
  </si>
  <si>
    <t xml:space="preserve">S2_BUILT: sale 2 Sable Creek: built</t>
  </si>
  <si>
    <t xml:space="preserve">S2_MONTHS: sale 2 Sable Creek: months</t>
  </si>
  <si>
    <t xml:space="preserve">S2_PRICE: sale 2 Sable Creek: price</t>
  </si>
  <si>
    <t xml:space="preserve">S2_PPU: sale 2 Sable Creek: ppu</t>
  </si>
  <si>
    <t xml:space="preserve">S2_AVG_SF: sale 2 Sable Creek: avg sf</t>
  </si>
  <si>
    <t xml:space="preserve">S2_PSF: sale 2 Sable Creek: psf</t>
  </si>
  <si>
    <t xml:space="preserve">S2_NOI_REP: sale 2 Sable Creek: noi rep</t>
  </si>
  <si>
    <t xml:space="preserve">S2_EGI_REP: sale 2 Sable Creek: egi rep</t>
  </si>
  <si>
    <t xml:space="preserve">S2_EGIM: sale 2 Sable Creek: egim</t>
  </si>
  <si>
    <t xml:space="preserve">S3_UNITS: sale 3 Windrow Flats: units</t>
  </si>
  <si>
    <t xml:space="preserve">S3_BUILT: sale 3 Windrow Flats: built</t>
  </si>
  <si>
    <t xml:space="preserve">S3_MONTHS: sale 3 Windrow Flats: months</t>
  </si>
  <si>
    <t xml:space="preserve">S3_PRICE: sale 3 Windrow Flats: price</t>
  </si>
  <si>
    <t xml:space="preserve">S3_PPU: sale 3 Windrow Flats: ppu</t>
  </si>
  <si>
    <t xml:space="preserve">S3_AVG_SF: sale 3 Windrow Flats: avg sf</t>
  </si>
  <si>
    <t xml:space="preserve">S3_PSF: sale 3 Windrow Flats: psf</t>
  </si>
  <si>
    <t xml:space="preserve">S3_NOI_REP: sale 3 Windrow Flats: noi rep</t>
  </si>
  <si>
    <t xml:space="preserve">S3_EGI_REP: sale 3 Windrow Flats: egi rep</t>
  </si>
  <si>
    <t xml:space="preserve">S3_EGIM: sale 3 Windrow Flats: egim</t>
  </si>
  <si>
    <t xml:space="preserve">S4_UNITS: sale 4 Alder Bend: units</t>
  </si>
  <si>
    <t xml:space="preserve">S4_BUILT: sale 4 Alder Bend: built</t>
  </si>
  <si>
    <t xml:space="preserve">S4_MONTHS: sale 4 Alder Bend: months</t>
  </si>
  <si>
    <t xml:space="preserve">S4_PRICE: sale 4 Alder Bend: price</t>
  </si>
  <si>
    <t xml:space="preserve">S4_PPU: sale 4 Alder Bend: ppu</t>
  </si>
  <si>
    <t xml:space="preserve">S4_AVG_SF: sale 4 Alder Bend: avg sf</t>
  </si>
  <si>
    <t xml:space="preserve">S4_PSF: sale 4 Alder Bend: psf</t>
  </si>
  <si>
    <t xml:space="preserve">S4_NOI_REP: sale 4 Alder Bend: noi rep</t>
  </si>
  <si>
    <t xml:space="preserve">S4_EGI_REP: sale 4 Alder Bend: egi rep</t>
  </si>
  <si>
    <t xml:space="preserve">S4_EGIM: sale 4 Alder Bend: egim</t>
  </si>
  <si>
    <t xml:space="preserve">S5_UNITS: sale 5 Merriwether Place: units</t>
  </si>
  <si>
    <t xml:space="preserve">S5_BUILT: sale 5 Merriwether Place: built</t>
  </si>
  <si>
    <t xml:space="preserve">S5_MONTHS: sale 5 Merriwether Place: months</t>
  </si>
  <si>
    <t xml:space="preserve">S5_PRICE: sale 5 Merriwether Place: price</t>
  </si>
  <si>
    <t xml:space="preserve">S5_PPU: sale 5 Merriwether Place: ppu</t>
  </si>
  <si>
    <t xml:space="preserve">S5_AVG_SF: sale 5 Merriwether Place: avg sf</t>
  </si>
  <si>
    <t xml:space="preserve">S5_PSF: sale 5 Merriwether Place: psf</t>
  </si>
  <si>
    <t xml:space="preserve">S5_NOI_REP: sale 5 Merriwether Place: noi rep</t>
  </si>
  <si>
    <t xml:space="preserve">S5_EGI_REP: sale 5 Merriwether Place: egi rep</t>
  </si>
  <si>
    <t xml:space="preserve">S5_EGIM: sale 5 Merriwether Place: egim</t>
  </si>
  <si>
    <t xml:space="preserve">GRID_PPU_MIN: Unadjusted prices per unit: lowest</t>
  </si>
  <si>
    <t xml:space="preserve">GRID_PPU_MAX: Unadjusted prices per unit: highest</t>
  </si>
  <si>
    <t xml:space="preserve">GRID_RAW_RANGE_PCT: Unadjusted range as a share of the lowest</t>
  </si>
  <si>
    <t xml:space="preserve">COMP_AVG_MONTHS: Average age of the five sales at the effective date, months</t>
  </si>
  <si>
    <t xml:space="preserve">EGIM_MIN: EGI multipliers: lowest</t>
  </si>
  <si>
    <t xml:space="preserve">EGIM_MAX: EGI multipliers: highest</t>
  </si>
  <si>
    <t xml:space="preserve">EGIM_SUBJECT_AT_VALUE: Subject EGIM at the appraised value (value / appraiser's EGI)</t>
  </si>
  <si>
    <t xml:space="preserve">V_EGIM_LOW: Value at the lowest EGIM</t>
  </si>
  <si>
    <t xml:space="preserve">V_EGIM_HIGH: Value at the highest EGIM</t>
  </si>
  <si>
    <t xml:space="preserve">SC_PSF_AT_VALUE: Appraised value per square foot of rentable area</t>
  </si>
  <si>
    <t xml:space="preserve">PAIR_COND_UNREN: Unrenovated phase, price per unit</t>
  </si>
  <si>
    <t xml:space="preserve">PAIR_COND_REN: Renovated phase, price per unit</t>
  </si>
  <si>
    <t xml:space="preserve">PAIR_COND_DIFF: Difference per unit (the condition adjustment)</t>
  </si>
  <si>
    <t xml:space="preserve">PAIR_COND_PCT: Difference in percent</t>
  </si>
  <si>
    <t xml:space="preserve">PAIR_LOC_WEST: Westlake property, price per unit</t>
  </si>
  <si>
    <t xml:space="preserve">PAIR_LOC_EAST: Eastfield property, price per unit</t>
  </si>
  <si>
    <t xml:space="preserve">PAIR_LOC_PCT: Westlake premium over Eastfield (the location adjustment)</t>
  </si>
  <si>
    <t xml:space="preserve">PAIR_TIME_FIRST: First sale, price per unit</t>
  </si>
  <si>
    <t xml:space="preserve">PAIR_TIME_SECOND: Resale, price per unit</t>
  </si>
  <si>
    <t xml:space="preserve">PAIR_TIME_MONTHS: Months between the two sales</t>
  </si>
  <si>
    <t xml:space="preserve">PAIR_TIME_TOTAL: Total change</t>
  </si>
  <si>
    <t xml:space="preserve">PAIR_TIME_MONTHLY: Compound change a month</t>
  </si>
  <si>
    <t xml:space="preserve">PAIR_TIME_ANNUAL: Change a year</t>
  </si>
  <si>
    <t xml:space="preserve">H_PAIR_GLA_SMALL: Smaller house, price</t>
  </si>
  <si>
    <t xml:space="preserve">H_PAIR_GLA_LARGE: Larger house, price</t>
  </si>
  <si>
    <t xml:space="preserve">H_PAIR_GLA_DIFF: Price difference</t>
  </si>
  <si>
    <t xml:space="preserve">H_PAIR_GLA_SF: Square feet of difference</t>
  </si>
  <si>
    <t xml:space="preserve">H_PAIR_GLA_PSF: Dollars per square foot (the living area adjustment)</t>
  </si>
  <si>
    <t xml:space="preserve">H_PAIR_POOL_WITH: With pool</t>
  </si>
  <si>
    <t xml:space="preserve">H_PAIR_POOL_WITHOUT: Without pool</t>
  </si>
  <si>
    <t xml:space="preserve">H_PAIR_POOL_DIFF: Difference (the pool adjustment)</t>
  </si>
  <si>
    <t xml:space="preserve">MC_MONTHLY: Market conditions adjustment a month (broker survey)</t>
  </si>
  <si>
    <t xml:space="preserve">MC_ANNUAL: Market conditions adjustment a year</t>
  </si>
  <si>
    <t xml:space="preserve">ADJ_LOC: Location adjustment, Westlake against Eastfield (location pair)</t>
  </si>
  <si>
    <t xml:space="preserve">ADJ_COND: Condition adjustment per unit, renovated against original (condition pair)</t>
  </si>
  <si>
    <t xml:space="preserve">ADJ_SIZE: Size adjustment: plus for small properties, minus for large</t>
  </si>
  <si>
    <t xml:space="preserve">ADJ_AGE_PER_YEAR: Age adjustment per year of difference beyond the threshold</t>
  </si>
  <si>
    <t xml:space="preserve">ADJ_UNIT_SF: Adjustment per square foot of average unit size, per unit</t>
  </si>
  <si>
    <t xml:space="preserve">G1_FINANCING: sale 1: financing</t>
  </si>
  <si>
    <t xml:space="preserve">G1_CONDITIONS_OF_SALE: sale 1: conditions of sale</t>
  </si>
  <si>
    <t xml:space="preserve">G1_EXPENDITURES_AFTER_SALE: sale 1: expenditures after sale</t>
  </si>
  <si>
    <t xml:space="preserve">G1_MARKET_CONDITIONS: sale 1: market conditions</t>
  </si>
  <si>
    <t xml:space="preserve">G1_LOCATION: sale 1: location</t>
  </si>
  <si>
    <t xml:space="preserve">G1_CONDITION: sale 1: condition</t>
  </si>
  <si>
    <t xml:space="preserve">G1_AGE: sale 1: age</t>
  </si>
  <si>
    <t xml:space="preserve">G1_SIZE: sale 1: size</t>
  </si>
  <si>
    <t xml:space="preserve">G1_AVERAGE_UNIT_SIZE: sale 1: average unit size</t>
  </si>
  <si>
    <t xml:space="preserve">G1_BASE: sale 1: base</t>
  </si>
  <si>
    <t xml:space="preserve">G1_ADJ: sale 1: adj</t>
  </si>
  <si>
    <t xml:space="preserve">G1_ADJ_TOTAL: sale 1: adj total</t>
  </si>
  <si>
    <t xml:space="preserve">G1_GROSS_PCT: sale 1: gross pct</t>
  </si>
  <si>
    <t xml:space="preserve">G1_NET_PCT: sale 1: net pct</t>
  </si>
  <si>
    <t xml:space="preserve">G2_FINANCING: sale 2: financing</t>
  </si>
  <si>
    <t xml:space="preserve">G2_CONDITIONS_OF_SALE: sale 2: conditions of sale</t>
  </si>
  <si>
    <t xml:space="preserve">G2_EXPENDITURES_AFTER_SALE: sale 2: expenditures after sale</t>
  </si>
  <si>
    <t xml:space="preserve">G2_MARKET_CONDITIONS: sale 2: market conditions</t>
  </si>
  <si>
    <t xml:space="preserve">G2_LOCATION: sale 2: location</t>
  </si>
  <si>
    <t xml:space="preserve">G2_CONDITION: sale 2: condition</t>
  </si>
  <si>
    <t xml:space="preserve">G2_AGE: sale 2: age</t>
  </si>
  <si>
    <t xml:space="preserve">G2_SIZE: sale 2: size</t>
  </si>
  <si>
    <t xml:space="preserve">G2_AVERAGE_UNIT_SIZE: sale 2: average unit size</t>
  </si>
  <si>
    <t xml:space="preserve">G2_BASE: sale 2: base</t>
  </si>
  <si>
    <t xml:space="preserve">G2_ADJ: sale 2: adj</t>
  </si>
  <si>
    <t xml:space="preserve">G2_ADJ_TOTAL: sale 2: adj total</t>
  </si>
  <si>
    <t xml:space="preserve">G2_GROSS_PCT: sale 2: gross pct</t>
  </si>
  <si>
    <t xml:space="preserve">G2_NET_PCT: sale 2: net pct</t>
  </si>
  <si>
    <t xml:space="preserve">G3_FINANCING: sale 3: financing</t>
  </si>
  <si>
    <t xml:space="preserve">G3_CONDITIONS_OF_SALE: sale 3: conditions of sale</t>
  </si>
  <si>
    <t xml:space="preserve">G3_EXPENDITURES_AFTER_SALE: sale 3: expenditures after sale</t>
  </si>
  <si>
    <t xml:space="preserve">G3_MARKET_CONDITIONS: sale 3: market conditions</t>
  </si>
  <si>
    <t xml:space="preserve">G3_LOCATION: sale 3: location</t>
  </si>
  <si>
    <t xml:space="preserve">G3_CONDITION: sale 3: condition</t>
  </si>
  <si>
    <t xml:space="preserve">G3_AGE: sale 3: age</t>
  </si>
  <si>
    <t xml:space="preserve">G3_SIZE: sale 3: size</t>
  </si>
  <si>
    <t xml:space="preserve">G3_AVERAGE_UNIT_SIZE: sale 3: average unit size</t>
  </si>
  <si>
    <t xml:space="preserve">G3_BASE: sale 3: base</t>
  </si>
  <si>
    <t xml:space="preserve">G3_ADJ: sale 3: adj</t>
  </si>
  <si>
    <t xml:space="preserve">G3_ADJ_TOTAL: sale 3: adj total</t>
  </si>
  <si>
    <t xml:space="preserve">G3_GROSS_PCT: sale 3: gross pct</t>
  </si>
  <si>
    <t xml:space="preserve">G3_NET_PCT: sale 3: net pct</t>
  </si>
  <si>
    <t xml:space="preserve">G4_FINANCING: sale 4: financing</t>
  </si>
  <si>
    <t xml:space="preserve">G4_CONDITIONS_OF_SALE: sale 4: conditions of sale</t>
  </si>
  <si>
    <t xml:space="preserve">G4_EXPENDITURES_AFTER_SALE: sale 4: expenditures after sale</t>
  </si>
  <si>
    <t xml:space="preserve">G4_MARKET_CONDITIONS: sale 4: market conditions</t>
  </si>
  <si>
    <t xml:space="preserve">G4_LOCATION: sale 4: location</t>
  </si>
  <si>
    <t xml:space="preserve">G4_CONDITION: sale 4: condition</t>
  </si>
  <si>
    <t xml:space="preserve">G4_AGE: sale 4: age</t>
  </si>
  <si>
    <t xml:space="preserve">G4_SIZE: sale 4: size</t>
  </si>
  <si>
    <t xml:space="preserve">G4_AVERAGE_UNIT_SIZE: sale 4: average unit size</t>
  </si>
  <si>
    <t xml:space="preserve">G4_BASE: sale 4: base</t>
  </si>
  <si>
    <t xml:space="preserve">G4_ADJ: sale 4: adj</t>
  </si>
  <si>
    <t xml:space="preserve">G4_ADJ_TOTAL: sale 4: adj total</t>
  </si>
  <si>
    <t xml:space="preserve">G4_GROSS_PCT: sale 4: gross pct</t>
  </si>
  <si>
    <t xml:space="preserve">G4_NET_PCT: sale 4: net pct</t>
  </si>
  <si>
    <t xml:space="preserve">G5_FINANCING: sale 5: financing</t>
  </si>
  <si>
    <t xml:space="preserve">G5_CONDITIONS_OF_SALE: sale 5: conditions of sale</t>
  </si>
  <si>
    <t xml:space="preserve">G5_EXPENDITURES_AFTER_SALE: sale 5: expenditures after sale</t>
  </si>
  <si>
    <t xml:space="preserve">G5_MARKET_CONDITIONS: sale 5: market conditions</t>
  </si>
  <si>
    <t xml:space="preserve">G5_LOCATION: sale 5: location</t>
  </si>
  <si>
    <t xml:space="preserve">G5_CONDITION: sale 5: condition</t>
  </si>
  <si>
    <t xml:space="preserve">G5_AGE: sale 5: age</t>
  </si>
  <si>
    <t xml:space="preserve">G5_SIZE: sale 5: size</t>
  </si>
  <si>
    <t xml:space="preserve">G5_AVERAGE_UNIT_SIZE: sale 5: average unit size</t>
  </si>
  <si>
    <t xml:space="preserve">G5_BASE: sale 5: base</t>
  </si>
  <si>
    <t xml:space="preserve">G5_ADJ: sale 5: adj</t>
  </si>
  <si>
    <t xml:space="preserve">G5_ADJ_TOTAL: sale 5: adj total</t>
  </si>
  <si>
    <t xml:space="preserve">G5_GROSS_PCT: sale 5: gross pct</t>
  </si>
  <si>
    <t xml:space="preserve">G5_NET_PCT: sale 5: net pct</t>
  </si>
  <si>
    <t xml:space="preserve">GRID_ADJ_MIN: Adjusted prices per unit: lowest</t>
  </si>
  <si>
    <t xml:space="preserve">GRID_ADJ_MAX: Adjusted prices per unit: highest</t>
  </si>
  <si>
    <t xml:space="preserve">GRID_ADJ_MEAN: Adjusted prices per unit: mean</t>
  </si>
  <si>
    <t xml:space="preserve">GRID_ADJ_RANGE: Adjusted range, dollars per unit</t>
  </si>
  <si>
    <t xml:space="preserve">GRID_ADJ_RANGE_PCT: Adjusted range as a share of the lowest</t>
  </si>
  <si>
    <t xml:space="preserve">SC_PPU: Concluded price per unit, as stabilized (the appraiser's judgment)</t>
  </si>
  <si>
    <t xml:space="preserve">V_SC_STAB: Sales comparison, as stabilized: concluded price x units</t>
  </si>
  <si>
    <t xml:space="preserve">V_SC_ASIS: As is: less the roof work</t>
  </si>
  <si>
    <t xml:space="preserve">V_SC_ASIS_R: As is, rounded to 50,000 (the indication)</t>
  </si>
  <si>
    <t xml:space="preserve">LAND1_PU: land sale 1: price per allowable unit</t>
  </si>
  <si>
    <t xml:space="preserve">LAND1_MONTHS: land sale 1: months before the effective date</t>
  </si>
  <si>
    <t xml:space="preserve">LAND1_UNITS: land sale 1: allowable units</t>
  </si>
  <si>
    <t xml:space="preserve">LAND1_PRICE: land sale 1: price</t>
  </si>
  <si>
    <t xml:space="preserve">LAND2_PU: land sale 2: price per allowable unit</t>
  </si>
  <si>
    <t xml:space="preserve">LAND2_MONTHS: land sale 2: months before the effective date</t>
  </si>
  <si>
    <t xml:space="preserve">LAND2_UNITS: land sale 2: allowable units</t>
  </si>
  <si>
    <t xml:space="preserve">LAND2_PRICE: land sale 2: price</t>
  </si>
  <si>
    <t xml:space="preserve">LAND3_PU: land sale 3: price per allowable unit</t>
  </si>
  <si>
    <t xml:space="preserve">LAND3_MONTHS: land sale 3: months before the effective date</t>
  </si>
  <si>
    <t xml:space="preserve">LAND3_UNITS: land sale 3: allowable units</t>
  </si>
  <si>
    <t xml:space="preserve">LAND3_PRICE: land sale 3: price</t>
  </si>
  <si>
    <t xml:space="preserve">LAND4_PU: land sale 4: price per allowable unit</t>
  </si>
  <si>
    <t xml:space="preserve">LAND4_MONTHS: land sale 4: months before the effective date</t>
  </si>
  <si>
    <t xml:space="preserve">LAND4_UNITS: land sale 4: allowable units</t>
  </si>
  <si>
    <t xml:space="preserve">LAND4_PRICE: land sale 4: price</t>
  </si>
  <si>
    <t xml:space="preserve">LAND_PU: concluded land value per allowable unit</t>
  </si>
  <si>
    <t xml:space="preserve">LAND_VALUE: land value</t>
  </si>
  <si>
    <t xml:space="preserve">LAND_PSF: land value per square foot of site</t>
  </si>
  <si>
    <t xml:space="preserve">LAND_SHARE: land as a share of the appraised value</t>
  </si>
  <si>
    <t xml:space="preserve">COST_PSF: Building cost new per square foot of gross building area (cost service, invented)</t>
  </si>
  <si>
    <t xml:space="preserve">RCN_DIRECT: Buildings: cost per square foot x gross building area</t>
  </si>
  <si>
    <t xml:space="preserve">INDIRECT_PCT: Indirect costs as a share of building cost</t>
  </si>
  <si>
    <t xml:space="preserve">RCN_INDIRECT: Indirect costs</t>
  </si>
  <si>
    <t xml:space="preserve">RCN_SITE: Site improvements</t>
  </si>
  <si>
    <t xml:space="preserve">INCENTIVE_PCT: Entrepreneurial incentive, share of the subtotal</t>
  </si>
  <si>
    <t xml:space="preserve">RCN_INCENTIVE: Entrepreneurial incentive</t>
  </si>
  <si>
    <t xml:space="preserve">RCN_TOTAL: Replacement cost new of the improvements</t>
  </si>
  <si>
    <t xml:space="preserve">RCN_PU: Replacement cost new per unit</t>
  </si>
  <si>
    <t xml:space="preserve">RCN_PLUS_LAND: Replacement cost new plus land (what a new copy would cost)</t>
  </si>
  <si>
    <t xml:space="preserve">RCN_PLUS_LAND_PU: Per unit</t>
  </si>
  <si>
    <t xml:space="preserve">DEP_CURABLE: Physical, curable: the roofs (deferred maintenance)</t>
  </si>
  <si>
    <t xml:space="preserve">DEP_BASIS: Basis for age-life: replacement cost new less curable items</t>
  </si>
  <si>
    <t xml:space="preserve">EFFECTIVE_AGE: Effective age, years (the appraiser's judgment, supported by extraction)</t>
  </si>
  <si>
    <t xml:space="preserve">ECONOMIC_LIFE: Total economic life, years</t>
  </si>
  <si>
    <t xml:space="preserve">REMAINING_LIFE: Remaining economic life, years</t>
  </si>
  <si>
    <t xml:space="preserve">DEP_PCT: Incurable physical depreciation by age-life: effective age / life</t>
  </si>
  <si>
    <t xml:space="preserve">DEP_INCURABLE: Physical, incurable: basis x age-life percentage</t>
  </si>
  <si>
    <t xml:space="preserve">FUNC_RENT_LOSS_MONTH: Functional: rent lost per one-bedroom unit a month (no washer and dryer hookups)</t>
  </si>
  <si>
    <t xml:space="preserve">FUNC_RENT_LOSS_YEAR: Functional: rent lost a year</t>
  </si>
  <si>
    <t xml:space="preserve">DEP_FUNCTIONAL: Functional obsolescence: rent loss capitalized at the extracted rate</t>
  </si>
  <si>
    <t xml:space="preserve">DEP_EXTERNAL: External obsolescence (none: the submarket is healthy)</t>
  </si>
  <si>
    <t xml:space="preserve">DEP_TOTAL: Total depreciation</t>
  </si>
  <si>
    <t xml:space="preserve">DEP_TOTAL_PCT: Total depreciation as a share of replacement cost new</t>
  </si>
  <si>
    <t xml:space="preserve">DEP_IMPROVEMENTS: Depreciated value of the improvements</t>
  </si>
  <si>
    <t xml:space="preserve">V_COST: Cost approach value: land plus depreciated improvements</t>
  </si>
  <si>
    <t xml:space="preserve">V_COST_R: Rounded to 50,000 (the indication)</t>
  </si>
  <si>
    <t xml:space="preserve">V_COST_PU: Per unit (rounded indication / units)</t>
  </si>
  <si>
    <t xml:space="preserve">ECONOMIC_LIFE_ALT: Total economic life assumed in the naive reading, years</t>
  </si>
  <si>
    <t xml:space="preserve">DEP_NAIVE_PCT: Actual age / that life</t>
  </si>
  <si>
    <t xml:space="preserve">DEP_NAIVE_INCURABLE: Incurable depreciation on that reading</t>
  </si>
  <si>
    <t xml:space="preserve">V_COST_NAIVE: Cost approach value on that reading</t>
  </si>
  <si>
    <t xml:space="preserve">V_COST_NAIVE_R: Rounded</t>
  </si>
  <si>
    <t xml:space="preserve">V_COST_NAIVE_MINUS_R: What the naive reading loses against the appraiser's cost approach</t>
  </si>
  <si>
    <t xml:space="preserve">EXT1_PRICE: extraction 1 Alder Bend: price</t>
  </si>
  <si>
    <t xml:space="preserve">EXT1_LAND: extraction 1 Alder Bend: land</t>
  </si>
  <si>
    <t xml:space="preserve">EXT1_IMPR: extraction 1 Alder Bend: impr</t>
  </si>
  <si>
    <t xml:space="preserve">EXT1_RCN: extraction 1 Alder Bend: rcn</t>
  </si>
  <si>
    <t xml:space="preserve">EXT1_DEP: extraction 1 Alder Bend: dep</t>
  </si>
  <si>
    <t xml:space="preserve">EXT1_PCT: extraction 1 Alder Bend: pct</t>
  </si>
  <si>
    <t xml:space="preserve">EXT1_AGE: extraction 1 Alder Bend: age</t>
  </si>
  <si>
    <t xml:space="preserve">EXT1_PER_YEAR: extraction 1 Alder Bend: per year</t>
  </si>
  <si>
    <t xml:space="preserve">EXT2_PRICE: extraction 2 Merriwether Place: price</t>
  </si>
  <si>
    <t xml:space="preserve">EXT2_LAND: extraction 2 Merriwether Place: land</t>
  </si>
  <si>
    <t xml:space="preserve">EXT2_IMPR: extraction 2 Merriwether Place: impr</t>
  </si>
  <si>
    <t xml:space="preserve">EXT2_RCN: extraction 2 Merriwether Place: rcn</t>
  </si>
  <si>
    <t xml:space="preserve">EXT2_DEP: extraction 2 Merriwether Place: dep</t>
  </si>
  <si>
    <t xml:space="preserve">EXT2_PCT: extraction 2 Merriwether Place: pct</t>
  </si>
  <si>
    <t xml:space="preserve">EXT2_AGE: extraction 2 Merriwether Place: age</t>
  </si>
  <si>
    <t xml:space="preserve">EXT2_PER_YEAR: extraction 2 Merriwether Place: per year</t>
  </si>
  <si>
    <t xml:space="preserve">EXT_MEAN_PCT: Market-extracted depreciation: mean of the two</t>
  </si>
  <si>
    <t xml:space="preserve">NEW_UNITS: Units of a new project on the site as vacant</t>
  </si>
  <si>
    <t xml:space="preserve">NEW_COST_PU: Hard and soft costs per unit, excluding land</t>
  </si>
  <si>
    <t xml:space="preserve">NEW_COST_EX_LAND: Costs excluding land</t>
  </si>
  <si>
    <t xml:space="preserve">NEW_TOTAL_COST: Total cost including land (Land sheet)</t>
  </si>
  <si>
    <t xml:space="preserve">NEW_NOI_PU: Stabilized NOI per unit of a new building</t>
  </si>
  <si>
    <t xml:space="preserve">NEW_NOI: Stabilized NOI</t>
  </si>
  <si>
    <t xml:space="preserve">NEW_CAP: Cap rate for new construction</t>
  </si>
  <si>
    <t xml:space="preserve">NEW_VALUE: Value on stabilization: NOI / cap rate</t>
  </si>
  <si>
    <t xml:space="preserve">NEW_VALUE_PU: Value per unit</t>
  </si>
  <si>
    <t xml:space="preserve">DEV_PROFIT: Developer's profit required on total cost</t>
  </si>
  <si>
    <t xml:space="preserve">NEW_REQUIRED: Value required: total cost x (1 + profit)</t>
  </si>
  <si>
    <t xml:space="preserve">NEW_MARGIN: Value less required value (feasible if positive)</t>
  </si>
  <si>
    <t xml:space="preserve">LAND_RESIDUAL: Land residual: value / (1 + profit) less costs excluding land</t>
  </si>
  <si>
    <t xml:space="preserve">LAND_RESIDUAL_PU: Land residual per allowable unit</t>
  </si>
  <si>
    <t xml:space="preserve">LAND_RESIDUAL_MINUS_COMPS: Land residual per unit less the land sales' conclusion</t>
  </si>
  <si>
    <t xml:space="preserve">DEMOLITION: Demolition cost of the existing buildings</t>
  </si>
  <si>
    <t xml:space="preserve">LAND_LESS_DEMOLITION: Land value less demolition: what the site is worth cleared</t>
  </si>
  <si>
    <t xml:space="preserve">IMPROVED_OVER_LAND: Value as improved less cleared land value</t>
  </si>
  <si>
    <t xml:space="preserve">RENO_COST_PU: Interior renovation cost per unit</t>
  </si>
  <si>
    <t xml:space="preserve">RENO_MKT_PREMIUM: Rent premium a month in the submarket's evidence</t>
  </si>
  <si>
    <t xml:space="preserve">RENO_ALL_COST: Cost, all units</t>
  </si>
  <si>
    <t xml:space="preserve">RENO_ALL_NOI: Added NOI a year, all units</t>
  </si>
  <si>
    <t xml:space="preserve">RENO_ALL_GAIN: Value added at the extracted cap rate</t>
  </si>
  <si>
    <t xml:space="preserve">RENO_ALL_NET: Value added less cost</t>
  </si>
  <si>
    <t xml:space="preserve">RENO_ALL_RATIO: Value added per dollar of cost</t>
  </si>
</sst>
</file>

<file path=xl/styles.xml><?xml version="1.0" encoding="utf-8"?>
<styleSheet xmlns="http://schemas.openxmlformats.org/spreadsheetml/2006/main">
  <numFmts count="16">
    <numFmt numFmtId="164" formatCode="General"/>
    <numFmt numFmtId="165" formatCode="0"/>
    <numFmt numFmtId="166" formatCode="#,##0"/>
    <numFmt numFmtId="167" formatCode="#,##0.0"/>
    <numFmt numFmtId="168" formatCode="#,##0.00"/>
    <numFmt numFmtId="169" formatCode="\$#,##0;&quot;-$&quot;#,##0;\$0"/>
    <numFmt numFmtId="170" formatCode="0.00%"/>
    <numFmt numFmtId="171" formatCode="0%"/>
    <numFmt numFmtId="172" formatCode="\$#,##0.00;&quot;-$&quot;#,##0.00;\$0.00"/>
    <numFmt numFmtId="173" formatCode="0.0%"/>
    <numFmt numFmtId="174" formatCode="0.00\x"/>
    <numFmt numFmtId="175" formatCode="0.000000"/>
    <numFmt numFmtId="176" formatCode="#,##0.0000"/>
    <numFmt numFmtId="177" formatCode="0.0000%"/>
    <numFmt numFmtId="178" formatCode="0.000%"/>
    <numFmt numFmtId="179" formatCode="#,##0.000"/>
  </numFmts>
  <fonts count="11">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
      <b val="true"/>
      <sz val="11"/>
      <color rgb="FF1F4FB4"/>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EFF3F8"/>
        <bgColor rgb="FFFFFFFF"/>
      </patternFill>
    </fill>
    <fill>
      <patternFill patternType="solid">
        <fgColor rgb="FF16213A"/>
        <bgColor rgb="FF003366"/>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72" fontId="6" fillId="4" borderId="1" xfId="0" applyFont="true" applyBorder="true" applyAlignment="false" applyProtection="false">
      <alignment horizontal="general" vertical="bottom" textRotation="0" wrapText="false" indent="0" shrinkToFit="false"/>
      <protection locked="true" hidden="false"/>
    </xf>
    <xf numFmtId="168" fontId="6" fillId="4"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center" vertical="center" textRotation="0" wrapText="false" indent="0" shrinkToFit="false"/>
      <protection locked="true" hidden="false"/>
    </xf>
    <xf numFmtId="173" fontId="6" fillId="4"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9" fontId="7" fillId="4" borderId="1" xfId="0" applyFont="true" applyBorder="true" applyAlignment="false" applyProtection="false">
      <alignment horizontal="general" vertical="bottom" textRotation="0" wrapText="false" indent="0" shrinkToFit="false"/>
      <protection locked="true" hidden="false"/>
    </xf>
    <xf numFmtId="173" fontId="7" fillId="4" borderId="1" xfId="0" applyFont="true" applyBorder="true" applyAlignment="false" applyProtection="false">
      <alignment horizontal="general" vertical="bottom" textRotation="0" wrapText="false" indent="0" shrinkToFit="false"/>
      <protection locked="true" hidden="false"/>
    </xf>
    <xf numFmtId="170" fontId="7" fillId="4"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true" applyProtection="false">
      <alignment horizontal="center" vertical="center" textRotation="0" wrapText="false" indent="0" shrinkToFit="false"/>
      <protection locked="true" hidden="false"/>
    </xf>
    <xf numFmtId="171" fontId="6" fillId="4" borderId="1" xfId="0" applyFont="true" applyBorder="true" applyAlignment="false" applyProtection="false">
      <alignment horizontal="general"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70" fontId="6" fillId="4"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74" fontId="6" fillId="4"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64" fontId="6" fillId="4" borderId="1" xfId="0" applyFont="true" applyBorder="true" applyAlignment="true" applyProtection="false">
      <alignment horizontal="right" vertical="bottom" textRotation="0" wrapText="false" indent="0" shrinkToFit="false"/>
      <protection locked="true" hidden="false"/>
    </xf>
    <xf numFmtId="175" fontId="6" fillId="4" borderId="1" xfId="0" applyFont="true" applyBorder="true" applyAlignment="false" applyProtection="false">
      <alignment horizontal="general"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xf numFmtId="176" fontId="6" fillId="4" borderId="1" xfId="0" applyFont="true" applyBorder="true" applyAlignment="false" applyProtection="false">
      <alignment horizontal="general" vertical="bottom" textRotation="0" wrapText="false" indent="0" shrinkToFit="false"/>
      <protection locked="true" hidden="false"/>
    </xf>
    <xf numFmtId="177" fontId="6" fillId="4" borderId="1" xfId="0" applyFont="true" applyBorder="true" applyAlignment="false" applyProtection="false">
      <alignment horizontal="general" vertical="bottom" textRotation="0" wrapText="false" indent="0" shrinkToFit="false"/>
      <protection locked="true" hidden="false"/>
    </xf>
    <xf numFmtId="178" fontId="6" fillId="4" borderId="1" xfId="0" applyFont="true" applyBorder="true" applyAlignment="false" applyProtection="false">
      <alignment horizontal="general" vertical="bottom" textRotation="0" wrapText="false" indent="0" shrinkToFit="false"/>
      <protection locked="true" hidden="false"/>
    </xf>
    <xf numFmtId="179" fontId="6" fillId="4"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7.35" hidden="false" customHeight="false" outlineLevel="0" collapsed="false">
      <c r="B2" s="1" t="s">
        <v>0</v>
      </c>
    </row>
    <row r="3" customFormat="false" ht="26.8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30"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15" hidden="false" customHeight="true" outlineLevel="0" collapsed="false">
      <c r="B10" s="3" t="s">
        <v>7</v>
      </c>
    </row>
    <row r="11" customFormat="false" ht="15" hidden="false" customHeight="false" outlineLevel="0" collapsed="false">
      <c r="B11" s="4" t="s">
        <v>8</v>
      </c>
    </row>
    <row r="12" customFormat="false" ht="60" hidden="false" customHeight="true" outlineLevel="0" collapsed="false">
      <c r="B12" s="3" t="s">
        <v>9</v>
      </c>
    </row>
    <row r="13" customFormat="false" ht="30" hidden="false" customHeight="true" outlineLevel="0" collapsed="false">
      <c r="B13" s="3" t="s">
        <v>10</v>
      </c>
    </row>
    <row r="14" customFormat="false" ht="15" hidden="false" customHeight="false" outlineLevel="0" collapsed="false">
      <c r="B14" s="4" t="s">
        <v>11</v>
      </c>
    </row>
    <row r="15" customFormat="false" ht="45" hidden="false" customHeight="true" outlineLevel="0" collapsed="false">
      <c r="B15" s="3" t="s">
        <v>12</v>
      </c>
    </row>
    <row r="16" customFormat="false" ht="15" hidden="false" customHeight="false" outlineLevel="0" collapsed="false">
      <c r="B16" s="3"/>
    </row>
    <row r="17" customFormat="false" ht="30" hidden="false" customHeight="true" outlineLevel="0" collapsed="false">
      <c r="B17" s="3" t="s">
        <v>13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3" min="3" style="0" width="15"/>
    <col collapsed="false" customWidth="true" hidden="false" outlineLevel="0" max="4" min="4" style="0" width="40"/>
  </cols>
  <sheetData>
    <row r="1" customFormat="false" ht="6" hidden="false" customHeight="true" outlineLevel="0" collapsed="false"/>
    <row r="2" customFormat="false" ht="17.35" hidden="false" customHeight="false" outlineLevel="0" collapsed="false">
      <c r="B2" s="5" t="s">
        <v>14</v>
      </c>
    </row>
    <row r="3" customFormat="false" ht="15" hidden="false" customHeight="false" outlineLevel="0" collapsed="false">
      <c r="B3" s="6" t="s">
        <v>15</v>
      </c>
    </row>
    <row r="5" customFormat="false" ht="15" hidden="false" customHeight="false" outlineLevel="0" collapsed="false">
      <c r="B5" s="7" t="s">
        <v>16</v>
      </c>
      <c r="C5" s="8"/>
      <c r="D5" s="8"/>
    </row>
    <row r="6" customFormat="false" ht="15" hidden="false" customHeight="false" outlineLevel="0" collapsed="false">
      <c r="B6" s="9" t="s">
        <v>17</v>
      </c>
      <c r="C6" s="10" t="n">
        <v>72</v>
      </c>
    </row>
    <row r="7" customFormat="false" ht="15" hidden="false" customHeight="false" outlineLevel="0" collapsed="false">
      <c r="B7" s="9" t="s">
        <v>18</v>
      </c>
      <c r="C7" s="10" t="n">
        <v>1999</v>
      </c>
    </row>
    <row r="8" customFormat="false" ht="15" hidden="false" customHeight="false" outlineLevel="0" collapsed="false">
      <c r="B8" s="9" t="s">
        <v>19</v>
      </c>
      <c r="C8" s="10" t="n">
        <v>2026</v>
      </c>
    </row>
    <row r="9" customFormat="false" ht="15" hidden="false" customHeight="false" outlineLevel="0" collapsed="false">
      <c r="B9" s="9" t="s">
        <v>20</v>
      </c>
      <c r="C9" s="11" t="n">
        <f aca="false">$C$8-$C$7</f>
        <v>27</v>
      </c>
    </row>
    <row r="10" customFormat="false" ht="15" hidden="false" customHeight="false" outlineLevel="0" collapsed="false">
      <c r="B10" s="9" t="s">
        <v>21</v>
      </c>
      <c r="C10" s="12" t="n">
        <v>64000</v>
      </c>
    </row>
    <row r="11" customFormat="false" ht="15" hidden="false" customHeight="false" outlineLevel="0" collapsed="false">
      <c r="B11" s="9" t="s">
        <v>22</v>
      </c>
      <c r="C11" s="13" t="n">
        <f aca="false">$C$10/$C$6</f>
        <v>888.888888888889</v>
      </c>
    </row>
    <row r="12" customFormat="false" ht="15" hidden="false" customHeight="false" outlineLevel="0" collapsed="false">
      <c r="B12" s="9" t="s">
        <v>23</v>
      </c>
      <c r="C12" s="12" t="n">
        <v>70400</v>
      </c>
    </row>
    <row r="13" customFormat="false" ht="15" hidden="false" customHeight="false" outlineLevel="0" collapsed="false">
      <c r="B13" s="9" t="s">
        <v>24</v>
      </c>
      <c r="C13" s="14" t="n">
        <v>4.2</v>
      </c>
    </row>
    <row r="14" customFormat="false" ht="15" hidden="false" customHeight="false" outlineLevel="0" collapsed="false">
      <c r="B14" s="9" t="s">
        <v>25</v>
      </c>
      <c r="C14" s="12" t="n">
        <v>182952</v>
      </c>
    </row>
    <row r="15" customFormat="false" ht="15" hidden="false" customHeight="false" outlineLevel="0" collapsed="false">
      <c r="B15" s="9" t="s">
        <v>26</v>
      </c>
      <c r="C15" s="10" t="n">
        <v>20</v>
      </c>
    </row>
    <row r="16" customFormat="false" ht="15" hidden="false" customHeight="false" outlineLevel="0" collapsed="false">
      <c r="B16" s="9" t="s">
        <v>27</v>
      </c>
      <c r="C16" s="11" t="n">
        <f aca="false">ROUND($C$13*$C$15,0)</f>
        <v>84</v>
      </c>
    </row>
    <row r="17" customFormat="false" ht="15" hidden="false" customHeight="false" outlineLevel="0" collapsed="false">
      <c r="B17" s="9" t="s">
        <v>28</v>
      </c>
      <c r="C17" s="15" t="n">
        <v>150000</v>
      </c>
    </row>
    <row r="19" customFormat="false" ht="15" hidden="false" customHeight="false" outlineLevel="0" collapsed="false">
      <c r="B19" s="7" t="s">
        <v>29</v>
      </c>
      <c r="C19" s="8"/>
      <c r="D19" s="8"/>
    </row>
    <row r="20" customFormat="false" ht="15" hidden="false" customHeight="false" outlineLevel="0" collapsed="false">
      <c r="B20" s="9" t="s">
        <v>30</v>
      </c>
      <c r="C20" s="15" t="n">
        <v>1157328</v>
      </c>
    </row>
    <row r="21" customFormat="false" ht="15" hidden="false" customHeight="false" outlineLevel="0" collapsed="false">
      <c r="B21" s="9" t="s">
        <v>31</v>
      </c>
      <c r="C21" s="16" t="n">
        <v>0.0575</v>
      </c>
    </row>
    <row r="22" customFormat="false" ht="15" hidden="false" customHeight="false" outlineLevel="0" collapsed="false">
      <c r="B22" s="9" t="s">
        <v>32</v>
      </c>
      <c r="C22" s="17" t="n">
        <v>0.36</v>
      </c>
    </row>
    <row r="23" customFormat="false" ht="15" hidden="false" customHeight="false" outlineLevel="0" collapsed="false">
      <c r="B23" s="9" t="s">
        <v>33</v>
      </c>
      <c r="C23" s="15" t="n">
        <v>12100000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R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20"/>
    <col collapsed="false" customWidth="true" hidden="false" outlineLevel="0" max="6" min="4" style="0" width="9"/>
    <col collapsed="false" customWidth="true" hidden="false" outlineLevel="0" max="7" min="7" style="0" width="14"/>
    <col collapsed="false" customWidth="true" hidden="false" outlineLevel="0" max="8" min="8" style="0" width="13"/>
    <col collapsed="false" customWidth="true" hidden="false" outlineLevel="0" max="9" min="9" style="0" width="10"/>
    <col collapsed="false" customWidth="true" hidden="false" outlineLevel="0" max="10" min="10" style="0" width="12"/>
    <col collapsed="false" customWidth="true" hidden="false" outlineLevel="0" max="12" min="11" style="0" width="14"/>
    <col collapsed="false" customWidth="true" hidden="false" outlineLevel="0" max="13" min="13" style="0" width="9"/>
    <col collapsed="false" customWidth="true" hidden="false" outlineLevel="0" max="17" min="14" style="0" width="11"/>
    <col collapsed="false" customWidth="true" hidden="false" outlineLevel="0" max="18" min="18" style="0" width="13"/>
  </cols>
  <sheetData>
    <row r="1" customFormat="false" ht="6" hidden="false" customHeight="true" outlineLevel="0" collapsed="false"/>
    <row r="2" customFormat="false" ht="17.35" hidden="false" customHeight="false" outlineLevel="0" collapsed="false">
      <c r="B2" s="5" t="s">
        <v>34</v>
      </c>
    </row>
    <row r="3" customFormat="false" ht="15" hidden="false" customHeight="false" outlineLevel="0" collapsed="false">
      <c r="B3" s="6" t="s">
        <v>35</v>
      </c>
    </row>
    <row r="5" customFormat="false" ht="42" hidden="false" customHeight="true" outlineLevel="0" collapsed="false">
      <c r="B5" s="18" t="s">
        <v>36</v>
      </c>
      <c r="C5" s="19" t="s">
        <v>37</v>
      </c>
      <c r="D5" s="19" t="s">
        <v>17</v>
      </c>
      <c r="E5" s="19" t="s">
        <v>38</v>
      </c>
      <c r="F5" s="19" t="s">
        <v>39</v>
      </c>
      <c r="G5" s="19" t="s">
        <v>40</v>
      </c>
      <c r="H5" s="19" t="s">
        <v>41</v>
      </c>
      <c r="I5" s="19" t="s">
        <v>42</v>
      </c>
      <c r="J5" s="19" t="s">
        <v>43</v>
      </c>
      <c r="K5" s="19" t="s">
        <v>44</v>
      </c>
      <c r="L5" s="19" t="s">
        <v>45</v>
      </c>
      <c r="M5" s="19" t="s">
        <v>46</v>
      </c>
      <c r="N5" s="19" t="s">
        <v>47</v>
      </c>
      <c r="O5" s="19" t="s">
        <v>48</v>
      </c>
      <c r="P5" s="19" t="s">
        <v>49</v>
      </c>
      <c r="Q5" s="19" t="s">
        <v>50</v>
      </c>
      <c r="R5" s="19" t="s">
        <v>51</v>
      </c>
    </row>
    <row r="6" customFormat="false" ht="15" hidden="false" customHeight="false" outlineLevel="0" collapsed="false">
      <c r="B6" s="20" t="n">
        <v>1</v>
      </c>
      <c r="C6" s="21" t="s">
        <v>52</v>
      </c>
      <c r="D6" s="10" t="n">
        <v>96</v>
      </c>
      <c r="E6" s="10" t="n">
        <v>2001</v>
      </c>
      <c r="F6" s="10" t="n">
        <v>3</v>
      </c>
      <c r="G6" s="15" t="n">
        <v>18144000</v>
      </c>
      <c r="H6" s="22" t="n">
        <f aca="false">G6/D6</f>
        <v>189000</v>
      </c>
      <c r="I6" s="12" t="n">
        <v>910</v>
      </c>
      <c r="J6" s="23" t="n">
        <f aca="false">G6/(D6*I6)</f>
        <v>207.692307692308</v>
      </c>
      <c r="K6" s="15" t="n">
        <v>1062000</v>
      </c>
      <c r="L6" s="22" t="n">
        <f aca="false">K6/(1-Subject!$C$22)</f>
        <v>1659375</v>
      </c>
      <c r="M6" s="24" t="n">
        <f aca="false">G6/L6</f>
        <v>10.9342372881356</v>
      </c>
      <c r="N6" s="25" t="s">
        <v>53</v>
      </c>
      <c r="O6" s="25" t="s">
        <v>54</v>
      </c>
      <c r="P6" s="17" t="n">
        <v>0</v>
      </c>
      <c r="Q6" s="17" t="n">
        <v>0</v>
      </c>
      <c r="R6" s="15" t="n">
        <v>0</v>
      </c>
    </row>
    <row r="7" customFormat="false" ht="15" hidden="false" customHeight="false" outlineLevel="0" collapsed="false">
      <c r="B7" s="20" t="n">
        <v>2</v>
      </c>
      <c r="C7" s="21" t="s">
        <v>55</v>
      </c>
      <c r="D7" s="10" t="n">
        <v>60</v>
      </c>
      <c r="E7" s="10" t="n">
        <v>1996</v>
      </c>
      <c r="F7" s="10" t="n">
        <v>8</v>
      </c>
      <c r="G7" s="15" t="n">
        <v>8280000</v>
      </c>
      <c r="H7" s="22" t="n">
        <f aca="false">G7/D7</f>
        <v>138000</v>
      </c>
      <c r="I7" s="12" t="n">
        <v>880</v>
      </c>
      <c r="J7" s="23" t="n">
        <f aca="false">G7/(D7*I7)</f>
        <v>156.818181818182</v>
      </c>
      <c r="K7" s="15" t="n">
        <v>527000</v>
      </c>
      <c r="L7" s="22" t="n">
        <f aca="false">K7/(1-Subject!$C$22)</f>
        <v>823437.5</v>
      </c>
      <c r="M7" s="24" t="n">
        <f aca="false">G7/L7</f>
        <v>10.0554079696395</v>
      </c>
      <c r="N7" s="25" t="s">
        <v>54</v>
      </c>
      <c r="O7" s="25" t="s">
        <v>56</v>
      </c>
      <c r="P7" s="17" t="n">
        <v>0</v>
      </c>
      <c r="Q7" s="17" t="n">
        <v>0</v>
      </c>
      <c r="R7" s="15" t="n">
        <v>6000</v>
      </c>
    </row>
    <row r="8" customFormat="false" ht="15" hidden="false" customHeight="false" outlineLevel="0" collapsed="false">
      <c r="B8" s="20" t="n">
        <v>3</v>
      </c>
      <c r="C8" s="21" t="s">
        <v>57</v>
      </c>
      <c r="D8" s="10" t="n">
        <v>84</v>
      </c>
      <c r="E8" s="10" t="n">
        <v>2003</v>
      </c>
      <c r="F8" s="10" t="n">
        <v>11</v>
      </c>
      <c r="G8" s="15" t="n">
        <v>16128000</v>
      </c>
      <c r="H8" s="22" t="n">
        <f aca="false">G8/D8</f>
        <v>192000</v>
      </c>
      <c r="I8" s="12" t="n">
        <v>925</v>
      </c>
      <c r="J8" s="23" t="n">
        <f aca="false">G8/(D8*I8)</f>
        <v>207.567567567568</v>
      </c>
      <c r="K8" s="15" t="n">
        <v>928000</v>
      </c>
      <c r="L8" s="22" t="n">
        <f aca="false">K8/(1-Subject!$C$22)</f>
        <v>1450000</v>
      </c>
      <c r="M8" s="24" t="n">
        <f aca="false">G8/L8</f>
        <v>11.1227586206897</v>
      </c>
      <c r="N8" s="25" t="s">
        <v>54</v>
      </c>
      <c r="O8" s="25" t="s">
        <v>53</v>
      </c>
      <c r="P8" s="17" t="n">
        <v>-0.02</v>
      </c>
      <c r="Q8" s="17" t="n">
        <v>0</v>
      </c>
      <c r="R8" s="15" t="n">
        <v>0</v>
      </c>
    </row>
    <row r="9" customFormat="false" ht="15" hidden="false" customHeight="false" outlineLevel="0" collapsed="false">
      <c r="B9" s="20" t="n">
        <v>4</v>
      </c>
      <c r="C9" s="21" t="s">
        <v>58</v>
      </c>
      <c r="D9" s="10" t="n">
        <v>72</v>
      </c>
      <c r="E9" s="10" t="n">
        <v>1998</v>
      </c>
      <c r="F9" s="10" t="n">
        <v>5</v>
      </c>
      <c r="G9" s="15" t="n">
        <v>11214000</v>
      </c>
      <c r="H9" s="22" t="n">
        <f aca="false">G9/D9</f>
        <v>155750</v>
      </c>
      <c r="I9" s="12" t="n">
        <v>890</v>
      </c>
      <c r="J9" s="23" t="n">
        <f aca="false">G9/(D9*I9)</f>
        <v>175</v>
      </c>
      <c r="K9" s="15" t="n">
        <v>689000</v>
      </c>
      <c r="L9" s="22" t="n">
        <f aca="false">K9/(1-Subject!$C$22)</f>
        <v>1076562.5</v>
      </c>
      <c r="M9" s="24" t="n">
        <f aca="false">G9/L9</f>
        <v>10.4164876632801</v>
      </c>
      <c r="N9" s="25" t="s">
        <v>56</v>
      </c>
      <c r="O9" s="25" t="s">
        <v>54</v>
      </c>
      <c r="P9" s="17" t="n">
        <v>0</v>
      </c>
      <c r="Q9" s="17" t="n">
        <v>0</v>
      </c>
      <c r="R9" s="15" t="n">
        <v>0</v>
      </c>
    </row>
    <row r="10" customFormat="false" ht="15" hidden="false" customHeight="false" outlineLevel="0" collapsed="false">
      <c r="B10" s="20" t="n">
        <v>5</v>
      </c>
      <c r="C10" s="21" t="s">
        <v>59</v>
      </c>
      <c r="D10" s="10" t="n">
        <v>120</v>
      </c>
      <c r="E10" s="10" t="n">
        <v>1999</v>
      </c>
      <c r="F10" s="10" t="n">
        <v>14</v>
      </c>
      <c r="G10" s="15" t="n">
        <v>20640000</v>
      </c>
      <c r="H10" s="22" t="n">
        <f aca="false">G10/D10</f>
        <v>172000</v>
      </c>
      <c r="I10" s="12" t="n">
        <v>870</v>
      </c>
      <c r="J10" s="23" t="n">
        <f aca="false">G10/(D10*I10)</f>
        <v>197.701149425287</v>
      </c>
      <c r="K10" s="15" t="n">
        <v>1243000</v>
      </c>
      <c r="L10" s="22" t="n">
        <f aca="false">K10/(1-Subject!$C$22)</f>
        <v>1942187.5</v>
      </c>
      <c r="M10" s="24" t="n">
        <f aca="false">G10/L10</f>
        <v>10.6271922767498</v>
      </c>
      <c r="N10" s="25" t="s">
        <v>54</v>
      </c>
      <c r="O10" s="25" t="s">
        <v>54</v>
      </c>
      <c r="P10" s="17" t="n">
        <v>0</v>
      </c>
      <c r="Q10" s="17" t="n">
        <v>-0.03</v>
      </c>
      <c r="R10" s="15" t="n">
        <v>0</v>
      </c>
    </row>
    <row r="12" customFormat="false" ht="15" hidden="false" customHeight="false" outlineLevel="0" collapsed="false">
      <c r="B12" s="7" t="s">
        <v>60</v>
      </c>
      <c r="C12" s="8"/>
      <c r="D12" s="8"/>
      <c r="E12" s="8"/>
      <c r="F12" s="8"/>
    </row>
    <row r="13" customFormat="false" ht="15" hidden="false" customHeight="false" outlineLevel="0" collapsed="false">
      <c r="C13" s="9" t="s">
        <v>61</v>
      </c>
      <c r="G13" s="22" t="n">
        <f aca="false">MIN(H6:H10)</f>
        <v>138000</v>
      </c>
    </row>
    <row r="14" customFormat="false" ht="15" hidden="false" customHeight="false" outlineLevel="0" collapsed="false">
      <c r="C14" s="9" t="s">
        <v>62</v>
      </c>
      <c r="G14" s="22" t="n">
        <f aca="false">MAX(H6:H10)</f>
        <v>192000</v>
      </c>
    </row>
    <row r="15" customFormat="false" ht="15" hidden="false" customHeight="false" outlineLevel="0" collapsed="false">
      <c r="C15" s="9" t="s">
        <v>63</v>
      </c>
      <c r="G15" s="26" t="n">
        <f aca="false">$G$14/$G$13-1</f>
        <v>0.391304347826087</v>
      </c>
    </row>
    <row r="16" customFormat="false" ht="15" hidden="false" customHeight="false" outlineLevel="0" collapsed="false">
      <c r="C16" s="9" t="s">
        <v>64</v>
      </c>
      <c r="G16" s="13" t="n">
        <f aca="false">AVERAGE(F6:F10)</f>
        <v>8.2</v>
      </c>
    </row>
    <row r="17" customFormat="false" ht="15" hidden="false" customHeight="false" outlineLevel="0" collapsed="false">
      <c r="C17" s="9" t="s">
        <v>65</v>
      </c>
      <c r="G17" s="24" t="n">
        <f aca="false">MIN(M6:M10)</f>
        <v>10.0554079696395</v>
      </c>
    </row>
    <row r="18" customFormat="false" ht="15" hidden="false" customHeight="false" outlineLevel="0" collapsed="false">
      <c r="C18" s="9" t="s">
        <v>66</v>
      </c>
      <c r="G18" s="24" t="n">
        <f aca="false">MAX(M6:M10)</f>
        <v>11.1227586206897</v>
      </c>
    </row>
    <row r="19" customFormat="false" ht="15" hidden="false" customHeight="false" outlineLevel="0" collapsed="false">
      <c r="C19" s="9" t="s">
        <v>67</v>
      </c>
      <c r="G19" s="24" t="n">
        <f aca="false">Subject!$C$23/Subject!$C$20</f>
        <v>10.455117304688</v>
      </c>
    </row>
    <row r="20" customFormat="false" ht="15" hidden="false" customHeight="false" outlineLevel="0" collapsed="false">
      <c r="C20" s="9" t="s">
        <v>68</v>
      </c>
      <c r="G20" s="22" t="n">
        <f aca="false">$G$17*Subject!$C$20</f>
        <v>11637405.1946869</v>
      </c>
    </row>
    <row r="21" customFormat="false" ht="15" hidden="false" customHeight="false" outlineLevel="0" collapsed="false">
      <c r="C21" s="9" t="s">
        <v>69</v>
      </c>
      <c r="G21" s="22" t="n">
        <f aca="false">$G$18*Subject!$C$20</f>
        <v>12872679.9889655</v>
      </c>
    </row>
    <row r="22" customFormat="false" ht="15" hidden="false" customHeight="false" outlineLevel="0" collapsed="false">
      <c r="C22" s="9" t="s">
        <v>70</v>
      </c>
      <c r="G22" s="23" t="n">
        <f aca="false">Subject!$C$23/Subject!$C$10</f>
        <v>189.0625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3" min="3" style="0" width="15"/>
    <col collapsed="false" customWidth="true" hidden="false" outlineLevel="0" max="4" min="4" style="0" width="40"/>
  </cols>
  <sheetData>
    <row r="1" customFormat="false" ht="6" hidden="false" customHeight="true" outlineLevel="0" collapsed="false"/>
    <row r="2" customFormat="false" ht="17.35" hidden="false" customHeight="false" outlineLevel="0" collapsed="false">
      <c r="B2" s="5" t="s">
        <v>71</v>
      </c>
    </row>
    <row r="3" customFormat="false" ht="15" hidden="false" customHeight="false" outlineLevel="0" collapsed="false">
      <c r="B3" s="6" t="s">
        <v>72</v>
      </c>
    </row>
    <row r="5" customFormat="false" ht="15" hidden="false" customHeight="false" outlineLevel="0" collapsed="false">
      <c r="B5" s="7" t="s">
        <v>73</v>
      </c>
      <c r="C5" s="8"/>
      <c r="D5" s="8"/>
    </row>
    <row r="6" customFormat="false" ht="15" hidden="false" customHeight="false" outlineLevel="0" collapsed="false">
      <c r="B6" s="9" t="s">
        <v>74</v>
      </c>
      <c r="C6" s="15" t="n">
        <v>158000</v>
      </c>
    </row>
    <row r="7" customFormat="false" ht="15" hidden="false" customHeight="false" outlineLevel="0" collapsed="false">
      <c r="B7" s="9" t="s">
        <v>75</v>
      </c>
      <c r="C7" s="15" t="n">
        <v>176000</v>
      </c>
    </row>
    <row r="8" customFormat="false" ht="15" hidden="false" customHeight="false" outlineLevel="0" collapsed="false">
      <c r="B8" s="27" t="s">
        <v>76</v>
      </c>
      <c r="C8" s="28" t="n">
        <f aca="false">$C$7-$C$6</f>
        <v>18000</v>
      </c>
    </row>
    <row r="9" customFormat="false" ht="15" hidden="false" customHeight="false" outlineLevel="0" collapsed="false">
      <c r="B9" s="9" t="s">
        <v>77</v>
      </c>
      <c r="C9" s="26" t="n">
        <f aca="false">$C$7/$C$6-1</f>
        <v>0.113924050632911</v>
      </c>
    </row>
    <row r="11" customFormat="false" ht="15" hidden="false" customHeight="false" outlineLevel="0" collapsed="false">
      <c r="B11" s="7" t="s">
        <v>78</v>
      </c>
      <c r="C11" s="8"/>
      <c r="D11" s="8"/>
    </row>
    <row r="12" customFormat="false" ht="15" hidden="false" customHeight="false" outlineLevel="0" collapsed="false">
      <c r="B12" s="9" t="s">
        <v>79</v>
      </c>
      <c r="C12" s="15" t="n">
        <v>172000</v>
      </c>
    </row>
    <row r="13" customFormat="false" ht="15" hidden="false" customHeight="false" outlineLevel="0" collapsed="false">
      <c r="B13" s="9" t="s">
        <v>80</v>
      </c>
      <c r="C13" s="15" t="n">
        <v>160000</v>
      </c>
    </row>
    <row r="14" customFormat="false" ht="15" hidden="false" customHeight="false" outlineLevel="0" collapsed="false">
      <c r="B14" s="27" t="s">
        <v>81</v>
      </c>
      <c r="C14" s="29" t="n">
        <f aca="false">$C$12/$C$13-1</f>
        <v>0.075</v>
      </c>
    </row>
    <row r="16" customFormat="false" ht="15" hidden="false" customHeight="false" outlineLevel="0" collapsed="false">
      <c r="B16" s="7" t="s">
        <v>82</v>
      </c>
      <c r="C16" s="8"/>
      <c r="D16" s="8"/>
    </row>
    <row r="17" customFormat="false" ht="15" hidden="false" customHeight="false" outlineLevel="0" collapsed="false">
      <c r="B17" s="9" t="s">
        <v>83</v>
      </c>
      <c r="C17" s="15" t="n">
        <v>148000</v>
      </c>
    </row>
    <row r="18" customFormat="false" ht="15" hidden="false" customHeight="false" outlineLevel="0" collapsed="false">
      <c r="B18" s="9" t="s">
        <v>84</v>
      </c>
      <c r="C18" s="15" t="n">
        <v>156400</v>
      </c>
    </row>
    <row r="19" customFormat="false" ht="15" hidden="false" customHeight="false" outlineLevel="0" collapsed="false">
      <c r="B19" s="9" t="s">
        <v>85</v>
      </c>
      <c r="C19" s="10" t="n">
        <v>18</v>
      </c>
    </row>
    <row r="20" customFormat="false" ht="15" hidden="false" customHeight="false" outlineLevel="0" collapsed="false">
      <c r="B20" s="9" t="s">
        <v>86</v>
      </c>
      <c r="C20" s="26" t="n">
        <f aca="false">$C$18/$C$17-1</f>
        <v>0.0567567567567568</v>
      </c>
    </row>
    <row r="21" customFormat="false" ht="15" hidden="false" customHeight="false" outlineLevel="0" collapsed="false">
      <c r="B21" s="27" t="s">
        <v>87</v>
      </c>
      <c r="C21" s="30" t="n">
        <f aca="false">($C$18/$C$17)^(1/$C$19)-1</f>
        <v>0.00307162749572432</v>
      </c>
    </row>
    <row r="22" customFormat="false" ht="15" hidden="false" customHeight="false" outlineLevel="0" collapsed="false">
      <c r="B22" s="9" t="s">
        <v>88</v>
      </c>
      <c r="C22" s="26" t="n">
        <f aca="false">(1+$C$21)^12-1</f>
        <v>0.0374886530373066</v>
      </c>
    </row>
    <row r="23" customFormat="false" ht="15" hidden="false" customHeight="false" outlineLevel="0" collapsed="false">
      <c r="B23" s="6" t="s">
        <v>89</v>
      </c>
    </row>
    <row r="25" customFormat="false" ht="15" hidden="false" customHeight="false" outlineLevel="0" collapsed="false">
      <c r="B25" s="7" t="s">
        <v>90</v>
      </c>
      <c r="C25" s="8"/>
      <c r="D25" s="8"/>
    </row>
    <row r="26" customFormat="false" ht="15" hidden="false" customHeight="false" outlineLevel="0" collapsed="false">
      <c r="B26" s="9" t="s">
        <v>91</v>
      </c>
      <c r="C26" s="12" t="n">
        <v>1700</v>
      </c>
    </row>
    <row r="27" customFormat="false" ht="15" hidden="false" customHeight="false" outlineLevel="0" collapsed="false">
      <c r="B27" s="9" t="s">
        <v>92</v>
      </c>
      <c r="C27" s="12" t="n">
        <v>1900</v>
      </c>
    </row>
    <row r="28" customFormat="false" ht="15" hidden="false" customHeight="false" outlineLevel="0" collapsed="false">
      <c r="B28" s="9" t="s">
        <v>93</v>
      </c>
      <c r="C28" s="15" t="n">
        <v>383000</v>
      </c>
    </row>
    <row r="29" customFormat="false" ht="15" hidden="false" customHeight="false" outlineLevel="0" collapsed="false">
      <c r="B29" s="9" t="s">
        <v>94</v>
      </c>
      <c r="C29" s="15" t="n">
        <v>392000</v>
      </c>
    </row>
    <row r="30" customFormat="false" ht="15" hidden="false" customHeight="false" outlineLevel="0" collapsed="false">
      <c r="B30" s="9" t="s">
        <v>95</v>
      </c>
      <c r="C30" s="22" t="n">
        <f aca="false">$C$29-$C$28</f>
        <v>9000</v>
      </c>
    </row>
    <row r="31" customFormat="false" ht="15" hidden="false" customHeight="false" outlineLevel="0" collapsed="false">
      <c r="B31" s="9" t="s">
        <v>96</v>
      </c>
      <c r="C31" s="31" t="n">
        <f aca="false">$C$27-$C$26</f>
        <v>200</v>
      </c>
    </row>
    <row r="32" customFormat="false" ht="15" hidden="false" customHeight="false" outlineLevel="0" collapsed="false">
      <c r="B32" s="27" t="s">
        <v>97</v>
      </c>
      <c r="C32" s="28" t="n">
        <f aca="false">$C$30/$C$31</f>
        <v>45</v>
      </c>
    </row>
    <row r="34" customFormat="false" ht="15" hidden="false" customHeight="false" outlineLevel="0" collapsed="false">
      <c r="B34" s="7" t="s">
        <v>98</v>
      </c>
      <c r="C34" s="8"/>
      <c r="D34" s="8"/>
    </row>
    <row r="35" customFormat="false" ht="15" hidden="false" customHeight="false" outlineLevel="0" collapsed="false">
      <c r="B35" s="9" t="s">
        <v>99</v>
      </c>
      <c r="C35" s="15" t="n">
        <v>406000</v>
      </c>
    </row>
    <row r="36" customFormat="false" ht="15" hidden="false" customHeight="false" outlineLevel="0" collapsed="false">
      <c r="B36" s="9" t="s">
        <v>100</v>
      </c>
      <c r="C36" s="15" t="n">
        <v>391000</v>
      </c>
    </row>
    <row r="37" customFormat="false" ht="15" hidden="false" customHeight="false" outlineLevel="0" collapsed="false">
      <c r="B37" s="27" t="s">
        <v>101</v>
      </c>
      <c r="C37" s="28" t="n">
        <f aca="false">$C$35-$C$36</f>
        <v>15000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7" min="3" style="0" width="15"/>
    <col collapsed="false" customWidth="true" hidden="false" outlineLevel="0" max="8" min="8" style="0" width="30"/>
  </cols>
  <sheetData>
    <row r="1" customFormat="false" ht="6" hidden="false" customHeight="true" outlineLevel="0" collapsed="false"/>
    <row r="2" customFormat="false" ht="17.35" hidden="false" customHeight="false" outlineLevel="0" collapsed="false">
      <c r="B2" s="5" t="s">
        <v>102</v>
      </c>
    </row>
    <row r="3" customFormat="false" ht="15" hidden="false" customHeight="false" outlineLevel="0" collapsed="false">
      <c r="B3" s="6" t="s">
        <v>103</v>
      </c>
    </row>
    <row r="5" customFormat="false" ht="15" hidden="false" customHeight="false" outlineLevel="0" collapsed="false">
      <c r="B5" s="7" t="s">
        <v>104</v>
      </c>
      <c r="C5" s="8"/>
      <c r="D5" s="8"/>
    </row>
    <row r="6" customFormat="false" ht="15" hidden="false" customHeight="false" outlineLevel="0" collapsed="false">
      <c r="B6" s="9" t="s">
        <v>105</v>
      </c>
      <c r="C6" s="16" t="n">
        <v>0.0025</v>
      </c>
    </row>
    <row r="7" customFormat="false" ht="15" hidden="false" customHeight="false" outlineLevel="0" collapsed="false">
      <c r="B7" s="9" t="s">
        <v>106</v>
      </c>
      <c r="C7" s="26" t="n">
        <f aca="false">$C$6*12</f>
        <v>0.03</v>
      </c>
    </row>
    <row r="8" customFormat="false" ht="15" hidden="false" customHeight="false" outlineLevel="0" collapsed="false">
      <c r="B8" s="9" t="s">
        <v>107</v>
      </c>
      <c r="C8" s="26" t="n">
        <f aca="false">Paired_Sales!$C$14</f>
        <v>0.075</v>
      </c>
    </row>
    <row r="9" customFormat="false" ht="15" hidden="false" customHeight="false" outlineLevel="0" collapsed="false">
      <c r="B9" s="9" t="s">
        <v>108</v>
      </c>
      <c r="C9" s="22" t="n">
        <f aca="false">Paired_Sales!$C$8</f>
        <v>18000</v>
      </c>
    </row>
    <row r="10" customFormat="false" ht="15" hidden="false" customHeight="false" outlineLevel="0" collapsed="false">
      <c r="B10" s="9" t="s">
        <v>109</v>
      </c>
      <c r="C10" s="17" t="n">
        <v>0.02</v>
      </c>
    </row>
    <row r="11" customFormat="false" ht="15" hidden="false" customHeight="false" outlineLevel="0" collapsed="false">
      <c r="B11" s="9" t="s">
        <v>110</v>
      </c>
      <c r="C11" s="10" t="n">
        <v>60</v>
      </c>
    </row>
    <row r="12" customFormat="false" ht="15" hidden="false" customHeight="false" outlineLevel="0" collapsed="false">
      <c r="B12" s="9" t="s">
        <v>111</v>
      </c>
      <c r="C12" s="10" t="n">
        <v>96</v>
      </c>
    </row>
    <row r="13" customFormat="false" ht="15" hidden="false" customHeight="false" outlineLevel="0" collapsed="false">
      <c r="B13" s="9" t="s">
        <v>112</v>
      </c>
      <c r="C13" s="32" t="n">
        <v>0.005</v>
      </c>
    </row>
    <row r="14" customFormat="false" ht="15" hidden="false" customHeight="false" outlineLevel="0" collapsed="false">
      <c r="B14" s="9" t="s">
        <v>113</v>
      </c>
      <c r="C14" s="10" t="n">
        <v>2</v>
      </c>
    </row>
    <row r="15" customFormat="false" ht="15" hidden="false" customHeight="false" outlineLevel="0" collapsed="false">
      <c r="B15" s="9" t="s">
        <v>114</v>
      </c>
      <c r="C15" s="15" t="n">
        <v>30</v>
      </c>
    </row>
    <row r="17" customFormat="false" ht="15" hidden="false" customHeight="false" outlineLevel="0" collapsed="false">
      <c r="B17" s="7" t="s">
        <v>115</v>
      </c>
      <c r="C17" s="8"/>
      <c r="D17" s="8"/>
      <c r="E17" s="8"/>
      <c r="F17" s="8"/>
      <c r="G17" s="8"/>
    </row>
    <row r="18" customFormat="false" ht="21.75" hidden="false" customHeight="true" outlineLevel="0" collapsed="false">
      <c r="B18" s="18" t="s">
        <v>116</v>
      </c>
      <c r="C18" s="19" t="s">
        <v>117</v>
      </c>
      <c r="D18" s="19" t="s">
        <v>118</v>
      </c>
      <c r="E18" s="19" t="s">
        <v>119</v>
      </c>
      <c r="F18" s="19" t="s">
        <v>120</v>
      </c>
      <c r="G18" s="19" t="s">
        <v>121</v>
      </c>
    </row>
    <row r="19" customFormat="false" ht="15" hidden="false" customHeight="false" outlineLevel="0" collapsed="false">
      <c r="B19" s="9" t="s">
        <v>37</v>
      </c>
      <c r="C19" s="33" t="str">
        <f aca="false">Improved_Sales!C6</f>
        <v>Larkin Ridge</v>
      </c>
      <c r="D19" s="33" t="str">
        <f aca="false">Improved_Sales!C7</f>
        <v>Sable Creek</v>
      </c>
      <c r="E19" s="33" t="str">
        <f aca="false">Improved_Sales!C8</f>
        <v>Windrow Flats</v>
      </c>
      <c r="F19" s="33" t="str">
        <f aca="false">Improved_Sales!C9</f>
        <v>Alder Bend</v>
      </c>
      <c r="G19" s="33" t="str">
        <f aca="false">Improved_Sales!C10</f>
        <v>Merriwether Place</v>
      </c>
    </row>
    <row r="20" customFormat="false" ht="15" hidden="false" customHeight="false" outlineLevel="0" collapsed="false">
      <c r="B20" s="9" t="s">
        <v>122</v>
      </c>
      <c r="C20" s="22" t="n">
        <f aca="false">Improved_Sales!$H$6</f>
        <v>189000</v>
      </c>
      <c r="D20" s="22" t="n">
        <f aca="false">Improved_Sales!$H$7</f>
        <v>138000</v>
      </c>
      <c r="E20" s="22" t="n">
        <f aca="false">Improved_Sales!$H$8</f>
        <v>192000</v>
      </c>
      <c r="F20" s="22" t="n">
        <f aca="false">Improved_Sales!$H$9</f>
        <v>155750</v>
      </c>
      <c r="G20" s="22" t="n">
        <f aca="false">Improved_Sales!$H$10</f>
        <v>172000</v>
      </c>
    </row>
    <row r="21" customFormat="false" ht="15" hidden="false" customHeight="false" outlineLevel="0" collapsed="false">
      <c r="B21" s="9" t="s">
        <v>123</v>
      </c>
      <c r="C21" s="34" t="n">
        <f aca="false">Improved_Sales!$P$6</f>
        <v>0</v>
      </c>
      <c r="D21" s="34" t="n">
        <f aca="false">Improved_Sales!$P$7</f>
        <v>0</v>
      </c>
      <c r="E21" s="34" t="n">
        <f aca="false">Improved_Sales!$P$8</f>
        <v>-0.02</v>
      </c>
      <c r="F21" s="34" t="n">
        <f aca="false">Improved_Sales!$P$9</f>
        <v>0</v>
      </c>
      <c r="G21" s="34" t="n">
        <f aca="false">Improved_Sales!$P$10</f>
        <v>0</v>
      </c>
    </row>
    <row r="22" customFormat="false" ht="15" hidden="false" customHeight="false" outlineLevel="0" collapsed="false">
      <c r="B22" s="9" t="s">
        <v>124</v>
      </c>
      <c r="C22" s="22" t="n">
        <f aca="false">C20*C21</f>
        <v>0</v>
      </c>
      <c r="D22" s="22" t="n">
        <f aca="false">D20*D21</f>
        <v>0</v>
      </c>
      <c r="E22" s="22" t="n">
        <f aca="false">E20*E21</f>
        <v>-3840</v>
      </c>
      <c r="F22" s="22" t="n">
        <f aca="false">F20*F21</f>
        <v>0</v>
      </c>
      <c r="G22" s="22" t="n">
        <f aca="false">G20*G21</f>
        <v>0</v>
      </c>
    </row>
    <row r="23" customFormat="false" ht="15" hidden="false" customHeight="false" outlineLevel="0" collapsed="false">
      <c r="B23" s="9" t="s">
        <v>125</v>
      </c>
      <c r="C23" s="22" t="n">
        <f aca="false">C20+C22</f>
        <v>189000</v>
      </c>
      <c r="D23" s="22" t="n">
        <f aca="false">D20+D22</f>
        <v>138000</v>
      </c>
      <c r="E23" s="22" t="n">
        <f aca="false">E20+E22</f>
        <v>188160</v>
      </c>
      <c r="F23" s="22" t="n">
        <f aca="false">F20+F22</f>
        <v>155750</v>
      </c>
      <c r="G23" s="22" t="n">
        <f aca="false">G20+G22</f>
        <v>172000</v>
      </c>
    </row>
    <row r="24" customFormat="false" ht="15" hidden="false" customHeight="false" outlineLevel="0" collapsed="false">
      <c r="B24" s="9" t="s">
        <v>126</v>
      </c>
      <c r="C24" s="34" t="n">
        <f aca="false">Improved_Sales!$Q$6</f>
        <v>0</v>
      </c>
      <c r="D24" s="34" t="n">
        <f aca="false">Improved_Sales!$Q$7</f>
        <v>0</v>
      </c>
      <c r="E24" s="34" t="n">
        <f aca="false">Improved_Sales!$Q$8</f>
        <v>0</v>
      </c>
      <c r="F24" s="34" t="n">
        <f aca="false">Improved_Sales!$Q$9</f>
        <v>0</v>
      </c>
      <c r="G24" s="34" t="n">
        <f aca="false">Improved_Sales!$Q$10</f>
        <v>-0.03</v>
      </c>
    </row>
    <row r="25" customFormat="false" ht="15" hidden="false" customHeight="false" outlineLevel="0" collapsed="false">
      <c r="B25" s="9" t="s">
        <v>127</v>
      </c>
      <c r="C25" s="22" t="n">
        <f aca="false">C23*C24</f>
        <v>0</v>
      </c>
      <c r="D25" s="22" t="n">
        <f aca="false">D23*D24</f>
        <v>0</v>
      </c>
      <c r="E25" s="22" t="n">
        <f aca="false">E23*E24</f>
        <v>0</v>
      </c>
      <c r="F25" s="22" t="n">
        <f aca="false">F23*F24</f>
        <v>0</v>
      </c>
      <c r="G25" s="22" t="n">
        <f aca="false">G23*G24</f>
        <v>-5160</v>
      </c>
    </row>
    <row r="26" customFormat="false" ht="15" hidden="false" customHeight="false" outlineLevel="0" collapsed="false">
      <c r="B26" s="9" t="s">
        <v>128</v>
      </c>
      <c r="C26" s="22" t="n">
        <f aca="false">C23+C25</f>
        <v>189000</v>
      </c>
      <c r="D26" s="22" t="n">
        <f aca="false">D23+D25</f>
        <v>138000</v>
      </c>
      <c r="E26" s="22" t="n">
        <f aca="false">E23+E25</f>
        <v>188160</v>
      </c>
      <c r="F26" s="22" t="n">
        <f aca="false">F23+F25</f>
        <v>155750</v>
      </c>
      <c r="G26" s="22" t="n">
        <f aca="false">G23+G25</f>
        <v>166840</v>
      </c>
    </row>
    <row r="27" customFormat="false" ht="15" hidden="false" customHeight="false" outlineLevel="0" collapsed="false">
      <c r="B27" s="9" t="s">
        <v>129</v>
      </c>
      <c r="C27" s="22" t="n">
        <f aca="false">Improved_Sales!$R$6</f>
        <v>0</v>
      </c>
      <c r="D27" s="22" t="n">
        <f aca="false">Improved_Sales!$R$7</f>
        <v>6000</v>
      </c>
      <c r="E27" s="22" t="n">
        <f aca="false">Improved_Sales!$R$8</f>
        <v>0</v>
      </c>
      <c r="F27" s="22" t="n">
        <f aca="false">Improved_Sales!$R$9</f>
        <v>0</v>
      </c>
      <c r="G27" s="22" t="n">
        <f aca="false">Improved_Sales!$R$10</f>
        <v>0</v>
      </c>
    </row>
    <row r="28" customFormat="false" ht="15" hidden="false" customHeight="false" outlineLevel="0" collapsed="false">
      <c r="B28" s="9" t="s">
        <v>130</v>
      </c>
      <c r="C28" s="22" t="n">
        <f aca="false">C26+C27</f>
        <v>189000</v>
      </c>
      <c r="D28" s="22" t="n">
        <f aca="false">D26+D27</f>
        <v>144000</v>
      </c>
      <c r="E28" s="22" t="n">
        <f aca="false">E26+E27</f>
        <v>188160</v>
      </c>
      <c r="F28" s="22" t="n">
        <f aca="false">F26+F27</f>
        <v>155750</v>
      </c>
      <c r="G28" s="22" t="n">
        <f aca="false">G26+G27</f>
        <v>166840</v>
      </c>
    </row>
    <row r="29" customFormat="false" ht="15" hidden="false" customHeight="false" outlineLevel="0" collapsed="false">
      <c r="B29" s="9" t="s">
        <v>131</v>
      </c>
      <c r="C29" s="11" t="n">
        <f aca="false">Improved_Sales!$F$6</f>
        <v>3</v>
      </c>
      <c r="D29" s="11" t="n">
        <f aca="false">Improved_Sales!$F$7</f>
        <v>8</v>
      </c>
      <c r="E29" s="11" t="n">
        <f aca="false">Improved_Sales!$F$8</f>
        <v>11</v>
      </c>
      <c r="F29" s="11" t="n">
        <f aca="false">Improved_Sales!$F$9</f>
        <v>5</v>
      </c>
      <c r="G29" s="11" t="n">
        <f aca="false">Improved_Sales!$F$10</f>
        <v>14</v>
      </c>
    </row>
    <row r="30" customFormat="false" ht="15" hidden="false" customHeight="false" outlineLevel="0" collapsed="false">
      <c r="B30" s="9" t="s">
        <v>132</v>
      </c>
      <c r="C30" s="22" t="n">
        <f aca="false">C28*$C$6*C29</f>
        <v>1417.5</v>
      </c>
      <c r="D30" s="22" t="n">
        <f aca="false">D28*$C$6*D29</f>
        <v>2880</v>
      </c>
      <c r="E30" s="22" t="n">
        <f aca="false">E28*$C$6*E29</f>
        <v>5174.4</v>
      </c>
      <c r="F30" s="22" t="n">
        <f aca="false">F28*$C$6*F29</f>
        <v>1946.875</v>
      </c>
      <c r="G30" s="22" t="n">
        <f aca="false">G28*$C$6*G29</f>
        <v>5839.4</v>
      </c>
    </row>
    <row r="31" customFormat="false" ht="15" hidden="false" customHeight="false" outlineLevel="0" collapsed="false">
      <c r="B31" s="27" t="s">
        <v>133</v>
      </c>
      <c r="C31" s="28" t="n">
        <f aca="false">C28+C30</f>
        <v>190417.5</v>
      </c>
      <c r="D31" s="28" t="n">
        <f aca="false">D28+D30</f>
        <v>146880</v>
      </c>
      <c r="E31" s="28" t="n">
        <f aca="false">E28+E30</f>
        <v>193334.4</v>
      </c>
      <c r="F31" s="28" t="n">
        <f aca="false">F28+F30</f>
        <v>157696.875</v>
      </c>
      <c r="G31" s="28" t="n">
        <f aca="false">G28+G30</f>
        <v>172679.4</v>
      </c>
    </row>
    <row r="32" customFormat="false" ht="15" hidden="false" customHeight="false" outlineLevel="0" collapsed="false">
      <c r="B32" s="9" t="s">
        <v>134</v>
      </c>
      <c r="C32" s="33" t="str">
        <f aca="false">Improved_Sales!$N$6</f>
        <v>superior</v>
      </c>
      <c r="D32" s="33" t="str">
        <f aca="false">Improved_Sales!$N$7</f>
        <v>similar</v>
      </c>
      <c r="E32" s="33" t="str">
        <f aca="false">Improved_Sales!$N$8</f>
        <v>similar</v>
      </c>
      <c r="F32" s="33" t="str">
        <f aca="false">Improved_Sales!$N$9</f>
        <v>inferior</v>
      </c>
      <c r="G32" s="33" t="str">
        <f aca="false">Improved_Sales!$N$10</f>
        <v>similar</v>
      </c>
    </row>
    <row r="33" customFormat="false" ht="15" hidden="false" customHeight="false" outlineLevel="0" collapsed="false">
      <c r="B33" s="9" t="s">
        <v>135</v>
      </c>
      <c r="C33" s="22" t="n">
        <f aca="false">C31*IF(C32="superior",-$C$8,IF(C32="inferior",$C$8,0))</f>
        <v>-14281.3125</v>
      </c>
      <c r="D33" s="22" t="n">
        <f aca="false">D31*IF(D32="superior",-$C$8,IF(D32="inferior",$C$8,0))</f>
        <v>0</v>
      </c>
      <c r="E33" s="22" t="n">
        <f aca="false">E31*IF(E32="superior",-$C$8,IF(E32="inferior",$C$8,0))</f>
        <v>0</v>
      </c>
      <c r="F33" s="22" t="n">
        <f aca="false">F31*IF(F32="superior",-$C$8,IF(F32="inferior",$C$8,0))</f>
        <v>11827.265625</v>
      </c>
      <c r="G33" s="22" t="n">
        <f aca="false">G31*IF(G32="superior",-$C$8,IF(G32="inferior",$C$8,0))</f>
        <v>0</v>
      </c>
    </row>
    <row r="34" customFormat="false" ht="15" hidden="false" customHeight="false" outlineLevel="0" collapsed="false">
      <c r="B34" s="9" t="s">
        <v>136</v>
      </c>
      <c r="C34" s="33" t="str">
        <f aca="false">Improved_Sales!$O$6</f>
        <v>similar</v>
      </c>
      <c r="D34" s="33" t="str">
        <f aca="false">Improved_Sales!$O$7</f>
        <v>inferior</v>
      </c>
      <c r="E34" s="33" t="str">
        <f aca="false">Improved_Sales!$O$8</f>
        <v>superior</v>
      </c>
      <c r="F34" s="33" t="str">
        <f aca="false">Improved_Sales!$O$9</f>
        <v>similar</v>
      </c>
      <c r="G34" s="33" t="str">
        <f aca="false">Improved_Sales!$O$10</f>
        <v>similar</v>
      </c>
    </row>
    <row r="35" customFormat="false" ht="15" hidden="false" customHeight="false" outlineLevel="0" collapsed="false">
      <c r="B35" s="9" t="s">
        <v>137</v>
      </c>
      <c r="C35" s="22" t="n">
        <f aca="false">IF(C34="superior",-$C$9,IF(C34="inferior",$C$9,0))</f>
        <v>0</v>
      </c>
      <c r="D35" s="22" t="n">
        <f aca="false">IF(D34="superior",-$C$9,IF(D34="inferior",$C$9,0))</f>
        <v>18000</v>
      </c>
      <c r="E35" s="22" t="n">
        <f aca="false">IF(E34="superior",-$C$9,IF(E34="inferior",$C$9,0))</f>
        <v>-18000</v>
      </c>
      <c r="F35" s="22" t="n">
        <f aca="false">IF(F34="superior",-$C$9,IF(F34="inferior",$C$9,0))</f>
        <v>0</v>
      </c>
      <c r="G35" s="22" t="n">
        <f aca="false">IF(G34="superior",-$C$9,IF(G34="inferior",$C$9,0))</f>
        <v>0</v>
      </c>
    </row>
    <row r="36" customFormat="false" ht="15" hidden="false" customHeight="false" outlineLevel="0" collapsed="false">
      <c r="B36" s="9" t="s">
        <v>18</v>
      </c>
      <c r="C36" s="11" t="n">
        <f aca="false">Improved_Sales!$E$6</f>
        <v>2001</v>
      </c>
      <c r="D36" s="11" t="n">
        <f aca="false">Improved_Sales!$E$7</f>
        <v>1996</v>
      </c>
      <c r="E36" s="11" t="n">
        <f aca="false">Improved_Sales!$E$8</f>
        <v>2003</v>
      </c>
      <c r="F36" s="11" t="n">
        <f aca="false">Improved_Sales!$E$9</f>
        <v>1998</v>
      </c>
      <c r="G36" s="11" t="n">
        <f aca="false">Improved_Sales!$E$10</f>
        <v>1999</v>
      </c>
    </row>
    <row r="37" customFormat="false" ht="15" hidden="false" customHeight="false" outlineLevel="0" collapsed="false">
      <c r="B37" s="9" t="s">
        <v>138</v>
      </c>
      <c r="C37" s="22" t="n">
        <f aca="false">IF(ABS((C36-Subject!$C$7))&gt;$C$14,-C31*$C$13*(ABS((C36-Subject!$C$7))-$C$14)*SIGN((C36-Subject!$C$7)),0)</f>
        <v>0</v>
      </c>
      <c r="D37" s="22" t="n">
        <f aca="false">IF(ABS((D36-Subject!$C$7))&gt;$C$14,-D31*$C$13*(ABS((D36-Subject!$C$7))-$C$14)*SIGN((D36-Subject!$C$7)),0)</f>
        <v>734.4</v>
      </c>
      <c r="E37" s="22" t="n">
        <f aca="false">IF(ABS((E36-Subject!$C$7))&gt;$C$14,-E31*$C$13*(ABS((E36-Subject!$C$7))-$C$14)*SIGN((E36-Subject!$C$7)),0)</f>
        <v>-1933.344</v>
      </c>
      <c r="F37" s="22" t="n">
        <f aca="false">IF(ABS((F36-Subject!$C$7))&gt;$C$14,-F31*$C$13*(ABS((F36-Subject!$C$7))-$C$14)*SIGN((F36-Subject!$C$7)),0)</f>
        <v>0</v>
      </c>
      <c r="G37" s="22" t="n">
        <f aca="false">IF(ABS((G36-Subject!$C$7))&gt;$C$14,-G31*$C$13*(ABS((G36-Subject!$C$7))-$C$14)*SIGN((G36-Subject!$C$7)),0)</f>
        <v>0</v>
      </c>
    </row>
    <row r="38" customFormat="false" ht="15" hidden="false" customHeight="false" outlineLevel="0" collapsed="false">
      <c r="B38" s="9" t="s">
        <v>17</v>
      </c>
      <c r="C38" s="11" t="n">
        <f aca="false">Improved_Sales!$D$6</f>
        <v>96</v>
      </c>
      <c r="D38" s="11" t="n">
        <f aca="false">Improved_Sales!$D$7</f>
        <v>60</v>
      </c>
      <c r="E38" s="11" t="n">
        <f aca="false">Improved_Sales!$D$8</f>
        <v>84</v>
      </c>
      <c r="F38" s="11" t="n">
        <f aca="false">Improved_Sales!$D$9</f>
        <v>72</v>
      </c>
      <c r="G38" s="11" t="n">
        <f aca="false">Improved_Sales!$D$10</f>
        <v>120</v>
      </c>
    </row>
    <row r="39" customFormat="false" ht="15" hidden="false" customHeight="false" outlineLevel="0" collapsed="false">
      <c r="B39" s="9" t="s">
        <v>139</v>
      </c>
      <c r="C39" s="22" t="n">
        <f aca="false">C31*IF(C38&gt;=$C$12,-$C$10,IF(C38&lt;=$C$11,$C$10,0))</f>
        <v>-3808.35</v>
      </c>
      <c r="D39" s="22" t="n">
        <f aca="false">D31*IF(D38&gt;=$C$12,-$C$10,IF(D38&lt;=$C$11,$C$10,0))</f>
        <v>2937.6</v>
      </c>
      <c r="E39" s="22" t="n">
        <f aca="false">E31*IF(E38&gt;=$C$12,-$C$10,IF(E38&lt;=$C$11,$C$10,0))</f>
        <v>0</v>
      </c>
      <c r="F39" s="22" t="n">
        <f aca="false">F31*IF(F38&gt;=$C$12,-$C$10,IF(F38&lt;=$C$11,$C$10,0))</f>
        <v>0</v>
      </c>
      <c r="G39" s="22" t="n">
        <f aca="false">G31*IF(G38&gt;=$C$12,-$C$10,IF(G38&lt;=$C$11,$C$10,0))</f>
        <v>-3453.588</v>
      </c>
    </row>
    <row r="40" customFormat="false" ht="15" hidden="false" customHeight="false" outlineLevel="0" collapsed="false">
      <c r="B40" s="9" t="s">
        <v>22</v>
      </c>
      <c r="C40" s="31" t="n">
        <f aca="false">Improved_Sales!$I$6</f>
        <v>910</v>
      </c>
      <c r="D40" s="31" t="n">
        <f aca="false">Improved_Sales!$I$7</f>
        <v>880</v>
      </c>
      <c r="E40" s="31" t="n">
        <f aca="false">Improved_Sales!$I$8</f>
        <v>925</v>
      </c>
      <c r="F40" s="31" t="n">
        <f aca="false">Improved_Sales!$I$9</f>
        <v>890</v>
      </c>
      <c r="G40" s="31" t="n">
        <f aca="false">Improved_Sales!$I$10</f>
        <v>870</v>
      </c>
    </row>
    <row r="41" customFormat="false" ht="15" hidden="false" customHeight="false" outlineLevel="0" collapsed="false">
      <c r="B41" s="9" t="s">
        <v>140</v>
      </c>
      <c r="C41" s="22" t="n">
        <f aca="false">(Subject!$C$11-C40)*$C$15</f>
        <v>-633.333333333333</v>
      </c>
      <c r="D41" s="22" t="n">
        <f aca="false">(Subject!$C$11-D40)*$C$15</f>
        <v>266.666666666667</v>
      </c>
      <c r="E41" s="22" t="n">
        <f aca="false">(Subject!$C$11-E40)*$C$15</f>
        <v>-1083.33333333333</v>
      </c>
      <c r="F41" s="22" t="n">
        <f aca="false">(Subject!$C$11-F40)*$C$15</f>
        <v>-33.3333333333326</v>
      </c>
      <c r="G41" s="22" t="n">
        <f aca="false">(Subject!$C$11-G40)*$C$15</f>
        <v>566.666666666667</v>
      </c>
    </row>
    <row r="42" customFormat="false" ht="15" hidden="false" customHeight="false" outlineLevel="0" collapsed="false">
      <c r="B42" s="9" t="s">
        <v>141</v>
      </c>
      <c r="C42" s="22" t="n">
        <f aca="false">C33+C35+C37+C39+C41</f>
        <v>-18722.9958333333</v>
      </c>
      <c r="D42" s="22" t="n">
        <f aca="false">D33+D35+D37+D39+D41</f>
        <v>21938.6666666667</v>
      </c>
      <c r="E42" s="22" t="n">
        <f aca="false">E33+E35+E37+E39+E41</f>
        <v>-21016.6773333333</v>
      </c>
      <c r="F42" s="22" t="n">
        <f aca="false">F33+F35+F37+F39+F41</f>
        <v>11793.9322916667</v>
      </c>
      <c r="G42" s="22" t="n">
        <f aca="false">G33+G35+G37+G39+G41</f>
        <v>-2886.92133333333</v>
      </c>
    </row>
    <row r="43" customFormat="false" ht="15" hidden="false" customHeight="false" outlineLevel="0" collapsed="false">
      <c r="B43" s="27" t="s">
        <v>142</v>
      </c>
      <c r="C43" s="28" t="n">
        <f aca="false">C31+C42</f>
        <v>171694.504166667</v>
      </c>
      <c r="D43" s="28" t="n">
        <f aca="false">D31+D42</f>
        <v>168818.666666667</v>
      </c>
      <c r="E43" s="28" t="n">
        <f aca="false">E31+E42</f>
        <v>172317.722666667</v>
      </c>
      <c r="F43" s="28" t="n">
        <f aca="false">F31+F42</f>
        <v>169490.807291667</v>
      </c>
      <c r="G43" s="28" t="n">
        <f aca="false">G31+G42</f>
        <v>169792.478666667</v>
      </c>
    </row>
    <row r="44" customFormat="false" ht="15" hidden="false" customHeight="false" outlineLevel="0" collapsed="false">
      <c r="B44" s="9" t="s">
        <v>143</v>
      </c>
      <c r="C44" s="22" t="n">
        <f aca="false">C43*Subject!$C$6</f>
        <v>12362004.3</v>
      </c>
      <c r="D44" s="22" t="n">
        <f aca="false">D43*Subject!$C$6</f>
        <v>12154944</v>
      </c>
      <c r="E44" s="22" t="n">
        <f aca="false">E43*Subject!$C$6</f>
        <v>12406876.032</v>
      </c>
      <c r="F44" s="22" t="n">
        <f aca="false">F43*Subject!$C$6</f>
        <v>12203338.125</v>
      </c>
      <c r="G44" s="22" t="n">
        <f aca="false">G43*Subject!$C$6</f>
        <v>12225058.464</v>
      </c>
    </row>
    <row r="45" customFormat="false" ht="15" hidden="false" customHeight="false" outlineLevel="0" collapsed="false">
      <c r="B45" s="9" t="s">
        <v>144</v>
      </c>
      <c r="C45" s="22" t="n">
        <f aca="false">ABS(C22)+ABS(C25)+ABS(C27)+ABS(C30)+ABS(C33)+ABS(C35)+ABS(C37)+ABS(C39)+ABS(C41)</f>
        <v>20140.4958333333</v>
      </c>
      <c r="D45" s="22" t="n">
        <f aca="false">ABS(D22)+ABS(D25)+ABS(D27)+ABS(D30)+ABS(D33)+ABS(D35)+ABS(D37)+ABS(D39)+ABS(D41)</f>
        <v>30818.6666666667</v>
      </c>
      <c r="E45" s="22" t="n">
        <f aca="false">ABS(E22)+ABS(E25)+ABS(E27)+ABS(E30)+ABS(E33)+ABS(E35)+ABS(E37)+ABS(E39)+ABS(E41)</f>
        <v>30031.0773333333</v>
      </c>
      <c r="F45" s="22" t="n">
        <f aca="false">ABS(F22)+ABS(F25)+ABS(F27)+ABS(F30)+ABS(F33)+ABS(F35)+ABS(F37)+ABS(F39)+ABS(F41)</f>
        <v>13807.4739583333</v>
      </c>
      <c r="G45" s="22" t="n">
        <f aca="false">ABS(G22)+ABS(G25)+ABS(G27)+ABS(G30)+ABS(G33)+ABS(G35)+ABS(G37)+ABS(G39)+ABS(G41)</f>
        <v>15019.6546666667</v>
      </c>
    </row>
    <row r="46" customFormat="false" ht="15" hidden="false" customHeight="false" outlineLevel="0" collapsed="false">
      <c r="B46" s="9" t="s">
        <v>145</v>
      </c>
      <c r="C46" s="26" t="n">
        <f aca="false">C45/C20</f>
        <v>0.106563470017637</v>
      </c>
      <c r="D46" s="26" t="n">
        <f aca="false">D45/D20</f>
        <v>0.223323671497585</v>
      </c>
      <c r="E46" s="26" t="n">
        <f aca="false">E45/E20</f>
        <v>0.156411861111111</v>
      </c>
      <c r="F46" s="26" t="n">
        <f aca="false">F45/F20</f>
        <v>0.0886515181915462</v>
      </c>
      <c r="G46" s="26" t="n">
        <f aca="false">G45/G20</f>
        <v>0.0873235736434109</v>
      </c>
    </row>
    <row r="47" customFormat="false" ht="15" hidden="false" customHeight="false" outlineLevel="0" collapsed="false">
      <c r="B47" s="9" t="s">
        <v>146</v>
      </c>
      <c r="C47" s="22" t="n">
        <f aca="false">C43-C20</f>
        <v>-17305.4958333333</v>
      </c>
      <c r="D47" s="22" t="n">
        <f aca="false">D43-D20</f>
        <v>30818.6666666667</v>
      </c>
      <c r="E47" s="22" t="n">
        <f aca="false">E43-E20</f>
        <v>-19682.2773333333</v>
      </c>
      <c r="F47" s="22" t="n">
        <f aca="false">F43-F20</f>
        <v>13740.8072916667</v>
      </c>
      <c r="G47" s="22" t="n">
        <f aca="false">G43-G20</f>
        <v>-2207.52133333334</v>
      </c>
    </row>
    <row r="48" customFormat="false" ht="15" hidden="false" customHeight="false" outlineLevel="0" collapsed="false">
      <c r="B48" s="9" t="s">
        <v>147</v>
      </c>
      <c r="C48" s="26" t="n">
        <f aca="false">C47/C20</f>
        <v>-0.0915634700176366</v>
      </c>
      <c r="D48" s="26" t="n">
        <f aca="false">D47/D20</f>
        <v>0.223323671497584</v>
      </c>
      <c r="E48" s="26" t="n">
        <f aca="false">E47/E20</f>
        <v>-0.102511861111111</v>
      </c>
      <c r="F48" s="26" t="n">
        <f aca="false">F47/F20</f>
        <v>0.0882234818084537</v>
      </c>
      <c r="G48" s="26" t="n">
        <f aca="false">G47/G20</f>
        <v>-0.0128344263565892</v>
      </c>
    </row>
    <row r="50" customFormat="false" ht="15" hidden="false" customHeight="false" outlineLevel="0" collapsed="false">
      <c r="B50" s="7" t="s">
        <v>148</v>
      </c>
      <c r="C50" s="8"/>
      <c r="D50" s="8"/>
    </row>
    <row r="51" customFormat="false" ht="15" hidden="false" customHeight="false" outlineLevel="0" collapsed="false">
      <c r="B51" s="9" t="s">
        <v>149</v>
      </c>
      <c r="C51" s="22" t="n">
        <f aca="false">MIN(C43:G43)</f>
        <v>168818.666666667</v>
      </c>
    </row>
    <row r="52" customFormat="false" ht="15" hidden="false" customHeight="false" outlineLevel="0" collapsed="false">
      <c r="B52" s="9" t="s">
        <v>150</v>
      </c>
      <c r="C52" s="22" t="n">
        <f aca="false">MAX(C43:G43)</f>
        <v>172317.722666667</v>
      </c>
    </row>
    <row r="53" customFormat="false" ht="15" hidden="false" customHeight="false" outlineLevel="0" collapsed="false">
      <c r="B53" s="9" t="s">
        <v>151</v>
      </c>
      <c r="C53" s="22" t="n">
        <f aca="false">AVERAGE(C43:G43)</f>
        <v>170422.835891667</v>
      </c>
    </row>
    <row r="54" customFormat="false" ht="15" hidden="false" customHeight="false" outlineLevel="0" collapsed="false">
      <c r="B54" s="9" t="s">
        <v>152</v>
      </c>
      <c r="C54" s="22" t="n">
        <f aca="false">$C$52-$C$51</f>
        <v>3499.05600000001</v>
      </c>
    </row>
    <row r="55" customFormat="false" ht="15" hidden="false" customHeight="false" outlineLevel="0" collapsed="false">
      <c r="B55" s="9" t="s">
        <v>153</v>
      </c>
      <c r="C55" s="26" t="n">
        <f aca="false">$C$54/$C$51</f>
        <v>0.020726712685801</v>
      </c>
    </row>
    <row r="56" customFormat="false" ht="15" hidden="false" customHeight="false" outlineLevel="0" collapsed="false">
      <c r="B56" s="9" t="s">
        <v>154</v>
      </c>
      <c r="C56" s="15" t="n">
        <v>170500</v>
      </c>
    </row>
    <row r="57" customFormat="false" ht="15" hidden="false" customHeight="false" outlineLevel="0" collapsed="false">
      <c r="B57" s="27" t="s">
        <v>155</v>
      </c>
      <c r="C57" s="28" t="n">
        <f aca="false">$C$56*Subject!$C$6</f>
        <v>12276000</v>
      </c>
    </row>
    <row r="58" customFormat="false" ht="15" hidden="false" customHeight="false" outlineLevel="0" collapsed="false">
      <c r="B58" s="9" t="s">
        <v>156</v>
      </c>
      <c r="C58" s="22" t="n">
        <f aca="false">$C$57-Subject!$C$17</f>
        <v>12126000</v>
      </c>
    </row>
    <row r="59" customFormat="false" ht="15" hidden="false" customHeight="false" outlineLevel="0" collapsed="false">
      <c r="B59" s="27" t="s">
        <v>157</v>
      </c>
      <c r="C59" s="28" t="n">
        <f aca="false">ROUND(($C$58)/50000,0)*50000</f>
        <v>12150000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38"/>
    <col collapsed="false" customWidth="true" hidden="false" outlineLevel="0" max="4" min="4" style="0" width="16"/>
    <col collapsed="false" customWidth="true" hidden="false" outlineLevel="0" max="5" min="5" style="0" width="10"/>
    <col collapsed="false" customWidth="true" hidden="false" outlineLevel="0" max="6" min="6" style="0" width="12"/>
    <col collapsed="false" customWidth="true" hidden="false" outlineLevel="0" max="7" min="7" style="0" width="16"/>
    <col collapsed="false" customWidth="true" hidden="false" outlineLevel="0" max="8" min="8" style="0" width="30"/>
  </cols>
  <sheetData>
    <row r="1" customFormat="false" ht="6" hidden="false" customHeight="true" outlineLevel="0" collapsed="false"/>
    <row r="2" customFormat="false" ht="17.35" hidden="false" customHeight="false" outlineLevel="0" collapsed="false">
      <c r="B2" s="5" t="s">
        <v>158</v>
      </c>
    </row>
    <row r="3" customFormat="false" ht="15" hidden="false" customHeight="false" outlineLevel="0" collapsed="false">
      <c r="B3" s="6" t="s">
        <v>159</v>
      </c>
    </row>
    <row r="5" customFormat="false" ht="30" hidden="false" customHeight="true" outlineLevel="0" collapsed="false">
      <c r="B5" s="18" t="s">
        <v>36</v>
      </c>
      <c r="C5" s="19" t="s">
        <v>160</v>
      </c>
      <c r="D5" s="19" t="s">
        <v>161</v>
      </c>
      <c r="E5" s="19" t="s">
        <v>39</v>
      </c>
      <c r="F5" s="19" t="s">
        <v>162</v>
      </c>
      <c r="G5" s="19" t="s">
        <v>40</v>
      </c>
    </row>
    <row r="6" customFormat="false" ht="15" hidden="false" customHeight="false" outlineLevel="0" collapsed="false">
      <c r="B6" s="20" t="n">
        <v>1</v>
      </c>
      <c r="C6" s="21" t="s">
        <v>163</v>
      </c>
      <c r="D6" s="15" t="n">
        <v>17500</v>
      </c>
      <c r="E6" s="10" t="n">
        <v>9</v>
      </c>
      <c r="F6" s="10" t="n">
        <v>60</v>
      </c>
      <c r="G6" s="22" t="n">
        <f aca="false">D6*F6</f>
        <v>1050000</v>
      </c>
    </row>
    <row r="7" customFormat="false" ht="15" hidden="false" customHeight="false" outlineLevel="0" collapsed="false">
      <c r="B7" s="20" t="n">
        <v>2</v>
      </c>
      <c r="C7" s="21" t="s">
        <v>164</v>
      </c>
      <c r="D7" s="15" t="n">
        <v>20000</v>
      </c>
      <c r="E7" s="10" t="n">
        <v>4</v>
      </c>
      <c r="F7" s="10" t="n">
        <v>96</v>
      </c>
      <c r="G7" s="22" t="n">
        <f aca="false">D7*F7</f>
        <v>1920000</v>
      </c>
    </row>
    <row r="8" customFormat="false" ht="15" hidden="false" customHeight="false" outlineLevel="0" collapsed="false">
      <c r="B8" s="20" t="n">
        <v>3</v>
      </c>
      <c r="C8" s="21" t="s">
        <v>165</v>
      </c>
      <c r="D8" s="15" t="n">
        <v>18800</v>
      </c>
      <c r="E8" s="10" t="n">
        <v>12</v>
      </c>
      <c r="F8" s="10" t="n">
        <v>48</v>
      </c>
      <c r="G8" s="22" t="n">
        <f aca="false">D8*F8</f>
        <v>902400</v>
      </c>
    </row>
    <row r="9" customFormat="false" ht="15" hidden="false" customHeight="false" outlineLevel="0" collapsed="false">
      <c r="B9" s="20" t="n">
        <v>4</v>
      </c>
      <c r="C9" s="21" t="s">
        <v>166</v>
      </c>
      <c r="D9" s="15" t="n">
        <v>21200</v>
      </c>
      <c r="E9" s="10" t="n">
        <v>2</v>
      </c>
      <c r="F9" s="10" t="n">
        <v>120</v>
      </c>
      <c r="G9" s="22" t="n">
        <f aca="false">D9*F9</f>
        <v>2544000</v>
      </c>
    </row>
    <row r="11" customFormat="false" ht="15" hidden="false" customHeight="false" outlineLevel="0" collapsed="false">
      <c r="C11" s="9" t="s">
        <v>167</v>
      </c>
      <c r="D11" s="35" t="n">
        <v>19500</v>
      </c>
    </row>
    <row r="12" customFormat="false" ht="15" hidden="false" customHeight="false" outlineLevel="0" collapsed="false">
      <c r="C12" s="9" t="s">
        <v>168</v>
      </c>
      <c r="D12" s="11" t="n">
        <f aca="false">Subject!$C$16</f>
        <v>84</v>
      </c>
    </row>
    <row r="13" customFormat="false" ht="15" hidden="false" customHeight="false" outlineLevel="0" collapsed="false">
      <c r="C13" s="27" t="s">
        <v>169</v>
      </c>
      <c r="D13" s="28" t="n">
        <f aca="false">$D$11*Subject!$C$16</f>
        <v>1638000</v>
      </c>
    </row>
    <row r="14" customFormat="false" ht="15" hidden="false" customHeight="false" outlineLevel="0" collapsed="false">
      <c r="C14" s="9" t="s">
        <v>170</v>
      </c>
      <c r="D14" s="23" t="n">
        <f aca="false">$D$13/Subject!$C$14</f>
        <v>8.95316804407714</v>
      </c>
    </row>
    <row r="15" customFormat="false" ht="15" hidden="false" customHeight="false" outlineLevel="0" collapsed="false">
      <c r="C15" s="9" t="s">
        <v>171</v>
      </c>
      <c r="D15" s="26" t="n">
        <f aca="false">$D$13/Subject!$C$23</f>
        <v>0.135371900826446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4"/>
    <col collapsed="false" customWidth="true" hidden="false" outlineLevel="0" max="4" min="3" style="0" width="16"/>
    <col collapsed="false" customWidth="true" hidden="false" outlineLevel="0" max="5" min="5" style="0" width="34"/>
  </cols>
  <sheetData>
    <row r="1" customFormat="false" ht="6" hidden="false" customHeight="true" outlineLevel="0" collapsed="false"/>
    <row r="2" customFormat="false" ht="17.35" hidden="false" customHeight="false" outlineLevel="0" collapsed="false">
      <c r="B2" s="5" t="s">
        <v>172</v>
      </c>
    </row>
    <row r="3" customFormat="false" ht="15" hidden="false" customHeight="false" outlineLevel="0" collapsed="false">
      <c r="B3" s="6" t="s">
        <v>173</v>
      </c>
    </row>
    <row r="5" customFormat="false" ht="15" hidden="false" customHeight="false" outlineLevel="0" collapsed="false">
      <c r="B5" s="7" t="s">
        <v>174</v>
      </c>
      <c r="C5" s="8"/>
      <c r="D5" s="8"/>
    </row>
    <row r="6" customFormat="false" ht="15" hidden="false" customHeight="false" outlineLevel="0" collapsed="false">
      <c r="B6" s="9" t="s">
        <v>175</v>
      </c>
      <c r="C6" s="15" t="n">
        <v>165</v>
      </c>
    </row>
    <row r="7" customFormat="false" ht="15" hidden="false" customHeight="false" outlineLevel="0" collapsed="false">
      <c r="B7" s="9" t="s">
        <v>176</v>
      </c>
      <c r="C7" s="22" t="n">
        <f aca="false">$C$6*Subject!$C$12</f>
        <v>11616000</v>
      </c>
    </row>
    <row r="8" customFormat="false" ht="15" hidden="false" customHeight="false" outlineLevel="0" collapsed="false">
      <c r="B8" s="9" t="s">
        <v>177</v>
      </c>
      <c r="C8" s="17" t="n">
        <v>0.08</v>
      </c>
    </row>
    <row r="9" customFormat="false" ht="15" hidden="false" customHeight="false" outlineLevel="0" collapsed="false">
      <c r="B9" s="9" t="s">
        <v>178</v>
      </c>
      <c r="C9" s="22" t="n">
        <f aca="false">$C$7*$C$8</f>
        <v>929280</v>
      </c>
    </row>
    <row r="10" customFormat="false" ht="15" hidden="false" customHeight="false" outlineLevel="0" collapsed="false">
      <c r="B10" s="9" t="s">
        <v>179</v>
      </c>
      <c r="C10" s="15" t="n">
        <v>700000</v>
      </c>
    </row>
    <row r="11" customFormat="false" ht="15" hidden="false" customHeight="false" outlineLevel="0" collapsed="false">
      <c r="B11" s="9" t="s">
        <v>180</v>
      </c>
      <c r="C11" s="17" t="n">
        <v>0.1</v>
      </c>
    </row>
    <row r="12" customFormat="false" ht="15" hidden="false" customHeight="false" outlineLevel="0" collapsed="false">
      <c r="B12" s="9" t="s">
        <v>181</v>
      </c>
      <c r="C12" s="22" t="n">
        <f aca="false">($C$7+$C$9+$C$10)*$C$11</f>
        <v>1324528</v>
      </c>
    </row>
    <row r="13" customFormat="false" ht="15" hidden="false" customHeight="false" outlineLevel="0" collapsed="false">
      <c r="B13" s="27" t="s">
        <v>182</v>
      </c>
      <c r="C13" s="28" t="n">
        <f aca="false">$C$7+$C$9+$C$10+$C$12</f>
        <v>14569808</v>
      </c>
    </row>
    <row r="14" customFormat="false" ht="15" hidden="false" customHeight="false" outlineLevel="0" collapsed="false">
      <c r="B14" s="9" t="s">
        <v>183</v>
      </c>
      <c r="C14" s="22" t="n">
        <f aca="false">$C$13/Subject!$C$6</f>
        <v>202358.444444444</v>
      </c>
    </row>
    <row r="15" customFormat="false" ht="15" hidden="false" customHeight="false" outlineLevel="0" collapsed="false">
      <c r="B15" s="9" t="s">
        <v>184</v>
      </c>
      <c r="C15" s="22" t="n">
        <f aca="false">$C$13+Land!$D$13</f>
        <v>16207808</v>
      </c>
    </row>
    <row r="16" customFormat="false" ht="15" hidden="false" customHeight="false" outlineLevel="0" collapsed="false">
      <c r="B16" s="9" t="s">
        <v>185</v>
      </c>
      <c r="C16" s="22" t="n">
        <f aca="false">$C$15/Subject!$C$6</f>
        <v>225108.444444444</v>
      </c>
    </row>
    <row r="18" customFormat="false" ht="15" hidden="false" customHeight="false" outlineLevel="0" collapsed="false">
      <c r="B18" s="7" t="s">
        <v>186</v>
      </c>
      <c r="C18" s="8"/>
      <c r="D18" s="8"/>
    </row>
    <row r="19" customFormat="false" ht="15" hidden="false" customHeight="false" outlineLevel="0" collapsed="false">
      <c r="B19" s="9" t="s">
        <v>187</v>
      </c>
      <c r="C19" s="22" t="n">
        <f aca="false">Subject!$C$17</f>
        <v>150000</v>
      </c>
    </row>
    <row r="20" customFormat="false" ht="15" hidden="false" customHeight="false" outlineLevel="0" collapsed="false">
      <c r="B20" s="9" t="s">
        <v>188</v>
      </c>
      <c r="C20" s="22" t="n">
        <f aca="false">$C$13-$C$19</f>
        <v>14419808</v>
      </c>
    </row>
    <row r="21" customFormat="false" ht="15" hidden="false" customHeight="false" outlineLevel="0" collapsed="false">
      <c r="B21" s="9" t="s">
        <v>189</v>
      </c>
      <c r="C21" s="10" t="n">
        <v>12</v>
      </c>
    </row>
    <row r="22" customFormat="false" ht="15" hidden="false" customHeight="false" outlineLevel="0" collapsed="false">
      <c r="B22" s="9" t="s">
        <v>190</v>
      </c>
      <c r="C22" s="10" t="n">
        <v>50</v>
      </c>
    </row>
    <row r="23" customFormat="false" ht="15" hidden="false" customHeight="false" outlineLevel="0" collapsed="false">
      <c r="B23" s="9" t="s">
        <v>191</v>
      </c>
      <c r="C23" s="11" t="n">
        <f aca="false">$C$22-$C$21</f>
        <v>38</v>
      </c>
    </row>
    <row r="24" customFormat="false" ht="15" hidden="false" customHeight="false" outlineLevel="0" collapsed="false">
      <c r="B24" s="9" t="s">
        <v>192</v>
      </c>
      <c r="C24" s="26" t="n">
        <f aca="false">$C$21/$C$22</f>
        <v>0.24</v>
      </c>
    </row>
    <row r="25" customFormat="false" ht="15" hidden="false" customHeight="false" outlineLevel="0" collapsed="false">
      <c r="B25" s="9" t="s">
        <v>193</v>
      </c>
      <c r="C25" s="22" t="n">
        <f aca="false">$C$20*$C$24</f>
        <v>3460753.92</v>
      </c>
    </row>
    <row r="26" customFormat="false" ht="15" hidden="false" customHeight="false" outlineLevel="0" collapsed="false">
      <c r="B26" s="9" t="s">
        <v>194</v>
      </c>
      <c r="C26" s="15" t="n">
        <v>20</v>
      </c>
    </row>
    <row r="27" customFormat="false" ht="15" hidden="false" customHeight="false" outlineLevel="0" collapsed="false">
      <c r="B27" s="9" t="s">
        <v>195</v>
      </c>
      <c r="C27" s="10" t="n">
        <v>24</v>
      </c>
    </row>
    <row r="28" customFormat="false" ht="15" hidden="false" customHeight="false" outlineLevel="0" collapsed="false">
      <c r="B28" s="9" t="s">
        <v>196</v>
      </c>
      <c r="C28" s="22" t="n">
        <f aca="false">$C$26*$C$27*12</f>
        <v>5760</v>
      </c>
    </row>
    <row r="29" customFormat="false" ht="15" hidden="false" customHeight="false" outlineLevel="0" collapsed="false">
      <c r="B29" s="9" t="s">
        <v>197</v>
      </c>
      <c r="C29" s="22" t="n">
        <f aca="false">$C$28/Subject!$C$21</f>
        <v>100173.913043478</v>
      </c>
    </row>
    <row r="30" customFormat="false" ht="15" hidden="false" customHeight="false" outlineLevel="0" collapsed="false">
      <c r="B30" s="9" t="s">
        <v>198</v>
      </c>
      <c r="C30" s="15" t="n">
        <v>0</v>
      </c>
    </row>
    <row r="31" customFormat="false" ht="15" hidden="false" customHeight="false" outlineLevel="0" collapsed="false">
      <c r="B31" s="27" t="s">
        <v>199</v>
      </c>
      <c r="C31" s="28" t="n">
        <f aca="false">$C$19+$C$25+$C$29+$C$30</f>
        <v>3710927.83304348</v>
      </c>
    </row>
    <row r="32" customFormat="false" ht="15" hidden="false" customHeight="false" outlineLevel="0" collapsed="false">
      <c r="B32" s="9" t="s">
        <v>200</v>
      </c>
      <c r="C32" s="26" t="n">
        <f aca="false">$C$31/$C$13</f>
        <v>0.254699844571972</v>
      </c>
    </row>
    <row r="33" customFormat="false" ht="15" hidden="false" customHeight="false" outlineLevel="0" collapsed="false">
      <c r="B33" s="9" t="s">
        <v>201</v>
      </c>
      <c r="C33" s="22" t="n">
        <f aca="false">$C$13-$C$31</f>
        <v>10858880.1669565</v>
      </c>
    </row>
    <row r="34" customFormat="false" ht="15" hidden="false" customHeight="false" outlineLevel="0" collapsed="false">
      <c r="B34" s="27" t="s">
        <v>202</v>
      </c>
      <c r="C34" s="28" t="n">
        <f aca="false">Land!$D$13+$C$33</f>
        <v>12496880.1669565</v>
      </c>
    </row>
    <row r="35" customFormat="false" ht="15" hidden="false" customHeight="false" outlineLevel="0" collapsed="false">
      <c r="B35" s="27" t="s">
        <v>203</v>
      </c>
      <c r="C35" s="28" t="n">
        <f aca="false">ROUND(($C$34)/50000,0)*50000</f>
        <v>12500000</v>
      </c>
    </row>
    <row r="36" customFormat="false" ht="15" hidden="false" customHeight="false" outlineLevel="0" collapsed="false">
      <c r="B36" s="9" t="s">
        <v>204</v>
      </c>
      <c r="C36" s="22" t="n">
        <f aca="false">$C$35/Subject!$C$6</f>
        <v>173611.111111111</v>
      </c>
    </row>
    <row r="38" customFormat="false" ht="15" hidden="false" customHeight="false" outlineLevel="0" collapsed="false">
      <c r="B38" s="7" t="s">
        <v>205</v>
      </c>
      <c r="C38" s="8"/>
      <c r="D38" s="8"/>
    </row>
    <row r="39" customFormat="false" ht="15" hidden="false" customHeight="false" outlineLevel="0" collapsed="false">
      <c r="B39" s="9" t="s">
        <v>206</v>
      </c>
      <c r="C39" s="10" t="n">
        <v>55</v>
      </c>
    </row>
    <row r="40" customFormat="false" ht="15" hidden="false" customHeight="false" outlineLevel="0" collapsed="false">
      <c r="B40" s="9" t="s">
        <v>207</v>
      </c>
      <c r="C40" s="26" t="n">
        <f aca="false">Subject!$C$9/$C$39</f>
        <v>0.490909090909091</v>
      </c>
    </row>
    <row r="41" customFormat="false" ht="15" hidden="false" customHeight="false" outlineLevel="0" collapsed="false">
      <c r="B41" s="9" t="s">
        <v>208</v>
      </c>
      <c r="C41" s="22" t="n">
        <f aca="false">$C$20*$C$40</f>
        <v>7078814.83636364</v>
      </c>
    </row>
    <row r="42" customFormat="false" ht="15" hidden="false" customHeight="false" outlineLevel="0" collapsed="false">
      <c r="B42" s="9" t="s">
        <v>209</v>
      </c>
      <c r="C42" s="22" t="n">
        <f aca="false">$C$13-($C$19+$C$41+$C$29+$C$30)+Land!$D$13</f>
        <v>8878819.25059289</v>
      </c>
    </row>
    <row r="43" customFormat="false" ht="15" hidden="false" customHeight="false" outlineLevel="0" collapsed="false">
      <c r="B43" s="9" t="s">
        <v>210</v>
      </c>
      <c r="C43" s="22" t="n">
        <f aca="false">ROUND(($C$42)/50000,0)*50000</f>
        <v>8900000</v>
      </c>
    </row>
    <row r="44" customFormat="false" ht="15" hidden="false" customHeight="false" outlineLevel="0" collapsed="false">
      <c r="B44" s="9" t="s">
        <v>211</v>
      </c>
      <c r="C44" s="22" t="n">
        <f aca="false">$C$35-$C$43</f>
        <v>3600000</v>
      </c>
    </row>
    <row r="46" customFormat="false" ht="15" hidden="false" customHeight="false" outlineLevel="0" collapsed="false">
      <c r="B46" s="7" t="s">
        <v>212</v>
      </c>
      <c r="C46" s="8"/>
      <c r="D46" s="8"/>
    </row>
    <row r="47" customFormat="false" ht="21.75" hidden="false" customHeight="true" outlineLevel="0" collapsed="false">
      <c r="B47" s="18" t="s">
        <v>213</v>
      </c>
      <c r="C47" s="19" t="s">
        <v>214</v>
      </c>
      <c r="D47" s="19" t="s">
        <v>215</v>
      </c>
    </row>
    <row r="48" customFormat="false" ht="15" hidden="false" customHeight="false" outlineLevel="0" collapsed="false">
      <c r="B48" s="9" t="s">
        <v>37</v>
      </c>
      <c r="C48" s="21" t="s">
        <v>58</v>
      </c>
      <c r="D48" s="21" t="s">
        <v>59</v>
      </c>
    </row>
    <row r="49" customFormat="false" ht="15" hidden="false" customHeight="false" outlineLevel="0" collapsed="false">
      <c r="B49" s="9" t="s">
        <v>40</v>
      </c>
      <c r="C49" s="15" t="n">
        <v>11214000</v>
      </c>
      <c r="D49" s="15" t="n">
        <v>20640000</v>
      </c>
    </row>
    <row r="50" customFormat="false" ht="15" hidden="false" customHeight="false" outlineLevel="0" collapsed="false">
      <c r="B50" s="9" t="s">
        <v>17</v>
      </c>
      <c r="C50" s="10" t="n">
        <v>72</v>
      </c>
      <c r="D50" s="10" t="n">
        <v>120</v>
      </c>
    </row>
    <row r="51" customFormat="false" ht="15" hidden="false" customHeight="false" outlineLevel="0" collapsed="false">
      <c r="B51" s="9" t="s">
        <v>18</v>
      </c>
      <c r="C51" s="10" t="n">
        <v>1998</v>
      </c>
      <c r="D51" s="10" t="n">
        <v>1999</v>
      </c>
    </row>
    <row r="52" customFormat="false" ht="15" hidden="false" customHeight="false" outlineLevel="0" collapsed="false">
      <c r="B52" s="9" t="s">
        <v>216</v>
      </c>
      <c r="C52" s="15" t="n">
        <v>17000</v>
      </c>
      <c r="D52" s="15" t="n">
        <v>15000</v>
      </c>
    </row>
    <row r="53" customFormat="false" ht="15" hidden="false" customHeight="false" outlineLevel="0" collapsed="false">
      <c r="B53" s="9" t="s">
        <v>169</v>
      </c>
      <c r="C53" s="22" t="n">
        <f aca="false">C52*C50</f>
        <v>1224000</v>
      </c>
      <c r="D53" s="22" t="n">
        <f aca="false">D52*D50</f>
        <v>1800000</v>
      </c>
    </row>
    <row r="54" customFormat="false" ht="15" hidden="false" customHeight="false" outlineLevel="0" collapsed="false">
      <c r="B54" s="9" t="s">
        <v>217</v>
      </c>
      <c r="C54" s="22" t="n">
        <f aca="false">C49-C53</f>
        <v>9990000</v>
      </c>
      <c r="D54" s="22" t="n">
        <f aca="false">D49-D53</f>
        <v>18840000</v>
      </c>
    </row>
    <row r="55" customFormat="false" ht="15" hidden="false" customHeight="false" outlineLevel="0" collapsed="false">
      <c r="B55" s="9" t="s">
        <v>218</v>
      </c>
      <c r="C55" s="13" t="n">
        <f aca="false">Subject!$C$12/Subject!$C$6</f>
        <v>977.777777777778</v>
      </c>
      <c r="D55" s="36" t="n">
        <v>900</v>
      </c>
    </row>
    <row r="56" customFormat="false" ht="15" hidden="false" customHeight="false" outlineLevel="0" collapsed="false">
      <c r="B56" s="9" t="s">
        <v>219</v>
      </c>
      <c r="C56" s="22" t="n">
        <f aca="false">$C$6*C55*C50</f>
        <v>11616000</v>
      </c>
      <c r="D56" s="22" t="n">
        <f aca="false">$C$6*D55*D50</f>
        <v>17820000</v>
      </c>
    </row>
    <row r="57" customFormat="false" ht="15" hidden="false" customHeight="false" outlineLevel="0" collapsed="false">
      <c r="B57" s="9" t="s">
        <v>178</v>
      </c>
      <c r="C57" s="22" t="n">
        <f aca="false">C56*$C$8</f>
        <v>929280</v>
      </c>
      <c r="D57" s="22" t="n">
        <f aca="false">D56*$C$8</f>
        <v>1425600</v>
      </c>
    </row>
    <row r="58" customFormat="false" ht="15" hidden="false" customHeight="false" outlineLevel="0" collapsed="false">
      <c r="B58" s="9" t="s">
        <v>220</v>
      </c>
      <c r="C58" s="22" t="n">
        <f aca="false">$C$10/Subject!$C$6*C50</f>
        <v>700000</v>
      </c>
      <c r="D58" s="22" t="n">
        <f aca="false">$C$10/Subject!$C$6*D50</f>
        <v>1166666.66666667</v>
      </c>
    </row>
    <row r="59" customFormat="false" ht="15" hidden="false" customHeight="false" outlineLevel="0" collapsed="false">
      <c r="B59" s="9" t="s">
        <v>221</v>
      </c>
      <c r="C59" s="22" t="n">
        <f aca="false">(C56+C57+C58)*(1+$C$11)</f>
        <v>14569808</v>
      </c>
      <c r="D59" s="22" t="n">
        <f aca="false">(D56+D57+D58)*(1+$C$11)</f>
        <v>22453493.3333333</v>
      </c>
    </row>
    <row r="60" customFormat="false" ht="15" hidden="false" customHeight="false" outlineLevel="0" collapsed="false">
      <c r="B60" s="9" t="s">
        <v>222</v>
      </c>
      <c r="C60" s="22" t="n">
        <f aca="false">C59-C54</f>
        <v>4579808</v>
      </c>
      <c r="D60" s="22" t="n">
        <f aca="false">D59-D54</f>
        <v>3613493.33333334</v>
      </c>
    </row>
    <row r="61" customFormat="false" ht="15" hidden="false" customHeight="false" outlineLevel="0" collapsed="false">
      <c r="B61" s="27" t="s">
        <v>223</v>
      </c>
      <c r="C61" s="29" t="n">
        <f aca="false">C60/C59</f>
        <v>0.314335508058857</v>
      </c>
      <c r="D61" s="29" t="n">
        <f aca="false">D60/D59</f>
        <v>0.160932344900155</v>
      </c>
    </row>
    <row r="62" customFormat="false" ht="15" hidden="false" customHeight="false" outlineLevel="0" collapsed="false">
      <c r="B62" s="9" t="s">
        <v>224</v>
      </c>
      <c r="C62" s="11" t="n">
        <f aca="false">Subject!$C$8-C51</f>
        <v>28</v>
      </c>
      <c r="D62" s="11" t="n">
        <f aca="false">Subject!$C$8-D51</f>
        <v>27</v>
      </c>
    </row>
    <row r="63" customFormat="false" ht="15" hidden="false" customHeight="false" outlineLevel="0" collapsed="false">
      <c r="B63" s="9" t="s">
        <v>225</v>
      </c>
      <c r="C63" s="37" t="n">
        <f aca="false">C61/C62</f>
        <v>0.0112262681449592</v>
      </c>
      <c r="D63" s="37" t="n">
        <f aca="false">D61/D62</f>
        <v>0.00596045721852427</v>
      </c>
    </row>
    <row r="64" customFormat="false" ht="15" hidden="false" customHeight="false" outlineLevel="0" collapsed="false">
      <c r="B64" s="9" t="s">
        <v>226</v>
      </c>
      <c r="C64" s="26" t="n">
        <f aca="false">AVERAGE(C61:D61)</f>
        <v>0.237633926479506</v>
      </c>
    </row>
    <row r="65" customFormat="false" ht="15" hidden="false" customHeight="false" outlineLevel="0" collapsed="false">
      <c r="B65" s="6" t="s">
        <v>227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6"/>
    <col collapsed="false" customWidth="true" hidden="false" outlineLevel="0" max="3" min="3" style="0" width="16"/>
    <col collapsed="false" customWidth="true" hidden="false" outlineLevel="0" max="4" min="4" style="0" width="34"/>
  </cols>
  <sheetData>
    <row r="1" customFormat="false" ht="6" hidden="false" customHeight="true" outlineLevel="0" collapsed="false"/>
    <row r="2" customFormat="false" ht="17.35" hidden="false" customHeight="false" outlineLevel="0" collapsed="false">
      <c r="B2" s="5" t="s">
        <v>228</v>
      </c>
    </row>
    <row r="3" customFormat="false" ht="15" hidden="false" customHeight="false" outlineLevel="0" collapsed="false">
      <c r="B3" s="6" t="s">
        <v>229</v>
      </c>
    </row>
    <row r="5" customFormat="false" ht="15" hidden="false" customHeight="false" outlineLevel="0" collapsed="false">
      <c r="B5" s="7" t="s">
        <v>230</v>
      </c>
      <c r="C5" s="8"/>
      <c r="D5" s="8"/>
    </row>
    <row r="6" customFormat="false" ht="15" hidden="false" customHeight="false" outlineLevel="0" collapsed="false">
      <c r="B6" s="9" t="s">
        <v>231</v>
      </c>
      <c r="C6" s="11" t="n">
        <f aca="false">Subject!$C$16</f>
        <v>84</v>
      </c>
    </row>
    <row r="7" customFormat="false" ht="15" hidden="false" customHeight="false" outlineLevel="0" collapsed="false">
      <c r="B7" s="9" t="s">
        <v>232</v>
      </c>
      <c r="C7" s="15" t="n">
        <v>190000</v>
      </c>
    </row>
    <row r="8" customFormat="false" ht="15" hidden="false" customHeight="false" outlineLevel="0" collapsed="false">
      <c r="B8" s="9" t="s">
        <v>233</v>
      </c>
      <c r="C8" s="22" t="n">
        <f aca="false">$C$7*$C$6</f>
        <v>15960000</v>
      </c>
    </row>
    <row r="9" customFormat="false" ht="15" hidden="false" customHeight="false" outlineLevel="0" collapsed="false">
      <c r="B9" s="9" t="s">
        <v>234</v>
      </c>
      <c r="C9" s="22" t="n">
        <f aca="false">$C$8+Land!$D$13</f>
        <v>17598000</v>
      </c>
    </row>
    <row r="10" customFormat="false" ht="15" hidden="false" customHeight="false" outlineLevel="0" collapsed="false">
      <c r="B10" s="9" t="s">
        <v>235</v>
      </c>
      <c r="C10" s="15" t="n">
        <v>12600</v>
      </c>
    </row>
    <row r="11" customFormat="false" ht="15" hidden="false" customHeight="false" outlineLevel="0" collapsed="false">
      <c r="B11" s="9" t="s">
        <v>236</v>
      </c>
      <c r="C11" s="22" t="n">
        <f aca="false">$C$10*$C$6</f>
        <v>1058400</v>
      </c>
    </row>
    <row r="12" customFormat="false" ht="15" hidden="false" customHeight="false" outlineLevel="0" collapsed="false">
      <c r="B12" s="9" t="s">
        <v>237</v>
      </c>
      <c r="C12" s="16" t="n">
        <v>0.0525</v>
      </c>
    </row>
    <row r="13" customFormat="false" ht="15" hidden="false" customHeight="false" outlineLevel="0" collapsed="false">
      <c r="B13" s="27" t="s">
        <v>238</v>
      </c>
      <c r="C13" s="28" t="n">
        <f aca="false">$C$11/$C$12</f>
        <v>20160000</v>
      </c>
    </row>
    <row r="14" customFormat="false" ht="15" hidden="false" customHeight="false" outlineLevel="0" collapsed="false">
      <c r="B14" s="9" t="s">
        <v>239</v>
      </c>
      <c r="C14" s="22" t="n">
        <f aca="false">$C$13/$C$6</f>
        <v>240000</v>
      </c>
    </row>
    <row r="15" customFormat="false" ht="15" hidden="false" customHeight="false" outlineLevel="0" collapsed="false">
      <c r="B15" s="9" t="s">
        <v>240</v>
      </c>
      <c r="C15" s="17" t="n">
        <v>0.12</v>
      </c>
    </row>
    <row r="16" customFormat="false" ht="15" hidden="false" customHeight="false" outlineLevel="0" collapsed="false">
      <c r="B16" s="9" t="s">
        <v>241</v>
      </c>
      <c r="C16" s="22" t="n">
        <f aca="false">$C$9*(1+$C$15)</f>
        <v>19709760</v>
      </c>
    </row>
    <row r="17" customFormat="false" ht="15" hidden="false" customHeight="false" outlineLevel="0" collapsed="false">
      <c r="B17" s="27" t="s">
        <v>242</v>
      </c>
      <c r="C17" s="28" t="n">
        <f aca="false">$C$13-$C$16</f>
        <v>450239.999999996</v>
      </c>
    </row>
    <row r="18" customFormat="false" ht="15" hidden="false" customHeight="false" outlineLevel="0" collapsed="false">
      <c r="B18" s="9" t="s">
        <v>243</v>
      </c>
      <c r="C18" s="22" t="n">
        <f aca="false">$C$13/(1+$C$15)-$C$8</f>
        <v>2040000</v>
      </c>
    </row>
    <row r="19" customFormat="false" ht="15" hidden="false" customHeight="false" outlineLevel="0" collapsed="false">
      <c r="B19" s="9" t="s">
        <v>244</v>
      </c>
      <c r="C19" s="22" t="n">
        <f aca="false">$C$18/$C$6</f>
        <v>24285.7142857143</v>
      </c>
    </row>
    <row r="20" customFormat="false" ht="15" hidden="false" customHeight="false" outlineLevel="0" collapsed="false">
      <c r="B20" s="9" t="s">
        <v>245</v>
      </c>
      <c r="C20" s="22" t="n">
        <f aca="false">$C$19-Land!$D$11</f>
        <v>4785.71428571429</v>
      </c>
    </row>
    <row r="21" customFormat="false" ht="15" hidden="false" customHeight="false" outlineLevel="0" collapsed="false">
      <c r="B21" s="9" t="s">
        <v>246</v>
      </c>
      <c r="C21" s="38" t="str">
        <f aca="false">IF($C$19&gt;=Land!$D$11,"yes","no")</f>
        <v>yes</v>
      </c>
    </row>
    <row r="23" customFormat="false" ht="15" hidden="false" customHeight="false" outlineLevel="0" collapsed="false">
      <c r="B23" s="7" t="s">
        <v>247</v>
      </c>
      <c r="C23" s="8"/>
      <c r="D23" s="8"/>
    </row>
    <row r="24" customFormat="false" ht="15" hidden="false" customHeight="false" outlineLevel="0" collapsed="false">
      <c r="B24" s="9" t="s">
        <v>248</v>
      </c>
      <c r="C24" s="15" t="n">
        <v>350000</v>
      </c>
    </row>
    <row r="25" customFormat="false" ht="15" hidden="false" customHeight="false" outlineLevel="0" collapsed="false">
      <c r="B25" s="9" t="s">
        <v>249</v>
      </c>
      <c r="C25" s="22" t="n">
        <f aca="false">Land!$D$13-$C$24</f>
        <v>1288000</v>
      </c>
    </row>
    <row r="26" customFormat="false" ht="15" hidden="false" customHeight="false" outlineLevel="0" collapsed="false">
      <c r="B26" s="27" t="s">
        <v>250</v>
      </c>
      <c r="C26" s="28" t="n">
        <f aca="false">Subject!$C$23-$C$25</f>
        <v>10812000</v>
      </c>
    </row>
    <row r="28" customFormat="false" ht="15" hidden="false" customHeight="false" outlineLevel="0" collapsed="false">
      <c r="B28" s="7" t="s">
        <v>251</v>
      </c>
      <c r="C28" s="8"/>
      <c r="D28" s="8"/>
    </row>
    <row r="29" customFormat="false" ht="15" hidden="false" customHeight="false" outlineLevel="0" collapsed="false">
      <c r="B29" s="9" t="s">
        <v>252</v>
      </c>
      <c r="C29" s="15" t="n">
        <v>7500</v>
      </c>
    </row>
    <row r="30" customFormat="false" ht="15" hidden="false" customHeight="false" outlineLevel="0" collapsed="false">
      <c r="B30" s="9" t="s">
        <v>253</v>
      </c>
      <c r="C30" s="15" t="n">
        <v>65</v>
      </c>
    </row>
    <row r="31" customFormat="false" ht="15" hidden="false" customHeight="false" outlineLevel="0" collapsed="false">
      <c r="B31" s="9" t="s">
        <v>254</v>
      </c>
      <c r="C31" s="22" t="n">
        <f aca="false">$C$29*Subject!$C$6</f>
        <v>540000</v>
      </c>
    </row>
    <row r="32" customFormat="false" ht="15" hidden="false" customHeight="false" outlineLevel="0" collapsed="false">
      <c r="B32" s="9" t="s">
        <v>255</v>
      </c>
      <c r="C32" s="22" t="n">
        <f aca="false">$C$30*Subject!$C$6*12</f>
        <v>56160</v>
      </c>
    </row>
    <row r="33" customFormat="false" ht="15" hidden="false" customHeight="false" outlineLevel="0" collapsed="false">
      <c r="B33" s="9" t="s">
        <v>256</v>
      </c>
      <c r="C33" s="22" t="n">
        <f aca="false">$C$32/Subject!$C$21</f>
        <v>976695.652173913</v>
      </c>
    </row>
    <row r="34" customFormat="false" ht="15" hidden="false" customHeight="false" outlineLevel="0" collapsed="false">
      <c r="B34" s="27" t="s">
        <v>257</v>
      </c>
      <c r="C34" s="28" t="n">
        <f aca="false">$C$33-$C$31</f>
        <v>436695.652173913</v>
      </c>
    </row>
    <row r="35" customFormat="false" ht="15" hidden="false" customHeight="false" outlineLevel="0" collapsed="false">
      <c r="B35" s="9" t="s">
        <v>258</v>
      </c>
      <c r="C35" s="39" t="n">
        <f aca="false">$C$33/$C$31</f>
        <v>1.80869565217391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29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20"/>
    <col collapsed="false" customWidth="true" hidden="false" outlineLevel="0" max="4" min="4" style="0" width="78"/>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259</v>
      </c>
    </row>
    <row r="3" customFormat="false" ht="15" hidden="false" customHeight="false" outlineLevel="0" collapsed="false">
      <c r="B3" s="6" t="s">
        <v>260</v>
      </c>
    </row>
    <row r="4" customFormat="false" ht="15" hidden="false" customHeight="false" outlineLevel="0" collapsed="false">
      <c r="C4" s="27" t="s">
        <v>261</v>
      </c>
      <c r="E4" s="40" t="n">
        <f aca="false">ROWS(I10:I296)</f>
        <v>287</v>
      </c>
    </row>
    <row r="5" customFormat="false" ht="15" hidden="false" customHeight="false" outlineLevel="0" collapsed="false">
      <c r="C5" s="27" t="s">
        <v>262</v>
      </c>
      <c r="E5" s="40" t="n">
        <f aca="false">COUNTIF(I10:I296,"PASS")</f>
        <v>287</v>
      </c>
    </row>
    <row r="6" customFormat="false" ht="15" hidden="false" customHeight="false" outlineLevel="0" collapsed="false">
      <c r="C6" s="27" t="s">
        <v>263</v>
      </c>
      <c r="E6" s="40" t="n">
        <f aca="false">COUNTIF(I10:I296,"FAIL")</f>
        <v>0</v>
      </c>
    </row>
    <row r="7" customFormat="false" ht="15" hidden="false" customHeight="false" outlineLevel="0" collapsed="false">
      <c r="C7" s="27" t="s">
        <v>264</v>
      </c>
      <c r="D7" s="27"/>
      <c r="E7" s="41" t="str">
        <f aca="false">IFERROR(IF(AND(E5=E4,E6=0,SUMPRODUCT(--ISERROR(F10:F296))=0),"PASS","FAIL"),"FAIL")</f>
        <v>PASS</v>
      </c>
    </row>
    <row r="9" customFormat="false" ht="21.75" hidden="false" customHeight="true" outlineLevel="0" collapsed="false">
      <c r="B9" s="18" t="s">
        <v>36</v>
      </c>
      <c r="C9" s="19" t="s">
        <v>265</v>
      </c>
      <c r="D9" s="19" t="s">
        <v>266</v>
      </c>
      <c r="E9" s="19" t="s">
        <v>267</v>
      </c>
      <c r="F9" s="19" t="s">
        <v>268</v>
      </c>
      <c r="G9" s="19" t="s">
        <v>269</v>
      </c>
      <c r="H9" s="19" t="s">
        <v>270</v>
      </c>
      <c r="I9" s="19" t="s">
        <v>271</v>
      </c>
    </row>
    <row r="10" customFormat="false" ht="15" hidden="false" customHeight="true" outlineLevel="0" collapsed="false">
      <c r="B10" s="42" t="n">
        <v>1</v>
      </c>
      <c r="C10" s="9" t="s">
        <v>272</v>
      </c>
      <c r="D10" s="43" t="s">
        <v>273</v>
      </c>
      <c r="E10" s="44" t="s">
        <v>274</v>
      </c>
      <c r="F10" s="45" t="str">
        <f aca="false">IFERROR(IF(AND(Improved_Sales!$G$19&gt;=Improved_Sales!$G$17,Improved_Sales!$G$19&lt;=Improved_Sales!$G$18),"holds","does not hold"),"error")</f>
        <v>holds</v>
      </c>
      <c r="G10" s="9"/>
      <c r="H10" s="9"/>
      <c r="I10" s="41" t="str">
        <f aca="false">IFERROR(IF(AND(Improved_Sales!$G$19&gt;=Improved_Sales!$G$17,Improved_Sales!$G$19&lt;=Improved_Sales!$G$18),"PASS","FAIL"),"FAIL")</f>
        <v>PASS</v>
      </c>
    </row>
    <row r="11" customFormat="false" ht="15" hidden="false" customHeight="true" outlineLevel="0" collapsed="false">
      <c r="B11" s="42" t="n">
        <v>2</v>
      </c>
      <c r="C11" s="9" t="s">
        <v>275</v>
      </c>
      <c r="D11" s="43" t="s">
        <v>276</v>
      </c>
      <c r="E11" s="44" t="s">
        <v>274</v>
      </c>
      <c r="F11" s="45" t="str">
        <f aca="false">IFERROR(IF(AND(Grid!$C$56&gt;=Grid!$C$51,Grid!$C$56&lt;=Grid!$C$52),"holds","does not hold"),"error")</f>
        <v>holds</v>
      </c>
      <c r="G11" s="9"/>
      <c r="H11" s="9"/>
      <c r="I11" s="41" t="str">
        <f aca="false">IFERROR(IF(AND(Grid!$C$56&gt;=Grid!$C$51,Grid!$C$56&lt;=Grid!$C$52),"PASS","FAIL"),"FAIL")</f>
        <v>PASS</v>
      </c>
    </row>
    <row r="12" customFormat="false" ht="15" hidden="false" customHeight="true" outlineLevel="0" collapsed="false">
      <c r="B12" s="42" t="n">
        <v>3</v>
      </c>
      <c r="C12" s="9" t="s">
        <v>277</v>
      </c>
      <c r="D12" s="43" t="s">
        <v>278</v>
      </c>
      <c r="E12" s="44" t="s">
        <v>274</v>
      </c>
      <c r="F12" s="45" t="str">
        <f aca="false">IFERROR(IF(Paired_Sales!$C$21&gt;Grid!$C$6,"holds","does not hold"),"error")</f>
        <v>holds</v>
      </c>
      <c r="G12" s="9"/>
      <c r="H12" s="9"/>
      <c r="I12" s="41" t="str">
        <f aca="false">IFERROR(IF(Paired_Sales!$C$21&gt;Grid!$C$6,"PASS","FAIL"),"FAIL")</f>
        <v>PASS</v>
      </c>
    </row>
    <row r="13" customFormat="false" ht="15" hidden="false" customHeight="true" outlineLevel="0" collapsed="false">
      <c r="B13" s="42" t="n">
        <v>4</v>
      </c>
      <c r="C13" s="9" t="s">
        <v>275</v>
      </c>
      <c r="D13" s="43" t="s">
        <v>279</v>
      </c>
      <c r="E13" s="44" t="s">
        <v>274</v>
      </c>
      <c r="F13" s="45" t="str">
        <f aca="false">IFERROR(IF(Grid!$C$55&lt;Improved_Sales!$G$15,"holds","does not hold"),"error")</f>
        <v>holds</v>
      </c>
      <c r="G13" s="9"/>
      <c r="H13" s="9"/>
      <c r="I13" s="41" t="str">
        <f aca="false">IFERROR(IF(Grid!$C$55&lt;Improved_Sales!$G$15,"PASS","FAIL"),"FAIL")</f>
        <v>PASS</v>
      </c>
    </row>
    <row r="14" customFormat="false" ht="15" hidden="false" customHeight="true" outlineLevel="0" collapsed="false">
      <c r="B14" s="42" t="n">
        <v>5</v>
      </c>
      <c r="C14" s="9" t="s">
        <v>275</v>
      </c>
      <c r="D14" s="43" t="s">
        <v>280</v>
      </c>
      <c r="E14" s="44" t="s">
        <v>274</v>
      </c>
      <c r="F14" s="45" t="str">
        <f aca="false">IFERROR(IF(AND(MIN(Grid!C46:G46)=MIN(Grid!F46,Grid!G46),Grid!F46&lt;0.1),"holds","does not hold"),"error")</f>
        <v>holds</v>
      </c>
      <c r="G14" s="9"/>
      <c r="H14" s="9"/>
      <c r="I14" s="41" t="str">
        <f aca="false">IFERROR(IF(AND(MIN(Grid!C46:G46)=MIN(Grid!F46,Grid!G46),Grid!F46&lt;0.1),"PASS","FAIL"),"FAIL")</f>
        <v>PASS</v>
      </c>
    </row>
    <row r="15" customFormat="false" ht="15" hidden="false" customHeight="true" outlineLevel="0" collapsed="false">
      <c r="B15" s="42" t="n">
        <v>6</v>
      </c>
      <c r="C15" s="9" t="s">
        <v>281</v>
      </c>
      <c r="D15" s="43" t="s">
        <v>282</v>
      </c>
      <c r="E15" s="44" t="s">
        <v>274</v>
      </c>
      <c r="F15" s="45" t="str">
        <f aca="false">IFERROR(IF(AND(Land!$D$11&gt;=MIN(Land!D6:D9),Land!$D$11&lt;=MAX(Land!D6:D9)),"holds","does not hold"),"error")</f>
        <v>holds</v>
      </c>
      <c r="G15" s="9"/>
      <c r="H15" s="9"/>
      <c r="I15" s="41" t="str">
        <f aca="false">IFERROR(IF(AND(Land!$D$11&gt;=MIN(Land!D6:D9),Land!$D$11&lt;=MAX(Land!D6:D9)),"PASS","FAIL"),"FAIL")</f>
        <v>PASS</v>
      </c>
    </row>
    <row r="16" customFormat="false" ht="30" hidden="false" customHeight="true" outlineLevel="0" collapsed="false">
      <c r="B16" s="42" t="n">
        <v>7</v>
      </c>
      <c r="C16" s="9" t="s">
        <v>283</v>
      </c>
      <c r="D16" s="43" t="s">
        <v>284</v>
      </c>
      <c r="E16" s="44" t="s">
        <v>274</v>
      </c>
      <c r="F16" s="45" t="str">
        <f aca="false">IFERROR(IF(AND(MIN(Cost_Approach!$C$61,Cost_Approach!$D$61)&lt;Cost_Approach!$C$24,Cost_Approach!$C$24&lt;MAX(Cost_Approach!$C$61,Cost_Approach!$D$61)),"holds","does not hold"),"error")</f>
        <v>holds</v>
      </c>
      <c r="G16" s="9"/>
      <c r="H16" s="9"/>
      <c r="I16" s="41" t="str">
        <f aca="false">IFERROR(IF(AND(MIN(Cost_Approach!$C$61,Cost_Approach!$D$61)&lt;Cost_Approach!$C$24,Cost_Approach!$C$24&lt;MAX(Cost_Approach!$C$61,Cost_Approach!$D$61)),"PASS","FAIL"),"FAIL")</f>
        <v>PASS</v>
      </c>
    </row>
    <row r="17" customFormat="false" ht="15" hidden="false" customHeight="true" outlineLevel="0" collapsed="false">
      <c r="B17" s="42" t="n">
        <v>8</v>
      </c>
      <c r="C17" s="9" t="s">
        <v>283</v>
      </c>
      <c r="D17" s="43" t="s">
        <v>285</v>
      </c>
      <c r="E17" s="44" t="s">
        <v>274</v>
      </c>
      <c r="F17" s="45" t="str">
        <f aca="false">IFERROR(IF(ABS(Land!$D$13+Cost_Approach!$C$33-Cost_Approach!$C$34)&lt;0.005,"holds","does not hold"),"error")</f>
        <v>holds</v>
      </c>
      <c r="G17" s="9"/>
      <c r="H17" s="9"/>
      <c r="I17" s="41" t="str">
        <f aca="false">IFERROR(IF(ABS(Land!$D$13+Cost_Approach!$C$33-Cost_Approach!$C$34)&lt;0.005,"PASS","FAIL"),"FAIL")</f>
        <v>PASS</v>
      </c>
    </row>
    <row r="18" customFormat="false" ht="15" hidden="false" customHeight="true" outlineLevel="0" collapsed="false">
      <c r="B18" s="42" t="n">
        <v>9</v>
      </c>
      <c r="C18" s="9" t="s">
        <v>286</v>
      </c>
      <c r="D18" s="43" t="s">
        <v>287</v>
      </c>
      <c r="E18" s="44" t="s">
        <v>274</v>
      </c>
      <c r="F18" s="45" t="str">
        <f aca="false">IFERROR(IF(AND(Highest_Best_Use!$C$17&gt;0,Highest_Best_Use!$C$26&gt;0,Highest_Best_Use!$C$34&gt;0),"holds","does not hold"),"error")</f>
        <v>holds</v>
      </c>
      <c r="G18" s="9"/>
      <c r="H18" s="9"/>
      <c r="I18" s="41" t="str">
        <f aca="false">IFERROR(IF(AND(Highest_Best_Use!$C$17&gt;0,Highest_Best_Use!$C$26&gt;0,Highest_Best_Use!$C$34&gt;0),"PASS","FAIL"),"FAIL")</f>
        <v>PASS</v>
      </c>
    </row>
    <row r="19" customFormat="false" ht="15" hidden="false" customHeight="false" outlineLevel="0" collapsed="false">
      <c r="B19" s="42" t="n">
        <v>10</v>
      </c>
      <c r="C19" s="9" t="s">
        <v>288</v>
      </c>
      <c r="D19" s="9" t="s">
        <v>289</v>
      </c>
      <c r="E19" s="12" t="n">
        <v>72</v>
      </c>
      <c r="F19" s="24" t="n">
        <f aca="false">Subject!$C$6</f>
        <v>72</v>
      </c>
      <c r="G19" s="46" t="n">
        <f aca="false">IFERROR(IF(ISNUMBER(F19),F19-E19,"n/a"),"n/a")</f>
        <v>0</v>
      </c>
      <c r="H19" s="47" t="n">
        <v>0.500000001</v>
      </c>
      <c r="I19" s="41" t="str">
        <f aca="false">IFERROR(IF(ISNUMBER(F19),IF(ABS(F19-E19)&lt;=H19,"PASS","FAIL"),"FAIL"),"FAIL")</f>
        <v>PASS</v>
      </c>
    </row>
    <row r="20" customFormat="false" ht="15" hidden="false" customHeight="false" outlineLevel="0" collapsed="false">
      <c r="B20" s="42" t="n">
        <v>11</v>
      </c>
      <c r="C20" s="9" t="s">
        <v>288</v>
      </c>
      <c r="D20" s="9" t="s">
        <v>290</v>
      </c>
      <c r="E20" s="12" t="n">
        <v>1999</v>
      </c>
      <c r="F20" s="24" t="n">
        <f aca="false">Subject!$C$7</f>
        <v>1999</v>
      </c>
      <c r="G20" s="46" t="n">
        <f aca="false">IFERROR(IF(ISNUMBER(F20),F20-E20,"n/a"),"n/a")</f>
        <v>0</v>
      </c>
      <c r="H20" s="47" t="n">
        <v>0.500000001</v>
      </c>
      <c r="I20" s="41" t="str">
        <f aca="false">IFERROR(IF(ISNUMBER(F20),IF(ABS(F20-E20)&lt;=H20,"PASS","FAIL"),"FAIL"),"FAIL")</f>
        <v>PASS</v>
      </c>
    </row>
    <row r="21" customFormat="false" ht="15" hidden="false" customHeight="false" outlineLevel="0" collapsed="false">
      <c r="B21" s="42" t="n">
        <v>12</v>
      </c>
      <c r="C21" s="9" t="s">
        <v>288</v>
      </c>
      <c r="D21" s="9" t="s">
        <v>291</v>
      </c>
      <c r="E21" s="12" t="n">
        <v>27</v>
      </c>
      <c r="F21" s="24" t="n">
        <f aca="false">Subject!$C$9</f>
        <v>27</v>
      </c>
      <c r="G21" s="46" t="n">
        <f aca="false">IFERROR(IF(ISNUMBER(F21),F21-E21,"n/a"),"n/a")</f>
        <v>0</v>
      </c>
      <c r="H21" s="47" t="n">
        <v>0.500000001</v>
      </c>
      <c r="I21" s="41" t="str">
        <f aca="false">IFERROR(IF(ISNUMBER(F21),IF(ABS(F21-E21)&lt;=H21,"PASS","FAIL"),"FAIL"),"FAIL")</f>
        <v>PASS</v>
      </c>
    </row>
    <row r="22" customFormat="false" ht="15" hidden="false" customHeight="false" outlineLevel="0" collapsed="false">
      <c r="B22" s="42" t="n">
        <v>13</v>
      </c>
      <c r="C22" s="9" t="s">
        <v>288</v>
      </c>
      <c r="D22" s="9" t="s">
        <v>292</v>
      </c>
      <c r="E22" s="12" t="n">
        <v>64000</v>
      </c>
      <c r="F22" s="24" t="n">
        <f aca="false">Subject!$C$10</f>
        <v>64000</v>
      </c>
      <c r="G22" s="46" t="n">
        <f aca="false">IFERROR(IF(ISNUMBER(F22),F22-E22,"n/a"),"n/a")</f>
        <v>0</v>
      </c>
      <c r="H22" s="47" t="n">
        <v>0.500000001</v>
      </c>
      <c r="I22" s="41" t="str">
        <f aca="false">IFERROR(IF(ISNUMBER(F22),IF(ABS(F22-E22)&lt;=H22,"PASS","FAIL"),"FAIL"),"FAIL")</f>
        <v>PASS</v>
      </c>
    </row>
    <row r="23" customFormat="false" ht="15" hidden="false" customHeight="false" outlineLevel="0" collapsed="false">
      <c r="B23" s="42" t="n">
        <v>14</v>
      </c>
      <c r="C23" s="9" t="s">
        <v>288</v>
      </c>
      <c r="D23" s="9" t="s">
        <v>293</v>
      </c>
      <c r="E23" s="12" t="n">
        <v>889</v>
      </c>
      <c r="F23" s="24" t="n">
        <f aca="false">Subject!$C$11</f>
        <v>888.888888888889</v>
      </c>
      <c r="G23" s="46" t="n">
        <f aca="false">IFERROR(IF(ISNUMBER(F23),F23-E23,"n/a"),"n/a")</f>
        <v>-0.111111111111086</v>
      </c>
      <c r="H23" s="47" t="n">
        <v>0.500000001</v>
      </c>
      <c r="I23" s="41" t="str">
        <f aca="false">IFERROR(IF(ISNUMBER(F23),IF(ABS(F23-E23)&lt;=H23,"PASS","FAIL"),"FAIL"),"FAIL")</f>
        <v>PASS</v>
      </c>
    </row>
    <row r="24" customFormat="false" ht="15" hidden="false" customHeight="false" outlineLevel="0" collapsed="false">
      <c r="B24" s="42" t="n">
        <v>15</v>
      </c>
      <c r="C24" s="9" t="s">
        <v>288</v>
      </c>
      <c r="D24" s="9" t="s">
        <v>294</v>
      </c>
      <c r="E24" s="12" t="n">
        <v>70400</v>
      </c>
      <c r="F24" s="24" t="n">
        <f aca="false">Subject!$C$12</f>
        <v>70400</v>
      </c>
      <c r="G24" s="46" t="n">
        <f aca="false">IFERROR(IF(ISNUMBER(F24),F24-E24,"n/a"),"n/a")</f>
        <v>0</v>
      </c>
      <c r="H24" s="47" t="n">
        <v>0.500000001</v>
      </c>
      <c r="I24" s="41" t="str">
        <f aca="false">IFERROR(IF(ISNUMBER(F24),IF(ABS(F24-E24)&lt;=H24,"PASS","FAIL"),"FAIL"),"FAIL")</f>
        <v>PASS</v>
      </c>
    </row>
    <row r="25" customFormat="false" ht="15" hidden="false" customHeight="false" outlineLevel="0" collapsed="false">
      <c r="B25" s="42" t="n">
        <v>16</v>
      </c>
      <c r="C25" s="9" t="s">
        <v>288</v>
      </c>
      <c r="D25" s="9" t="s">
        <v>295</v>
      </c>
      <c r="E25" s="14" t="n">
        <v>4.2</v>
      </c>
      <c r="F25" s="48" t="n">
        <f aca="false">Subject!$C$13</f>
        <v>4.2</v>
      </c>
      <c r="G25" s="46" t="n">
        <f aca="false">IFERROR(IF(ISNUMBER(F25),F25-E25,"n/a"),"n/a")</f>
        <v>0</v>
      </c>
      <c r="H25" s="47" t="n">
        <v>0.005000001</v>
      </c>
      <c r="I25" s="41" t="str">
        <f aca="false">IFERROR(IF(ISNUMBER(F25),IF(ABS(F25-E25)&lt;=H25,"PASS","FAIL"),"FAIL"),"FAIL")</f>
        <v>PASS</v>
      </c>
    </row>
    <row r="26" customFormat="false" ht="15" hidden="false" customHeight="false" outlineLevel="0" collapsed="false">
      <c r="B26" s="42" t="n">
        <v>17</v>
      </c>
      <c r="C26" s="9" t="s">
        <v>288</v>
      </c>
      <c r="D26" s="9" t="s">
        <v>296</v>
      </c>
      <c r="E26" s="12" t="n">
        <v>182952</v>
      </c>
      <c r="F26" s="24" t="n">
        <f aca="false">Subject!$C$14</f>
        <v>182952</v>
      </c>
      <c r="G26" s="46" t="n">
        <f aca="false">IFERROR(IF(ISNUMBER(F26),F26-E26,"n/a"),"n/a")</f>
        <v>0</v>
      </c>
      <c r="H26" s="47" t="n">
        <v>0.500000001</v>
      </c>
      <c r="I26" s="41" t="str">
        <f aca="false">IFERROR(IF(ISNUMBER(F26),IF(ABS(F26-E26)&lt;=H26,"PASS","FAIL"),"FAIL"),"FAIL")</f>
        <v>PASS</v>
      </c>
    </row>
    <row r="27" customFormat="false" ht="15" hidden="false" customHeight="false" outlineLevel="0" collapsed="false">
      <c r="B27" s="42" t="n">
        <v>18</v>
      </c>
      <c r="C27" s="9" t="s">
        <v>288</v>
      </c>
      <c r="D27" s="9" t="s">
        <v>297</v>
      </c>
      <c r="E27" s="12" t="n">
        <v>20</v>
      </c>
      <c r="F27" s="24" t="n">
        <f aca="false">Subject!$C$15</f>
        <v>20</v>
      </c>
      <c r="G27" s="46" t="n">
        <f aca="false">IFERROR(IF(ISNUMBER(F27),F27-E27,"n/a"),"n/a")</f>
        <v>0</v>
      </c>
      <c r="H27" s="47" t="n">
        <v>0.500000001</v>
      </c>
      <c r="I27" s="41" t="str">
        <f aca="false">IFERROR(IF(ISNUMBER(F27),IF(ABS(F27-E27)&lt;=H27,"PASS","FAIL"),"FAIL"),"FAIL")</f>
        <v>PASS</v>
      </c>
    </row>
    <row r="28" customFormat="false" ht="15" hidden="false" customHeight="false" outlineLevel="0" collapsed="false">
      <c r="B28" s="42" t="n">
        <v>19</v>
      </c>
      <c r="C28" s="9" t="s">
        <v>288</v>
      </c>
      <c r="D28" s="9" t="s">
        <v>298</v>
      </c>
      <c r="E28" s="12" t="n">
        <v>84</v>
      </c>
      <c r="F28" s="24" t="n">
        <f aca="false">Subject!$C$16</f>
        <v>84</v>
      </c>
      <c r="G28" s="46" t="n">
        <f aca="false">IFERROR(IF(ISNUMBER(F28),F28-E28,"n/a"),"n/a")</f>
        <v>0</v>
      </c>
      <c r="H28" s="47" t="n">
        <v>0.500000001</v>
      </c>
      <c r="I28" s="41" t="str">
        <f aca="false">IFERROR(IF(ISNUMBER(F28),IF(ABS(F28-E28)&lt;=H28,"PASS","FAIL"),"FAIL"),"FAIL")</f>
        <v>PASS</v>
      </c>
    </row>
    <row r="29" customFormat="false" ht="15" hidden="false" customHeight="false" outlineLevel="0" collapsed="false">
      <c r="B29" s="42" t="n">
        <v>20</v>
      </c>
      <c r="C29" s="9" t="s">
        <v>288</v>
      </c>
      <c r="D29" s="9" t="s">
        <v>299</v>
      </c>
      <c r="E29" s="12" t="n">
        <v>150000</v>
      </c>
      <c r="F29" s="24" t="n">
        <f aca="false">Subject!$C$17</f>
        <v>150000</v>
      </c>
      <c r="G29" s="46" t="n">
        <f aca="false">IFERROR(IF(ISNUMBER(F29),F29-E29,"n/a"),"n/a")</f>
        <v>0</v>
      </c>
      <c r="H29" s="47" t="n">
        <v>0.500000001</v>
      </c>
      <c r="I29" s="41" t="str">
        <f aca="false">IFERROR(IF(ISNUMBER(F29),IF(ABS(F29-E29)&lt;=H29,"PASS","FAIL"),"FAIL"),"FAIL")</f>
        <v>PASS</v>
      </c>
    </row>
    <row r="30" customFormat="false" ht="15" hidden="false" customHeight="false" outlineLevel="0" collapsed="false">
      <c r="B30" s="42" t="n">
        <v>21</v>
      </c>
      <c r="C30" s="9" t="s">
        <v>288</v>
      </c>
      <c r="D30" s="9" t="s">
        <v>300</v>
      </c>
      <c r="E30" s="12" t="n">
        <v>1157328</v>
      </c>
      <c r="F30" s="24" t="n">
        <f aca="false">Subject!$C$20</f>
        <v>1157328</v>
      </c>
      <c r="G30" s="46" t="n">
        <f aca="false">IFERROR(IF(ISNUMBER(F30),F30-E30,"n/a"),"n/a")</f>
        <v>0</v>
      </c>
      <c r="H30" s="47" t="n">
        <v>0.500000001</v>
      </c>
      <c r="I30" s="41" t="str">
        <f aca="false">IFERROR(IF(ISNUMBER(F30),IF(ABS(F30-E30)&lt;=H30,"PASS","FAIL"),"FAIL"),"FAIL")</f>
        <v>PASS</v>
      </c>
    </row>
    <row r="31" customFormat="false" ht="15" hidden="false" customHeight="false" outlineLevel="0" collapsed="false">
      <c r="B31" s="42" t="n">
        <v>22</v>
      </c>
      <c r="C31" s="9" t="s">
        <v>288</v>
      </c>
      <c r="D31" s="9" t="s">
        <v>301</v>
      </c>
      <c r="E31" s="16" t="n">
        <v>0.0575</v>
      </c>
      <c r="F31" s="49" t="n">
        <f aca="false">Subject!$C$21</f>
        <v>0.0575</v>
      </c>
      <c r="G31" s="46" t="n">
        <f aca="false">IFERROR(IF(ISNUMBER(F31),F31-E31,"n/a"),"n/a")</f>
        <v>0</v>
      </c>
      <c r="H31" s="47" t="n">
        <v>5.0001E-005</v>
      </c>
      <c r="I31" s="41" t="str">
        <f aca="false">IFERROR(IF(ISNUMBER(F31),IF(ABS(F31-E31)&lt;=H31,"PASS","FAIL"),"FAIL"),"FAIL")</f>
        <v>PASS</v>
      </c>
    </row>
    <row r="32" customFormat="false" ht="15" hidden="false" customHeight="false" outlineLevel="0" collapsed="false">
      <c r="B32" s="42" t="n">
        <v>23</v>
      </c>
      <c r="C32" s="9" t="s">
        <v>288</v>
      </c>
      <c r="D32" s="9" t="s">
        <v>302</v>
      </c>
      <c r="E32" s="17" t="n">
        <v>0.36</v>
      </c>
      <c r="F32" s="37" t="n">
        <f aca="false">Subject!$C$22</f>
        <v>0.36</v>
      </c>
      <c r="G32" s="46" t="n">
        <f aca="false">IFERROR(IF(ISNUMBER(F32),F32-E32,"n/a"),"n/a")</f>
        <v>0</v>
      </c>
      <c r="H32" s="47" t="n">
        <v>0.005000001</v>
      </c>
      <c r="I32" s="41" t="str">
        <f aca="false">IFERROR(IF(ISNUMBER(F32),IF(ABS(F32-E32)&lt;=H32,"PASS","FAIL"),"FAIL"),"FAIL")</f>
        <v>PASS</v>
      </c>
    </row>
    <row r="33" customFormat="false" ht="15" hidden="false" customHeight="false" outlineLevel="0" collapsed="false">
      <c r="B33" s="42" t="n">
        <v>24</v>
      </c>
      <c r="C33" s="9" t="s">
        <v>288</v>
      </c>
      <c r="D33" s="9" t="s">
        <v>303</v>
      </c>
      <c r="E33" s="12" t="n">
        <v>12100000</v>
      </c>
      <c r="F33" s="24" t="n">
        <f aca="false">Subject!$C$23</f>
        <v>12100000</v>
      </c>
      <c r="G33" s="46" t="n">
        <f aca="false">IFERROR(IF(ISNUMBER(F33),F33-E33,"n/a"),"n/a")</f>
        <v>0</v>
      </c>
      <c r="H33" s="47" t="n">
        <v>0.500000001</v>
      </c>
      <c r="I33" s="41" t="str">
        <f aca="false">IFERROR(IF(ISNUMBER(F33),IF(ABS(F33-E33)&lt;=H33,"PASS","FAIL"),"FAIL"),"FAIL")</f>
        <v>PASS</v>
      </c>
    </row>
    <row r="34" customFormat="false" ht="15" hidden="false" customHeight="false" outlineLevel="0" collapsed="false">
      <c r="B34" s="42" t="n">
        <v>25</v>
      </c>
      <c r="C34" s="9" t="s">
        <v>272</v>
      </c>
      <c r="D34" s="9" t="s">
        <v>304</v>
      </c>
      <c r="E34" s="12" t="n">
        <v>96</v>
      </c>
      <c r="F34" s="24" t="n">
        <f aca="false">Improved_Sales!$D$6</f>
        <v>96</v>
      </c>
      <c r="G34" s="46" t="n">
        <f aca="false">IFERROR(IF(ISNUMBER(F34),F34-E34,"n/a"),"n/a")</f>
        <v>0</v>
      </c>
      <c r="H34" s="47" t="n">
        <v>0.500000001</v>
      </c>
      <c r="I34" s="41" t="str">
        <f aca="false">IFERROR(IF(ISNUMBER(F34),IF(ABS(F34-E34)&lt;=H34,"PASS","FAIL"),"FAIL"),"FAIL")</f>
        <v>PASS</v>
      </c>
    </row>
    <row r="35" customFormat="false" ht="15" hidden="false" customHeight="false" outlineLevel="0" collapsed="false">
      <c r="B35" s="42" t="n">
        <v>26</v>
      </c>
      <c r="C35" s="9" t="s">
        <v>272</v>
      </c>
      <c r="D35" s="9" t="s">
        <v>305</v>
      </c>
      <c r="E35" s="12" t="n">
        <v>2001</v>
      </c>
      <c r="F35" s="24" t="n">
        <f aca="false">Improved_Sales!$E$6</f>
        <v>2001</v>
      </c>
      <c r="G35" s="46" t="n">
        <f aca="false">IFERROR(IF(ISNUMBER(F35),F35-E35,"n/a"),"n/a")</f>
        <v>0</v>
      </c>
      <c r="H35" s="47" t="n">
        <v>0.500000001</v>
      </c>
      <c r="I35" s="41" t="str">
        <f aca="false">IFERROR(IF(ISNUMBER(F35),IF(ABS(F35-E35)&lt;=H35,"PASS","FAIL"),"FAIL"),"FAIL")</f>
        <v>PASS</v>
      </c>
    </row>
    <row r="36" customFormat="false" ht="15" hidden="false" customHeight="false" outlineLevel="0" collapsed="false">
      <c r="B36" s="42" t="n">
        <v>27</v>
      </c>
      <c r="C36" s="9" t="s">
        <v>272</v>
      </c>
      <c r="D36" s="9" t="s">
        <v>306</v>
      </c>
      <c r="E36" s="12" t="n">
        <v>3</v>
      </c>
      <c r="F36" s="24" t="n">
        <f aca="false">Improved_Sales!$F$6</f>
        <v>3</v>
      </c>
      <c r="G36" s="46" t="n">
        <f aca="false">IFERROR(IF(ISNUMBER(F36),F36-E36,"n/a"),"n/a")</f>
        <v>0</v>
      </c>
      <c r="H36" s="47" t="n">
        <v>0.500000001</v>
      </c>
      <c r="I36" s="41" t="str">
        <f aca="false">IFERROR(IF(ISNUMBER(F36),IF(ABS(F36-E36)&lt;=H36,"PASS","FAIL"),"FAIL"),"FAIL")</f>
        <v>PASS</v>
      </c>
    </row>
    <row r="37" customFormat="false" ht="15" hidden="false" customHeight="false" outlineLevel="0" collapsed="false">
      <c r="B37" s="42" t="n">
        <v>28</v>
      </c>
      <c r="C37" s="9" t="s">
        <v>272</v>
      </c>
      <c r="D37" s="9" t="s">
        <v>307</v>
      </c>
      <c r="E37" s="12" t="n">
        <v>18144000</v>
      </c>
      <c r="F37" s="24" t="n">
        <f aca="false">Improved_Sales!$G$6</f>
        <v>18144000</v>
      </c>
      <c r="G37" s="46" t="n">
        <f aca="false">IFERROR(IF(ISNUMBER(F37),F37-E37,"n/a"),"n/a")</f>
        <v>0</v>
      </c>
      <c r="H37" s="47" t="n">
        <v>0.500000001</v>
      </c>
      <c r="I37" s="41" t="str">
        <f aca="false">IFERROR(IF(ISNUMBER(F37),IF(ABS(F37-E37)&lt;=H37,"PASS","FAIL"),"FAIL"),"FAIL")</f>
        <v>PASS</v>
      </c>
    </row>
    <row r="38" customFormat="false" ht="15" hidden="false" customHeight="false" outlineLevel="0" collapsed="false">
      <c r="B38" s="42" t="n">
        <v>29</v>
      </c>
      <c r="C38" s="9" t="s">
        <v>272</v>
      </c>
      <c r="D38" s="9" t="s">
        <v>308</v>
      </c>
      <c r="E38" s="12" t="n">
        <v>189000</v>
      </c>
      <c r="F38" s="24" t="n">
        <f aca="false">Improved_Sales!$H$6</f>
        <v>189000</v>
      </c>
      <c r="G38" s="46" t="n">
        <f aca="false">IFERROR(IF(ISNUMBER(F38),F38-E38,"n/a"),"n/a")</f>
        <v>0</v>
      </c>
      <c r="H38" s="47" t="n">
        <v>0.500000001</v>
      </c>
      <c r="I38" s="41" t="str">
        <f aca="false">IFERROR(IF(ISNUMBER(F38),IF(ABS(F38-E38)&lt;=H38,"PASS","FAIL"),"FAIL"),"FAIL")</f>
        <v>PASS</v>
      </c>
    </row>
    <row r="39" customFormat="false" ht="15" hidden="false" customHeight="false" outlineLevel="0" collapsed="false">
      <c r="B39" s="42" t="n">
        <v>30</v>
      </c>
      <c r="C39" s="9" t="s">
        <v>272</v>
      </c>
      <c r="D39" s="9" t="s">
        <v>309</v>
      </c>
      <c r="E39" s="12" t="n">
        <v>910</v>
      </c>
      <c r="F39" s="24" t="n">
        <f aca="false">Improved_Sales!$I$6</f>
        <v>910</v>
      </c>
      <c r="G39" s="46" t="n">
        <f aca="false">IFERROR(IF(ISNUMBER(F39),F39-E39,"n/a"),"n/a")</f>
        <v>0</v>
      </c>
      <c r="H39" s="47" t="n">
        <v>0.500000001</v>
      </c>
      <c r="I39" s="41" t="str">
        <f aca="false">IFERROR(IF(ISNUMBER(F39),IF(ABS(F39-E39)&lt;=H39,"PASS","FAIL"),"FAIL"),"FAIL")</f>
        <v>PASS</v>
      </c>
    </row>
    <row r="40" customFormat="false" ht="15" hidden="false" customHeight="false" outlineLevel="0" collapsed="false">
      <c r="B40" s="42" t="n">
        <v>31</v>
      </c>
      <c r="C40" s="9" t="s">
        <v>272</v>
      </c>
      <c r="D40" s="9" t="s">
        <v>310</v>
      </c>
      <c r="E40" s="14" t="n">
        <v>207.69</v>
      </c>
      <c r="F40" s="48" t="n">
        <f aca="false">Improved_Sales!$J$6</f>
        <v>207.692307692308</v>
      </c>
      <c r="G40" s="46" t="n">
        <f aca="false">IFERROR(IF(ISNUMBER(F40),F40-E40,"n/a"),"n/a")</f>
        <v>0.00230769230768146</v>
      </c>
      <c r="H40" s="47" t="n">
        <v>0.005000001</v>
      </c>
      <c r="I40" s="41" t="str">
        <f aca="false">IFERROR(IF(ISNUMBER(F40),IF(ABS(F40-E40)&lt;=H40,"PASS","FAIL"),"FAIL"),"FAIL")</f>
        <v>PASS</v>
      </c>
    </row>
    <row r="41" customFormat="false" ht="15" hidden="false" customHeight="false" outlineLevel="0" collapsed="false">
      <c r="B41" s="42" t="n">
        <v>32</v>
      </c>
      <c r="C41" s="9" t="s">
        <v>272</v>
      </c>
      <c r="D41" s="9" t="s">
        <v>311</v>
      </c>
      <c r="E41" s="12" t="n">
        <v>1062000</v>
      </c>
      <c r="F41" s="24" t="n">
        <f aca="false">Improved_Sales!$K$6</f>
        <v>1062000</v>
      </c>
      <c r="G41" s="46" t="n">
        <f aca="false">IFERROR(IF(ISNUMBER(F41),F41-E41,"n/a"),"n/a")</f>
        <v>0</v>
      </c>
      <c r="H41" s="47" t="n">
        <v>0.500000001</v>
      </c>
      <c r="I41" s="41" t="str">
        <f aca="false">IFERROR(IF(ISNUMBER(F41),IF(ABS(F41-E41)&lt;=H41,"PASS","FAIL"),"FAIL"),"FAIL")</f>
        <v>PASS</v>
      </c>
    </row>
    <row r="42" customFormat="false" ht="15" hidden="false" customHeight="false" outlineLevel="0" collapsed="false">
      <c r="B42" s="42" t="n">
        <v>33</v>
      </c>
      <c r="C42" s="9" t="s">
        <v>272</v>
      </c>
      <c r="D42" s="9" t="s">
        <v>312</v>
      </c>
      <c r="E42" s="12" t="n">
        <v>1659375</v>
      </c>
      <c r="F42" s="24" t="n">
        <f aca="false">Improved_Sales!$L$6</f>
        <v>1659375</v>
      </c>
      <c r="G42" s="46" t="n">
        <f aca="false">IFERROR(IF(ISNUMBER(F42),F42-E42,"n/a"),"n/a")</f>
        <v>0</v>
      </c>
      <c r="H42" s="47" t="n">
        <v>0.500000001</v>
      </c>
      <c r="I42" s="41" t="str">
        <f aca="false">IFERROR(IF(ISNUMBER(F42),IF(ABS(F42-E42)&lt;=H42,"PASS","FAIL"),"FAIL"),"FAIL")</f>
        <v>PASS</v>
      </c>
    </row>
    <row r="43" customFormat="false" ht="15" hidden="false" customHeight="false" outlineLevel="0" collapsed="false">
      <c r="B43" s="42" t="n">
        <v>34</v>
      </c>
      <c r="C43" s="9" t="s">
        <v>272</v>
      </c>
      <c r="D43" s="9" t="s">
        <v>313</v>
      </c>
      <c r="E43" s="14" t="n">
        <v>10.93</v>
      </c>
      <c r="F43" s="48" t="n">
        <f aca="false">Improved_Sales!$M$6</f>
        <v>10.9342372881356</v>
      </c>
      <c r="G43" s="46" t="n">
        <f aca="false">IFERROR(IF(ISNUMBER(F43),F43-E43,"n/a"),"n/a")</f>
        <v>0.00423728813559343</v>
      </c>
      <c r="H43" s="47" t="n">
        <v>0.005000001</v>
      </c>
      <c r="I43" s="41" t="str">
        <f aca="false">IFERROR(IF(ISNUMBER(F43),IF(ABS(F43-E43)&lt;=H43,"PASS","FAIL"),"FAIL"),"FAIL")</f>
        <v>PASS</v>
      </c>
    </row>
    <row r="44" customFormat="false" ht="15" hidden="false" customHeight="false" outlineLevel="0" collapsed="false">
      <c r="B44" s="42" t="n">
        <v>35</v>
      </c>
      <c r="C44" s="9" t="s">
        <v>272</v>
      </c>
      <c r="D44" s="9" t="s">
        <v>314</v>
      </c>
      <c r="E44" s="12" t="n">
        <v>60</v>
      </c>
      <c r="F44" s="24" t="n">
        <f aca="false">Improved_Sales!$D$7</f>
        <v>60</v>
      </c>
      <c r="G44" s="46" t="n">
        <f aca="false">IFERROR(IF(ISNUMBER(F44),F44-E44,"n/a"),"n/a")</f>
        <v>0</v>
      </c>
      <c r="H44" s="47" t="n">
        <v>0.500000001</v>
      </c>
      <c r="I44" s="41" t="str">
        <f aca="false">IFERROR(IF(ISNUMBER(F44),IF(ABS(F44-E44)&lt;=H44,"PASS","FAIL"),"FAIL"),"FAIL")</f>
        <v>PASS</v>
      </c>
    </row>
    <row r="45" customFormat="false" ht="15" hidden="false" customHeight="false" outlineLevel="0" collapsed="false">
      <c r="B45" s="42" t="n">
        <v>36</v>
      </c>
      <c r="C45" s="9" t="s">
        <v>272</v>
      </c>
      <c r="D45" s="9" t="s">
        <v>315</v>
      </c>
      <c r="E45" s="12" t="n">
        <v>1996</v>
      </c>
      <c r="F45" s="24" t="n">
        <f aca="false">Improved_Sales!$E$7</f>
        <v>1996</v>
      </c>
      <c r="G45" s="46" t="n">
        <f aca="false">IFERROR(IF(ISNUMBER(F45),F45-E45,"n/a"),"n/a")</f>
        <v>0</v>
      </c>
      <c r="H45" s="47" t="n">
        <v>0.500000001</v>
      </c>
      <c r="I45" s="41" t="str">
        <f aca="false">IFERROR(IF(ISNUMBER(F45),IF(ABS(F45-E45)&lt;=H45,"PASS","FAIL"),"FAIL"),"FAIL")</f>
        <v>PASS</v>
      </c>
    </row>
    <row r="46" customFormat="false" ht="15" hidden="false" customHeight="false" outlineLevel="0" collapsed="false">
      <c r="B46" s="42" t="n">
        <v>37</v>
      </c>
      <c r="C46" s="9" t="s">
        <v>272</v>
      </c>
      <c r="D46" s="9" t="s">
        <v>316</v>
      </c>
      <c r="E46" s="12" t="n">
        <v>8</v>
      </c>
      <c r="F46" s="24" t="n">
        <f aca="false">Improved_Sales!$F$7</f>
        <v>8</v>
      </c>
      <c r="G46" s="46" t="n">
        <f aca="false">IFERROR(IF(ISNUMBER(F46),F46-E46,"n/a"),"n/a")</f>
        <v>0</v>
      </c>
      <c r="H46" s="47" t="n">
        <v>0.500000001</v>
      </c>
      <c r="I46" s="41" t="str">
        <f aca="false">IFERROR(IF(ISNUMBER(F46),IF(ABS(F46-E46)&lt;=H46,"PASS","FAIL"),"FAIL"),"FAIL")</f>
        <v>PASS</v>
      </c>
    </row>
    <row r="47" customFormat="false" ht="15" hidden="false" customHeight="false" outlineLevel="0" collapsed="false">
      <c r="B47" s="42" t="n">
        <v>38</v>
      </c>
      <c r="C47" s="9" t="s">
        <v>272</v>
      </c>
      <c r="D47" s="9" t="s">
        <v>317</v>
      </c>
      <c r="E47" s="12" t="n">
        <v>8280000</v>
      </c>
      <c r="F47" s="24" t="n">
        <f aca="false">Improved_Sales!$G$7</f>
        <v>8280000</v>
      </c>
      <c r="G47" s="46" t="n">
        <f aca="false">IFERROR(IF(ISNUMBER(F47),F47-E47,"n/a"),"n/a")</f>
        <v>0</v>
      </c>
      <c r="H47" s="47" t="n">
        <v>0.500000001</v>
      </c>
      <c r="I47" s="41" t="str">
        <f aca="false">IFERROR(IF(ISNUMBER(F47),IF(ABS(F47-E47)&lt;=H47,"PASS","FAIL"),"FAIL"),"FAIL")</f>
        <v>PASS</v>
      </c>
    </row>
    <row r="48" customFormat="false" ht="15" hidden="false" customHeight="false" outlineLevel="0" collapsed="false">
      <c r="B48" s="42" t="n">
        <v>39</v>
      </c>
      <c r="C48" s="9" t="s">
        <v>272</v>
      </c>
      <c r="D48" s="9" t="s">
        <v>318</v>
      </c>
      <c r="E48" s="12" t="n">
        <v>138000</v>
      </c>
      <c r="F48" s="24" t="n">
        <f aca="false">Improved_Sales!$H$7</f>
        <v>138000</v>
      </c>
      <c r="G48" s="46" t="n">
        <f aca="false">IFERROR(IF(ISNUMBER(F48),F48-E48,"n/a"),"n/a")</f>
        <v>0</v>
      </c>
      <c r="H48" s="47" t="n">
        <v>0.500000001</v>
      </c>
      <c r="I48" s="41" t="str">
        <f aca="false">IFERROR(IF(ISNUMBER(F48),IF(ABS(F48-E48)&lt;=H48,"PASS","FAIL"),"FAIL"),"FAIL")</f>
        <v>PASS</v>
      </c>
    </row>
    <row r="49" customFormat="false" ht="15" hidden="false" customHeight="false" outlineLevel="0" collapsed="false">
      <c r="B49" s="42" t="n">
        <v>40</v>
      </c>
      <c r="C49" s="9" t="s">
        <v>272</v>
      </c>
      <c r="D49" s="9" t="s">
        <v>319</v>
      </c>
      <c r="E49" s="12" t="n">
        <v>880</v>
      </c>
      <c r="F49" s="24" t="n">
        <f aca="false">Improved_Sales!$I$7</f>
        <v>880</v>
      </c>
      <c r="G49" s="46" t="n">
        <f aca="false">IFERROR(IF(ISNUMBER(F49),F49-E49,"n/a"),"n/a")</f>
        <v>0</v>
      </c>
      <c r="H49" s="47" t="n">
        <v>0.500000001</v>
      </c>
      <c r="I49" s="41" t="str">
        <f aca="false">IFERROR(IF(ISNUMBER(F49),IF(ABS(F49-E49)&lt;=H49,"PASS","FAIL"),"FAIL"),"FAIL")</f>
        <v>PASS</v>
      </c>
    </row>
    <row r="50" customFormat="false" ht="15" hidden="false" customHeight="false" outlineLevel="0" collapsed="false">
      <c r="B50" s="42" t="n">
        <v>41</v>
      </c>
      <c r="C50" s="9" t="s">
        <v>272</v>
      </c>
      <c r="D50" s="9" t="s">
        <v>320</v>
      </c>
      <c r="E50" s="14" t="n">
        <v>156.82</v>
      </c>
      <c r="F50" s="48" t="n">
        <f aca="false">Improved_Sales!$J$7</f>
        <v>156.818181818182</v>
      </c>
      <c r="G50" s="46" t="n">
        <f aca="false">IFERROR(IF(ISNUMBER(F50),F50-E50,"n/a"),"n/a")</f>
        <v>-0.00181818181818016</v>
      </c>
      <c r="H50" s="47" t="n">
        <v>0.005000001</v>
      </c>
      <c r="I50" s="41" t="str">
        <f aca="false">IFERROR(IF(ISNUMBER(F50),IF(ABS(F50-E50)&lt;=H50,"PASS","FAIL"),"FAIL"),"FAIL")</f>
        <v>PASS</v>
      </c>
    </row>
    <row r="51" customFormat="false" ht="15" hidden="false" customHeight="false" outlineLevel="0" collapsed="false">
      <c r="B51" s="42" t="n">
        <v>42</v>
      </c>
      <c r="C51" s="9" t="s">
        <v>272</v>
      </c>
      <c r="D51" s="9" t="s">
        <v>321</v>
      </c>
      <c r="E51" s="12" t="n">
        <v>527000</v>
      </c>
      <c r="F51" s="24" t="n">
        <f aca="false">Improved_Sales!$K$7</f>
        <v>527000</v>
      </c>
      <c r="G51" s="46" t="n">
        <f aca="false">IFERROR(IF(ISNUMBER(F51),F51-E51,"n/a"),"n/a")</f>
        <v>0</v>
      </c>
      <c r="H51" s="47" t="n">
        <v>0.500000001</v>
      </c>
      <c r="I51" s="41" t="str">
        <f aca="false">IFERROR(IF(ISNUMBER(F51),IF(ABS(F51-E51)&lt;=H51,"PASS","FAIL"),"FAIL"),"FAIL")</f>
        <v>PASS</v>
      </c>
    </row>
    <row r="52" customFormat="false" ht="15" hidden="false" customHeight="false" outlineLevel="0" collapsed="false">
      <c r="B52" s="42" t="n">
        <v>43</v>
      </c>
      <c r="C52" s="9" t="s">
        <v>272</v>
      </c>
      <c r="D52" s="9" t="s">
        <v>322</v>
      </c>
      <c r="E52" s="12" t="n">
        <v>823438</v>
      </c>
      <c r="F52" s="24" t="n">
        <f aca="false">Improved_Sales!$L$7</f>
        <v>823437.5</v>
      </c>
      <c r="G52" s="46" t="n">
        <f aca="false">IFERROR(IF(ISNUMBER(F52),F52-E52,"n/a"),"n/a")</f>
        <v>-0.5</v>
      </c>
      <c r="H52" s="47" t="n">
        <v>0.500000001</v>
      </c>
      <c r="I52" s="41" t="str">
        <f aca="false">IFERROR(IF(ISNUMBER(F52),IF(ABS(F52-E52)&lt;=H52,"PASS","FAIL"),"FAIL"),"FAIL")</f>
        <v>PASS</v>
      </c>
    </row>
    <row r="53" customFormat="false" ht="15" hidden="false" customHeight="false" outlineLevel="0" collapsed="false">
      <c r="B53" s="42" t="n">
        <v>44</v>
      </c>
      <c r="C53" s="9" t="s">
        <v>272</v>
      </c>
      <c r="D53" s="9" t="s">
        <v>323</v>
      </c>
      <c r="E53" s="14" t="n">
        <v>10.06</v>
      </c>
      <c r="F53" s="48" t="n">
        <f aca="false">Improved_Sales!$M$7</f>
        <v>10.0554079696395</v>
      </c>
      <c r="G53" s="46" t="n">
        <f aca="false">IFERROR(IF(ISNUMBER(F53),F53-E53,"n/a"),"n/a")</f>
        <v>-0.00459203036053246</v>
      </c>
      <c r="H53" s="47" t="n">
        <v>0.005000001</v>
      </c>
      <c r="I53" s="41" t="str">
        <f aca="false">IFERROR(IF(ISNUMBER(F53),IF(ABS(F53-E53)&lt;=H53,"PASS","FAIL"),"FAIL"),"FAIL")</f>
        <v>PASS</v>
      </c>
    </row>
    <row r="54" customFormat="false" ht="15" hidden="false" customHeight="false" outlineLevel="0" collapsed="false">
      <c r="B54" s="42" t="n">
        <v>45</v>
      </c>
      <c r="C54" s="9" t="s">
        <v>272</v>
      </c>
      <c r="D54" s="9" t="s">
        <v>324</v>
      </c>
      <c r="E54" s="12" t="n">
        <v>84</v>
      </c>
      <c r="F54" s="24" t="n">
        <f aca="false">Improved_Sales!$D$8</f>
        <v>84</v>
      </c>
      <c r="G54" s="46" t="n">
        <f aca="false">IFERROR(IF(ISNUMBER(F54),F54-E54,"n/a"),"n/a")</f>
        <v>0</v>
      </c>
      <c r="H54" s="47" t="n">
        <v>0.500000001</v>
      </c>
      <c r="I54" s="41" t="str">
        <f aca="false">IFERROR(IF(ISNUMBER(F54),IF(ABS(F54-E54)&lt;=H54,"PASS","FAIL"),"FAIL"),"FAIL")</f>
        <v>PASS</v>
      </c>
    </row>
    <row r="55" customFormat="false" ht="15" hidden="false" customHeight="false" outlineLevel="0" collapsed="false">
      <c r="B55" s="42" t="n">
        <v>46</v>
      </c>
      <c r="C55" s="9" t="s">
        <v>272</v>
      </c>
      <c r="D55" s="9" t="s">
        <v>325</v>
      </c>
      <c r="E55" s="12" t="n">
        <v>2003</v>
      </c>
      <c r="F55" s="24" t="n">
        <f aca="false">Improved_Sales!$E$8</f>
        <v>2003</v>
      </c>
      <c r="G55" s="46" t="n">
        <f aca="false">IFERROR(IF(ISNUMBER(F55),F55-E55,"n/a"),"n/a")</f>
        <v>0</v>
      </c>
      <c r="H55" s="47" t="n">
        <v>0.500000001</v>
      </c>
      <c r="I55" s="41" t="str">
        <f aca="false">IFERROR(IF(ISNUMBER(F55),IF(ABS(F55-E55)&lt;=H55,"PASS","FAIL"),"FAIL"),"FAIL")</f>
        <v>PASS</v>
      </c>
    </row>
    <row r="56" customFormat="false" ht="15" hidden="false" customHeight="false" outlineLevel="0" collapsed="false">
      <c r="B56" s="42" t="n">
        <v>47</v>
      </c>
      <c r="C56" s="9" t="s">
        <v>272</v>
      </c>
      <c r="D56" s="9" t="s">
        <v>326</v>
      </c>
      <c r="E56" s="12" t="n">
        <v>11</v>
      </c>
      <c r="F56" s="24" t="n">
        <f aca="false">Improved_Sales!$F$8</f>
        <v>11</v>
      </c>
      <c r="G56" s="46" t="n">
        <f aca="false">IFERROR(IF(ISNUMBER(F56),F56-E56,"n/a"),"n/a")</f>
        <v>0</v>
      </c>
      <c r="H56" s="47" t="n">
        <v>0.500000001</v>
      </c>
      <c r="I56" s="41" t="str">
        <f aca="false">IFERROR(IF(ISNUMBER(F56),IF(ABS(F56-E56)&lt;=H56,"PASS","FAIL"),"FAIL"),"FAIL")</f>
        <v>PASS</v>
      </c>
    </row>
    <row r="57" customFormat="false" ht="15" hidden="false" customHeight="false" outlineLevel="0" collapsed="false">
      <c r="B57" s="42" t="n">
        <v>48</v>
      </c>
      <c r="C57" s="9" t="s">
        <v>272</v>
      </c>
      <c r="D57" s="9" t="s">
        <v>327</v>
      </c>
      <c r="E57" s="12" t="n">
        <v>16128000</v>
      </c>
      <c r="F57" s="24" t="n">
        <f aca="false">Improved_Sales!$G$8</f>
        <v>16128000</v>
      </c>
      <c r="G57" s="46" t="n">
        <f aca="false">IFERROR(IF(ISNUMBER(F57),F57-E57,"n/a"),"n/a")</f>
        <v>0</v>
      </c>
      <c r="H57" s="47" t="n">
        <v>0.500000001</v>
      </c>
      <c r="I57" s="41" t="str">
        <f aca="false">IFERROR(IF(ISNUMBER(F57),IF(ABS(F57-E57)&lt;=H57,"PASS","FAIL"),"FAIL"),"FAIL")</f>
        <v>PASS</v>
      </c>
    </row>
    <row r="58" customFormat="false" ht="15" hidden="false" customHeight="false" outlineLevel="0" collapsed="false">
      <c r="B58" s="42" t="n">
        <v>49</v>
      </c>
      <c r="C58" s="9" t="s">
        <v>272</v>
      </c>
      <c r="D58" s="9" t="s">
        <v>328</v>
      </c>
      <c r="E58" s="12" t="n">
        <v>192000</v>
      </c>
      <c r="F58" s="24" t="n">
        <f aca="false">Improved_Sales!$H$8</f>
        <v>192000</v>
      </c>
      <c r="G58" s="46" t="n">
        <f aca="false">IFERROR(IF(ISNUMBER(F58),F58-E58,"n/a"),"n/a")</f>
        <v>0</v>
      </c>
      <c r="H58" s="47" t="n">
        <v>0.500000001</v>
      </c>
      <c r="I58" s="41" t="str">
        <f aca="false">IFERROR(IF(ISNUMBER(F58),IF(ABS(F58-E58)&lt;=H58,"PASS","FAIL"),"FAIL"),"FAIL")</f>
        <v>PASS</v>
      </c>
    </row>
    <row r="59" customFormat="false" ht="15" hidden="false" customHeight="false" outlineLevel="0" collapsed="false">
      <c r="B59" s="42" t="n">
        <v>50</v>
      </c>
      <c r="C59" s="9" t="s">
        <v>272</v>
      </c>
      <c r="D59" s="9" t="s">
        <v>329</v>
      </c>
      <c r="E59" s="12" t="n">
        <v>925</v>
      </c>
      <c r="F59" s="24" t="n">
        <f aca="false">Improved_Sales!$I$8</f>
        <v>925</v>
      </c>
      <c r="G59" s="46" t="n">
        <f aca="false">IFERROR(IF(ISNUMBER(F59),F59-E59,"n/a"),"n/a")</f>
        <v>0</v>
      </c>
      <c r="H59" s="47" t="n">
        <v>0.500000001</v>
      </c>
      <c r="I59" s="41" t="str">
        <f aca="false">IFERROR(IF(ISNUMBER(F59),IF(ABS(F59-E59)&lt;=H59,"PASS","FAIL"),"FAIL"),"FAIL")</f>
        <v>PASS</v>
      </c>
    </row>
    <row r="60" customFormat="false" ht="15" hidden="false" customHeight="false" outlineLevel="0" collapsed="false">
      <c r="B60" s="42" t="n">
        <v>51</v>
      </c>
      <c r="C60" s="9" t="s">
        <v>272</v>
      </c>
      <c r="D60" s="9" t="s">
        <v>330</v>
      </c>
      <c r="E60" s="14" t="n">
        <v>207.57</v>
      </c>
      <c r="F60" s="48" t="n">
        <f aca="false">Improved_Sales!$J$8</f>
        <v>207.567567567568</v>
      </c>
      <c r="G60" s="46" t="n">
        <f aca="false">IFERROR(IF(ISNUMBER(F60),F60-E60,"n/a"),"n/a")</f>
        <v>-0.00243243243241409</v>
      </c>
      <c r="H60" s="47" t="n">
        <v>0.005000001</v>
      </c>
      <c r="I60" s="41" t="str">
        <f aca="false">IFERROR(IF(ISNUMBER(F60),IF(ABS(F60-E60)&lt;=H60,"PASS","FAIL"),"FAIL"),"FAIL")</f>
        <v>PASS</v>
      </c>
    </row>
    <row r="61" customFormat="false" ht="15" hidden="false" customHeight="false" outlineLevel="0" collapsed="false">
      <c r="B61" s="42" t="n">
        <v>52</v>
      </c>
      <c r="C61" s="9" t="s">
        <v>272</v>
      </c>
      <c r="D61" s="9" t="s">
        <v>331</v>
      </c>
      <c r="E61" s="12" t="n">
        <v>928000</v>
      </c>
      <c r="F61" s="24" t="n">
        <f aca="false">Improved_Sales!$K$8</f>
        <v>928000</v>
      </c>
      <c r="G61" s="46" t="n">
        <f aca="false">IFERROR(IF(ISNUMBER(F61),F61-E61,"n/a"),"n/a")</f>
        <v>0</v>
      </c>
      <c r="H61" s="47" t="n">
        <v>0.500000001</v>
      </c>
      <c r="I61" s="41" t="str">
        <f aca="false">IFERROR(IF(ISNUMBER(F61),IF(ABS(F61-E61)&lt;=H61,"PASS","FAIL"),"FAIL"),"FAIL")</f>
        <v>PASS</v>
      </c>
    </row>
    <row r="62" customFormat="false" ht="15" hidden="false" customHeight="false" outlineLevel="0" collapsed="false">
      <c r="B62" s="42" t="n">
        <v>53</v>
      </c>
      <c r="C62" s="9" t="s">
        <v>272</v>
      </c>
      <c r="D62" s="9" t="s">
        <v>332</v>
      </c>
      <c r="E62" s="12" t="n">
        <v>1450000</v>
      </c>
      <c r="F62" s="24" t="n">
        <f aca="false">Improved_Sales!$L$8</f>
        <v>1450000</v>
      </c>
      <c r="G62" s="46" t="n">
        <f aca="false">IFERROR(IF(ISNUMBER(F62),F62-E62,"n/a"),"n/a")</f>
        <v>0</v>
      </c>
      <c r="H62" s="47" t="n">
        <v>0.500000001</v>
      </c>
      <c r="I62" s="41" t="str">
        <f aca="false">IFERROR(IF(ISNUMBER(F62),IF(ABS(F62-E62)&lt;=H62,"PASS","FAIL"),"FAIL"),"FAIL")</f>
        <v>PASS</v>
      </c>
    </row>
    <row r="63" customFormat="false" ht="15" hidden="false" customHeight="false" outlineLevel="0" collapsed="false">
      <c r="B63" s="42" t="n">
        <v>54</v>
      </c>
      <c r="C63" s="9" t="s">
        <v>272</v>
      </c>
      <c r="D63" s="9" t="s">
        <v>333</v>
      </c>
      <c r="E63" s="14" t="n">
        <v>11.12</v>
      </c>
      <c r="F63" s="48" t="n">
        <f aca="false">Improved_Sales!$M$8</f>
        <v>11.1227586206897</v>
      </c>
      <c r="G63" s="46" t="n">
        <f aca="false">IFERROR(IF(ISNUMBER(F63),F63-E63,"n/a"),"n/a")</f>
        <v>0.00275862068965616</v>
      </c>
      <c r="H63" s="47" t="n">
        <v>0.005000001</v>
      </c>
      <c r="I63" s="41" t="str">
        <f aca="false">IFERROR(IF(ISNUMBER(F63),IF(ABS(F63-E63)&lt;=H63,"PASS","FAIL"),"FAIL"),"FAIL")</f>
        <v>PASS</v>
      </c>
    </row>
    <row r="64" customFormat="false" ht="15" hidden="false" customHeight="false" outlineLevel="0" collapsed="false">
      <c r="B64" s="42" t="n">
        <v>55</v>
      </c>
      <c r="C64" s="9" t="s">
        <v>272</v>
      </c>
      <c r="D64" s="9" t="s">
        <v>334</v>
      </c>
      <c r="E64" s="12" t="n">
        <v>72</v>
      </c>
      <c r="F64" s="24" t="n">
        <f aca="false">Improved_Sales!$D$9</f>
        <v>72</v>
      </c>
      <c r="G64" s="46" t="n">
        <f aca="false">IFERROR(IF(ISNUMBER(F64),F64-E64,"n/a"),"n/a")</f>
        <v>0</v>
      </c>
      <c r="H64" s="47" t="n">
        <v>0.500000001</v>
      </c>
      <c r="I64" s="41" t="str">
        <f aca="false">IFERROR(IF(ISNUMBER(F64),IF(ABS(F64-E64)&lt;=H64,"PASS","FAIL"),"FAIL"),"FAIL")</f>
        <v>PASS</v>
      </c>
    </row>
    <row r="65" customFormat="false" ht="15" hidden="false" customHeight="false" outlineLevel="0" collapsed="false">
      <c r="B65" s="42" t="n">
        <v>56</v>
      </c>
      <c r="C65" s="9" t="s">
        <v>272</v>
      </c>
      <c r="D65" s="9" t="s">
        <v>335</v>
      </c>
      <c r="E65" s="12" t="n">
        <v>1998</v>
      </c>
      <c r="F65" s="24" t="n">
        <f aca="false">Improved_Sales!$E$9</f>
        <v>1998</v>
      </c>
      <c r="G65" s="46" t="n">
        <f aca="false">IFERROR(IF(ISNUMBER(F65),F65-E65,"n/a"),"n/a")</f>
        <v>0</v>
      </c>
      <c r="H65" s="47" t="n">
        <v>0.500000001</v>
      </c>
      <c r="I65" s="41" t="str">
        <f aca="false">IFERROR(IF(ISNUMBER(F65),IF(ABS(F65-E65)&lt;=H65,"PASS","FAIL"),"FAIL"),"FAIL")</f>
        <v>PASS</v>
      </c>
    </row>
    <row r="66" customFormat="false" ht="15" hidden="false" customHeight="false" outlineLevel="0" collapsed="false">
      <c r="B66" s="42" t="n">
        <v>57</v>
      </c>
      <c r="C66" s="9" t="s">
        <v>272</v>
      </c>
      <c r="D66" s="9" t="s">
        <v>336</v>
      </c>
      <c r="E66" s="12" t="n">
        <v>5</v>
      </c>
      <c r="F66" s="24" t="n">
        <f aca="false">Improved_Sales!$F$9</f>
        <v>5</v>
      </c>
      <c r="G66" s="46" t="n">
        <f aca="false">IFERROR(IF(ISNUMBER(F66),F66-E66,"n/a"),"n/a")</f>
        <v>0</v>
      </c>
      <c r="H66" s="47" t="n">
        <v>0.500000001</v>
      </c>
      <c r="I66" s="41" t="str">
        <f aca="false">IFERROR(IF(ISNUMBER(F66),IF(ABS(F66-E66)&lt;=H66,"PASS","FAIL"),"FAIL"),"FAIL")</f>
        <v>PASS</v>
      </c>
    </row>
    <row r="67" customFormat="false" ht="15" hidden="false" customHeight="false" outlineLevel="0" collapsed="false">
      <c r="B67" s="42" t="n">
        <v>58</v>
      </c>
      <c r="C67" s="9" t="s">
        <v>272</v>
      </c>
      <c r="D67" s="9" t="s">
        <v>337</v>
      </c>
      <c r="E67" s="12" t="n">
        <v>11214000</v>
      </c>
      <c r="F67" s="24" t="n">
        <f aca="false">Improved_Sales!$G$9</f>
        <v>11214000</v>
      </c>
      <c r="G67" s="46" t="n">
        <f aca="false">IFERROR(IF(ISNUMBER(F67),F67-E67,"n/a"),"n/a")</f>
        <v>0</v>
      </c>
      <c r="H67" s="47" t="n">
        <v>0.500000001</v>
      </c>
      <c r="I67" s="41" t="str">
        <f aca="false">IFERROR(IF(ISNUMBER(F67),IF(ABS(F67-E67)&lt;=H67,"PASS","FAIL"),"FAIL"),"FAIL")</f>
        <v>PASS</v>
      </c>
    </row>
    <row r="68" customFormat="false" ht="15" hidden="false" customHeight="false" outlineLevel="0" collapsed="false">
      <c r="B68" s="42" t="n">
        <v>59</v>
      </c>
      <c r="C68" s="9" t="s">
        <v>272</v>
      </c>
      <c r="D68" s="9" t="s">
        <v>338</v>
      </c>
      <c r="E68" s="12" t="n">
        <v>155750</v>
      </c>
      <c r="F68" s="24" t="n">
        <f aca="false">Improved_Sales!$H$9</f>
        <v>155750</v>
      </c>
      <c r="G68" s="46" t="n">
        <f aca="false">IFERROR(IF(ISNUMBER(F68),F68-E68,"n/a"),"n/a")</f>
        <v>0</v>
      </c>
      <c r="H68" s="47" t="n">
        <v>0.500000001</v>
      </c>
      <c r="I68" s="41" t="str">
        <f aca="false">IFERROR(IF(ISNUMBER(F68),IF(ABS(F68-E68)&lt;=H68,"PASS","FAIL"),"FAIL"),"FAIL")</f>
        <v>PASS</v>
      </c>
    </row>
    <row r="69" customFormat="false" ht="15" hidden="false" customHeight="false" outlineLevel="0" collapsed="false">
      <c r="B69" s="42" t="n">
        <v>60</v>
      </c>
      <c r="C69" s="9" t="s">
        <v>272</v>
      </c>
      <c r="D69" s="9" t="s">
        <v>339</v>
      </c>
      <c r="E69" s="12" t="n">
        <v>890</v>
      </c>
      <c r="F69" s="24" t="n">
        <f aca="false">Improved_Sales!$I$9</f>
        <v>890</v>
      </c>
      <c r="G69" s="46" t="n">
        <f aca="false">IFERROR(IF(ISNUMBER(F69),F69-E69,"n/a"),"n/a")</f>
        <v>0</v>
      </c>
      <c r="H69" s="47" t="n">
        <v>0.500000001</v>
      </c>
      <c r="I69" s="41" t="str">
        <f aca="false">IFERROR(IF(ISNUMBER(F69),IF(ABS(F69-E69)&lt;=H69,"PASS","FAIL"),"FAIL"),"FAIL")</f>
        <v>PASS</v>
      </c>
    </row>
    <row r="70" customFormat="false" ht="15" hidden="false" customHeight="false" outlineLevel="0" collapsed="false">
      <c r="B70" s="42" t="n">
        <v>61</v>
      </c>
      <c r="C70" s="9" t="s">
        <v>272</v>
      </c>
      <c r="D70" s="9" t="s">
        <v>340</v>
      </c>
      <c r="E70" s="14" t="n">
        <v>175</v>
      </c>
      <c r="F70" s="48" t="n">
        <f aca="false">Improved_Sales!$J$9</f>
        <v>175</v>
      </c>
      <c r="G70" s="46" t="n">
        <f aca="false">IFERROR(IF(ISNUMBER(F70),F70-E70,"n/a"),"n/a")</f>
        <v>0</v>
      </c>
      <c r="H70" s="47" t="n">
        <v>0.005000001</v>
      </c>
      <c r="I70" s="41" t="str">
        <f aca="false">IFERROR(IF(ISNUMBER(F70),IF(ABS(F70-E70)&lt;=H70,"PASS","FAIL"),"FAIL"),"FAIL")</f>
        <v>PASS</v>
      </c>
    </row>
    <row r="71" customFormat="false" ht="15" hidden="false" customHeight="false" outlineLevel="0" collapsed="false">
      <c r="B71" s="42" t="n">
        <v>62</v>
      </c>
      <c r="C71" s="9" t="s">
        <v>272</v>
      </c>
      <c r="D71" s="9" t="s">
        <v>341</v>
      </c>
      <c r="E71" s="12" t="n">
        <v>689000</v>
      </c>
      <c r="F71" s="24" t="n">
        <f aca="false">Improved_Sales!$K$9</f>
        <v>689000</v>
      </c>
      <c r="G71" s="46" t="n">
        <f aca="false">IFERROR(IF(ISNUMBER(F71),F71-E71,"n/a"),"n/a")</f>
        <v>0</v>
      </c>
      <c r="H71" s="47" t="n">
        <v>0.500000001</v>
      </c>
      <c r="I71" s="41" t="str">
        <f aca="false">IFERROR(IF(ISNUMBER(F71),IF(ABS(F71-E71)&lt;=H71,"PASS","FAIL"),"FAIL"),"FAIL")</f>
        <v>PASS</v>
      </c>
    </row>
    <row r="72" customFormat="false" ht="15" hidden="false" customHeight="false" outlineLevel="0" collapsed="false">
      <c r="B72" s="42" t="n">
        <v>63</v>
      </c>
      <c r="C72" s="9" t="s">
        <v>272</v>
      </c>
      <c r="D72" s="9" t="s">
        <v>342</v>
      </c>
      <c r="E72" s="12" t="n">
        <v>1076563</v>
      </c>
      <c r="F72" s="24" t="n">
        <f aca="false">Improved_Sales!$L$9</f>
        <v>1076562.5</v>
      </c>
      <c r="G72" s="46" t="n">
        <f aca="false">IFERROR(IF(ISNUMBER(F72),F72-E72,"n/a"),"n/a")</f>
        <v>-0.5</v>
      </c>
      <c r="H72" s="47" t="n">
        <v>0.500000001</v>
      </c>
      <c r="I72" s="41" t="str">
        <f aca="false">IFERROR(IF(ISNUMBER(F72),IF(ABS(F72-E72)&lt;=H72,"PASS","FAIL"),"FAIL"),"FAIL")</f>
        <v>PASS</v>
      </c>
    </row>
    <row r="73" customFormat="false" ht="15" hidden="false" customHeight="false" outlineLevel="0" collapsed="false">
      <c r="B73" s="42" t="n">
        <v>64</v>
      </c>
      <c r="C73" s="9" t="s">
        <v>272</v>
      </c>
      <c r="D73" s="9" t="s">
        <v>343</v>
      </c>
      <c r="E73" s="14" t="n">
        <v>10.42</v>
      </c>
      <c r="F73" s="48" t="n">
        <f aca="false">Improved_Sales!$M$9</f>
        <v>10.4164876632801</v>
      </c>
      <c r="G73" s="46" t="n">
        <f aca="false">IFERROR(IF(ISNUMBER(F73),F73-E73,"n/a"),"n/a")</f>
        <v>-0.0035123367198846</v>
      </c>
      <c r="H73" s="47" t="n">
        <v>0.005000001</v>
      </c>
      <c r="I73" s="41" t="str">
        <f aca="false">IFERROR(IF(ISNUMBER(F73),IF(ABS(F73-E73)&lt;=H73,"PASS","FAIL"),"FAIL"),"FAIL")</f>
        <v>PASS</v>
      </c>
    </row>
    <row r="74" customFormat="false" ht="15" hidden="false" customHeight="false" outlineLevel="0" collapsed="false">
      <c r="B74" s="42" t="n">
        <v>65</v>
      </c>
      <c r="C74" s="9" t="s">
        <v>272</v>
      </c>
      <c r="D74" s="9" t="s">
        <v>344</v>
      </c>
      <c r="E74" s="12" t="n">
        <v>120</v>
      </c>
      <c r="F74" s="24" t="n">
        <f aca="false">Improved_Sales!$D$10</f>
        <v>120</v>
      </c>
      <c r="G74" s="46" t="n">
        <f aca="false">IFERROR(IF(ISNUMBER(F74),F74-E74,"n/a"),"n/a")</f>
        <v>0</v>
      </c>
      <c r="H74" s="47" t="n">
        <v>0.500000001</v>
      </c>
      <c r="I74" s="41" t="str">
        <f aca="false">IFERROR(IF(ISNUMBER(F74),IF(ABS(F74-E74)&lt;=H74,"PASS","FAIL"),"FAIL"),"FAIL")</f>
        <v>PASS</v>
      </c>
    </row>
    <row r="75" customFormat="false" ht="15" hidden="false" customHeight="false" outlineLevel="0" collapsed="false">
      <c r="B75" s="42" t="n">
        <v>66</v>
      </c>
      <c r="C75" s="9" t="s">
        <v>272</v>
      </c>
      <c r="D75" s="9" t="s">
        <v>345</v>
      </c>
      <c r="E75" s="12" t="n">
        <v>1999</v>
      </c>
      <c r="F75" s="24" t="n">
        <f aca="false">Improved_Sales!$E$10</f>
        <v>1999</v>
      </c>
      <c r="G75" s="46" t="n">
        <f aca="false">IFERROR(IF(ISNUMBER(F75),F75-E75,"n/a"),"n/a")</f>
        <v>0</v>
      </c>
      <c r="H75" s="47" t="n">
        <v>0.500000001</v>
      </c>
      <c r="I75" s="41" t="str">
        <f aca="false">IFERROR(IF(ISNUMBER(F75),IF(ABS(F75-E75)&lt;=H75,"PASS","FAIL"),"FAIL"),"FAIL")</f>
        <v>PASS</v>
      </c>
    </row>
    <row r="76" customFormat="false" ht="15" hidden="false" customHeight="false" outlineLevel="0" collapsed="false">
      <c r="B76" s="42" t="n">
        <v>67</v>
      </c>
      <c r="C76" s="9" t="s">
        <v>272</v>
      </c>
      <c r="D76" s="9" t="s">
        <v>346</v>
      </c>
      <c r="E76" s="12" t="n">
        <v>14</v>
      </c>
      <c r="F76" s="24" t="n">
        <f aca="false">Improved_Sales!$F$10</f>
        <v>14</v>
      </c>
      <c r="G76" s="46" t="n">
        <f aca="false">IFERROR(IF(ISNUMBER(F76),F76-E76,"n/a"),"n/a")</f>
        <v>0</v>
      </c>
      <c r="H76" s="47" t="n">
        <v>0.500000001</v>
      </c>
      <c r="I76" s="41" t="str">
        <f aca="false">IFERROR(IF(ISNUMBER(F76),IF(ABS(F76-E76)&lt;=H76,"PASS","FAIL"),"FAIL"),"FAIL")</f>
        <v>PASS</v>
      </c>
    </row>
    <row r="77" customFormat="false" ht="15" hidden="false" customHeight="false" outlineLevel="0" collapsed="false">
      <c r="B77" s="42" t="n">
        <v>68</v>
      </c>
      <c r="C77" s="9" t="s">
        <v>272</v>
      </c>
      <c r="D77" s="9" t="s">
        <v>347</v>
      </c>
      <c r="E77" s="12" t="n">
        <v>20640000</v>
      </c>
      <c r="F77" s="24" t="n">
        <f aca="false">Improved_Sales!$G$10</f>
        <v>20640000</v>
      </c>
      <c r="G77" s="46" t="n">
        <f aca="false">IFERROR(IF(ISNUMBER(F77),F77-E77,"n/a"),"n/a")</f>
        <v>0</v>
      </c>
      <c r="H77" s="47" t="n">
        <v>0.500000001</v>
      </c>
      <c r="I77" s="41" t="str">
        <f aca="false">IFERROR(IF(ISNUMBER(F77),IF(ABS(F77-E77)&lt;=H77,"PASS","FAIL"),"FAIL"),"FAIL")</f>
        <v>PASS</v>
      </c>
    </row>
    <row r="78" customFormat="false" ht="15" hidden="false" customHeight="false" outlineLevel="0" collapsed="false">
      <c r="B78" s="42" t="n">
        <v>69</v>
      </c>
      <c r="C78" s="9" t="s">
        <v>272</v>
      </c>
      <c r="D78" s="9" t="s">
        <v>348</v>
      </c>
      <c r="E78" s="12" t="n">
        <v>172000</v>
      </c>
      <c r="F78" s="24" t="n">
        <f aca="false">Improved_Sales!$H$10</f>
        <v>172000</v>
      </c>
      <c r="G78" s="46" t="n">
        <f aca="false">IFERROR(IF(ISNUMBER(F78),F78-E78,"n/a"),"n/a")</f>
        <v>0</v>
      </c>
      <c r="H78" s="47" t="n">
        <v>0.500000001</v>
      </c>
      <c r="I78" s="41" t="str">
        <f aca="false">IFERROR(IF(ISNUMBER(F78),IF(ABS(F78-E78)&lt;=H78,"PASS","FAIL"),"FAIL"),"FAIL")</f>
        <v>PASS</v>
      </c>
    </row>
    <row r="79" customFormat="false" ht="15" hidden="false" customHeight="false" outlineLevel="0" collapsed="false">
      <c r="B79" s="42" t="n">
        <v>70</v>
      </c>
      <c r="C79" s="9" t="s">
        <v>272</v>
      </c>
      <c r="D79" s="9" t="s">
        <v>349</v>
      </c>
      <c r="E79" s="12" t="n">
        <v>870</v>
      </c>
      <c r="F79" s="24" t="n">
        <f aca="false">Improved_Sales!$I$10</f>
        <v>870</v>
      </c>
      <c r="G79" s="46" t="n">
        <f aca="false">IFERROR(IF(ISNUMBER(F79),F79-E79,"n/a"),"n/a")</f>
        <v>0</v>
      </c>
      <c r="H79" s="47" t="n">
        <v>0.500000001</v>
      </c>
      <c r="I79" s="41" t="str">
        <f aca="false">IFERROR(IF(ISNUMBER(F79),IF(ABS(F79-E79)&lt;=H79,"PASS","FAIL"),"FAIL"),"FAIL")</f>
        <v>PASS</v>
      </c>
    </row>
    <row r="80" customFormat="false" ht="15" hidden="false" customHeight="false" outlineLevel="0" collapsed="false">
      <c r="B80" s="42" t="n">
        <v>71</v>
      </c>
      <c r="C80" s="9" t="s">
        <v>272</v>
      </c>
      <c r="D80" s="9" t="s">
        <v>350</v>
      </c>
      <c r="E80" s="14" t="n">
        <v>197.7</v>
      </c>
      <c r="F80" s="48" t="n">
        <f aca="false">Improved_Sales!$J$10</f>
        <v>197.701149425287</v>
      </c>
      <c r="G80" s="46" t="n">
        <f aca="false">IFERROR(IF(ISNUMBER(F80),F80-E80,"n/a"),"n/a")</f>
        <v>0.00114942528736606</v>
      </c>
      <c r="H80" s="47" t="n">
        <v>0.005000001</v>
      </c>
      <c r="I80" s="41" t="str">
        <f aca="false">IFERROR(IF(ISNUMBER(F80),IF(ABS(F80-E80)&lt;=H80,"PASS","FAIL"),"FAIL"),"FAIL")</f>
        <v>PASS</v>
      </c>
    </row>
    <row r="81" customFormat="false" ht="15" hidden="false" customHeight="false" outlineLevel="0" collapsed="false">
      <c r="B81" s="42" t="n">
        <v>72</v>
      </c>
      <c r="C81" s="9" t="s">
        <v>272</v>
      </c>
      <c r="D81" s="9" t="s">
        <v>351</v>
      </c>
      <c r="E81" s="12" t="n">
        <v>1243000</v>
      </c>
      <c r="F81" s="24" t="n">
        <f aca="false">Improved_Sales!$K$10</f>
        <v>1243000</v>
      </c>
      <c r="G81" s="46" t="n">
        <f aca="false">IFERROR(IF(ISNUMBER(F81),F81-E81,"n/a"),"n/a")</f>
        <v>0</v>
      </c>
      <c r="H81" s="47" t="n">
        <v>0.500000001</v>
      </c>
      <c r="I81" s="41" t="str">
        <f aca="false">IFERROR(IF(ISNUMBER(F81),IF(ABS(F81-E81)&lt;=H81,"PASS","FAIL"),"FAIL"),"FAIL")</f>
        <v>PASS</v>
      </c>
    </row>
    <row r="82" customFormat="false" ht="15" hidden="false" customHeight="false" outlineLevel="0" collapsed="false">
      <c r="B82" s="42" t="n">
        <v>73</v>
      </c>
      <c r="C82" s="9" t="s">
        <v>272</v>
      </c>
      <c r="D82" s="9" t="s">
        <v>352</v>
      </c>
      <c r="E82" s="12" t="n">
        <v>1942188</v>
      </c>
      <c r="F82" s="24" t="n">
        <f aca="false">Improved_Sales!$L$10</f>
        <v>1942187.5</v>
      </c>
      <c r="G82" s="46" t="n">
        <f aca="false">IFERROR(IF(ISNUMBER(F82),F82-E82,"n/a"),"n/a")</f>
        <v>-0.5</v>
      </c>
      <c r="H82" s="47" t="n">
        <v>0.500000001</v>
      </c>
      <c r="I82" s="41" t="str">
        <f aca="false">IFERROR(IF(ISNUMBER(F82),IF(ABS(F82-E82)&lt;=H82,"PASS","FAIL"),"FAIL"),"FAIL")</f>
        <v>PASS</v>
      </c>
    </row>
    <row r="83" customFormat="false" ht="15" hidden="false" customHeight="false" outlineLevel="0" collapsed="false">
      <c r="B83" s="42" t="n">
        <v>74</v>
      </c>
      <c r="C83" s="9" t="s">
        <v>272</v>
      </c>
      <c r="D83" s="9" t="s">
        <v>353</v>
      </c>
      <c r="E83" s="14" t="n">
        <v>10.63</v>
      </c>
      <c r="F83" s="48" t="n">
        <f aca="false">Improved_Sales!$M$10</f>
        <v>10.6271922767498</v>
      </c>
      <c r="G83" s="46" t="n">
        <f aca="false">IFERROR(IF(ISNUMBER(F83),F83-E83,"n/a"),"n/a")</f>
        <v>-0.00280772325020173</v>
      </c>
      <c r="H83" s="47" t="n">
        <v>0.005000001</v>
      </c>
      <c r="I83" s="41" t="str">
        <f aca="false">IFERROR(IF(ISNUMBER(F83),IF(ABS(F83-E83)&lt;=H83,"PASS","FAIL"),"FAIL"),"FAIL")</f>
        <v>PASS</v>
      </c>
    </row>
    <row r="84" customFormat="false" ht="15" hidden="false" customHeight="false" outlineLevel="0" collapsed="false">
      <c r="B84" s="42" t="n">
        <v>75</v>
      </c>
      <c r="C84" s="9" t="s">
        <v>272</v>
      </c>
      <c r="D84" s="9" t="s">
        <v>354</v>
      </c>
      <c r="E84" s="12" t="n">
        <v>138000</v>
      </c>
      <c r="F84" s="24" t="n">
        <f aca="false">Improved_Sales!$G$13</f>
        <v>138000</v>
      </c>
      <c r="G84" s="46" t="n">
        <f aca="false">IFERROR(IF(ISNUMBER(F84),F84-E84,"n/a"),"n/a")</f>
        <v>0</v>
      </c>
      <c r="H84" s="47" t="n">
        <v>0.500000001</v>
      </c>
      <c r="I84" s="41" t="str">
        <f aca="false">IFERROR(IF(ISNUMBER(F84),IF(ABS(F84-E84)&lt;=H84,"PASS","FAIL"),"FAIL"),"FAIL")</f>
        <v>PASS</v>
      </c>
    </row>
    <row r="85" customFormat="false" ht="15" hidden="false" customHeight="false" outlineLevel="0" collapsed="false">
      <c r="B85" s="42" t="n">
        <v>76</v>
      </c>
      <c r="C85" s="9" t="s">
        <v>272</v>
      </c>
      <c r="D85" s="9" t="s">
        <v>355</v>
      </c>
      <c r="E85" s="12" t="n">
        <v>192000</v>
      </c>
      <c r="F85" s="24" t="n">
        <f aca="false">Improved_Sales!$G$14</f>
        <v>192000</v>
      </c>
      <c r="G85" s="46" t="n">
        <f aca="false">IFERROR(IF(ISNUMBER(F85),F85-E85,"n/a"),"n/a")</f>
        <v>0</v>
      </c>
      <c r="H85" s="47" t="n">
        <v>0.500000001</v>
      </c>
      <c r="I85" s="41" t="str">
        <f aca="false">IFERROR(IF(ISNUMBER(F85),IF(ABS(F85-E85)&lt;=H85,"PASS","FAIL"),"FAIL"),"FAIL")</f>
        <v>PASS</v>
      </c>
    </row>
    <row r="86" customFormat="false" ht="15" hidden="false" customHeight="false" outlineLevel="0" collapsed="false">
      <c r="B86" s="42" t="n">
        <v>77</v>
      </c>
      <c r="C86" s="9" t="s">
        <v>272</v>
      </c>
      <c r="D86" s="9" t="s">
        <v>356</v>
      </c>
      <c r="E86" s="32" t="n">
        <v>0.391</v>
      </c>
      <c r="F86" s="50" t="n">
        <f aca="false">Improved_Sales!$G$15</f>
        <v>0.391304347826087</v>
      </c>
      <c r="G86" s="46" t="n">
        <f aca="false">IFERROR(IF(ISNUMBER(F86),F86-E86,"n/a"),"n/a")</f>
        <v>0.000304347826086904</v>
      </c>
      <c r="H86" s="47" t="n">
        <v>0.000500001</v>
      </c>
      <c r="I86" s="41" t="str">
        <f aca="false">IFERROR(IF(ISNUMBER(F86),IF(ABS(F86-E86)&lt;=H86,"PASS","FAIL"),"FAIL"),"FAIL")</f>
        <v>PASS</v>
      </c>
    </row>
    <row r="87" customFormat="false" ht="15" hidden="false" customHeight="false" outlineLevel="0" collapsed="false">
      <c r="B87" s="42" t="n">
        <v>78</v>
      </c>
      <c r="C87" s="9" t="s">
        <v>272</v>
      </c>
      <c r="D87" s="9" t="s">
        <v>357</v>
      </c>
      <c r="E87" s="36" t="n">
        <v>8.2</v>
      </c>
      <c r="F87" s="51" t="n">
        <f aca="false">Improved_Sales!$G$16</f>
        <v>8.2</v>
      </c>
      <c r="G87" s="46" t="n">
        <f aca="false">IFERROR(IF(ISNUMBER(F87),F87-E87,"n/a"),"n/a")</f>
        <v>0</v>
      </c>
      <c r="H87" s="47" t="n">
        <v>0.050000001</v>
      </c>
      <c r="I87" s="41" t="str">
        <f aca="false">IFERROR(IF(ISNUMBER(F87),IF(ABS(F87-E87)&lt;=H87,"PASS","FAIL"),"FAIL"),"FAIL")</f>
        <v>PASS</v>
      </c>
    </row>
    <row r="88" customFormat="false" ht="15" hidden="false" customHeight="false" outlineLevel="0" collapsed="false">
      <c r="B88" s="42" t="n">
        <v>79</v>
      </c>
      <c r="C88" s="9" t="s">
        <v>272</v>
      </c>
      <c r="D88" s="9" t="s">
        <v>358</v>
      </c>
      <c r="E88" s="14" t="n">
        <v>10.06</v>
      </c>
      <c r="F88" s="48" t="n">
        <f aca="false">Improved_Sales!$G$17</f>
        <v>10.0554079696395</v>
      </c>
      <c r="G88" s="46" t="n">
        <f aca="false">IFERROR(IF(ISNUMBER(F88),F88-E88,"n/a"),"n/a")</f>
        <v>-0.00459203036053246</v>
      </c>
      <c r="H88" s="47" t="n">
        <v>0.005000001</v>
      </c>
      <c r="I88" s="41" t="str">
        <f aca="false">IFERROR(IF(ISNUMBER(F88),IF(ABS(F88-E88)&lt;=H88,"PASS","FAIL"),"FAIL"),"FAIL")</f>
        <v>PASS</v>
      </c>
    </row>
    <row r="89" customFormat="false" ht="15" hidden="false" customHeight="false" outlineLevel="0" collapsed="false">
      <c r="B89" s="42" t="n">
        <v>80</v>
      </c>
      <c r="C89" s="9" t="s">
        <v>272</v>
      </c>
      <c r="D89" s="9" t="s">
        <v>359</v>
      </c>
      <c r="E89" s="14" t="n">
        <v>11.12</v>
      </c>
      <c r="F89" s="48" t="n">
        <f aca="false">Improved_Sales!$G$18</f>
        <v>11.1227586206897</v>
      </c>
      <c r="G89" s="46" t="n">
        <f aca="false">IFERROR(IF(ISNUMBER(F89),F89-E89,"n/a"),"n/a")</f>
        <v>0.00275862068965616</v>
      </c>
      <c r="H89" s="47" t="n">
        <v>0.005000001</v>
      </c>
      <c r="I89" s="41" t="str">
        <f aca="false">IFERROR(IF(ISNUMBER(F89),IF(ABS(F89-E89)&lt;=H89,"PASS","FAIL"),"FAIL"),"FAIL")</f>
        <v>PASS</v>
      </c>
    </row>
    <row r="90" customFormat="false" ht="15" hidden="false" customHeight="false" outlineLevel="0" collapsed="false">
      <c r="B90" s="42" t="n">
        <v>81</v>
      </c>
      <c r="C90" s="9" t="s">
        <v>272</v>
      </c>
      <c r="D90" s="9" t="s">
        <v>360</v>
      </c>
      <c r="E90" s="14" t="n">
        <v>10.46</v>
      </c>
      <c r="F90" s="48" t="n">
        <f aca="false">Improved_Sales!$G$19</f>
        <v>10.455117304688</v>
      </c>
      <c r="G90" s="46" t="n">
        <f aca="false">IFERROR(IF(ISNUMBER(F90),F90-E90,"n/a"),"n/a")</f>
        <v>-0.00488269531196117</v>
      </c>
      <c r="H90" s="47" t="n">
        <v>0.005000001</v>
      </c>
      <c r="I90" s="41" t="str">
        <f aca="false">IFERROR(IF(ISNUMBER(F90),IF(ABS(F90-E90)&lt;=H90,"PASS","FAIL"),"FAIL"),"FAIL")</f>
        <v>PASS</v>
      </c>
    </row>
    <row r="91" customFormat="false" ht="15" hidden="false" customHeight="false" outlineLevel="0" collapsed="false">
      <c r="B91" s="42" t="n">
        <v>82</v>
      </c>
      <c r="C91" s="9" t="s">
        <v>272</v>
      </c>
      <c r="D91" s="9" t="s">
        <v>361</v>
      </c>
      <c r="E91" s="12" t="n">
        <v>11637405</v>
      </c>
      <c r="F91" s="24" t="n">
        <f aca="false">Improved_Sales!$G$20</f>
        <v>11637405.1946869</v>
      </c>
      <c r="G91" s="46" t="n">
        <f aca="false">IFERROR(IF(ISNUMBER(F91),F91-E91,"n/a"),"n/a")</f>
        <v>0.194686906412244</v>
      </c>
      <c r="H91" s="47" t="n">
        <v>0.500000001</v>
      </c>
      <c r="I91" s="41" t="str">
        <f aca="false">IFERROR(IF(ISNUMBER(F91),IF(ABS(F91-E91)&lt;=H91,"PASS","FAIL"),"FAIL"),"FAIL")</f>
        <v>PASS</v>
      </c>
    </row>
    <row r="92" customFormat="false" ht="15" hidden="false" customHeight="false" outlineLevel="0" collapsed="false">
      <c r="B92" s="42" t="n">
        <v>83</v>
      </c>
      <c r="C92" s="9" t="s">
        <v>272</v>
      </c>
      <c r="D92" s="9" t="s">
        <v>362</v>
      </c>
      <c r="E92" s="12" t="n">
        <v>12872680</v>
      </c>
      <c r="F92" s="24" t="n">
        <f aca="false">Improved_Sales!$G$21</f>
        <v>12872679.9889655</v>
      </c>
      <c r="G92" s="46" t="n">
        <f aca="false">IFERROR(IF(ISNUMBER(F92),F92-E92,"n/a"),"n/a")</f>
        <v>-0.0110344830900431</v>
      </c>
      <c r="H92" s="47" t="n">
        <v>0.500000001</v>
      </c>
      <c r="I92" s="41" t="str">
        <f aca="false">IFERROR(IF(ISNUMBER(F92),IF(ABS(F92-E92)&lt;=H92,"PASS","FAIL"),"FAIL"),"FAIL")</f>
        <v>PASS</v>
      </c>
    </row>
    <row r="93" customFormat="false" ht="15" hidden="false" customHeight="false" outlineLevel="0" collapsed="false">
      <c r="B93" s="42" t="n">
        <v>84</v>
      </c>
      <c r="C93" s="9" t="s">
        <v>272</v>
      </c>
      <c r="D93" s="9" t="s">
        <v>363</v>
      </c>
      <c r="E93" s="14" t="n">
        <v>189.06</v>
      </c>
      <c r="F93" s="48" t="n">
        <f aca="false">Improved_Sales!$G$22</f>
        <v>189.0625</v>
      </c>
      <c r="G93" s="46" t="n">
        <f aca="false">IFERROR(IF(ISNUMBER(F93),F93-E93,"n/a"),"n/a")</f>
        <v>0.00249999999999773</v>
      </c>
      <c r="H93" s="47" t="n">
        <v>0.005000001</v>
      </c>
      <c r="I93" s="41" t="str">
        <f aca="false">IFERROR(IF(ISNUMBER(F93),IF(ABS(F93-E93)&lt;=H93,"PASS","FAIL"),"FAIL"),"FAIL")</f>
        <v>PASS</v>
      </c>
    </row>
    <row r="94" customFormat="false" ht="15" hidden="false" customHeight="false" outlineLevel="0" collapsed="false">
      <c r="B94" s="42" t="n">
        <v>85</v>
      </c>
      <c r="C94" s="9" t="s">
        <v>277</v>
      </c>
      <c r="D94" s="9" t="s">
        <v>364</v>
      </c>
      <c r="E94" s="12" t="n">
        <v>158000</v>
      </c>
      <c r="F94" s="24" t="n">
        <f aca="false">Paired_Sales!$C$6</f>
        <v>158000</v>
      </c>
      <c r="G94" s="46" t="n">
        <f aca="false">IFERROR(IF(ISNUMBER(F94),F94-E94,"n/a"),"n/a")</f>
        <v>0</v>
      </c>
      <c r="H94" s="47" t="n">
        <v>0.500000001</v>
      </c>
      <c r="I94" s="41" t="str">
        <f aca="false">IFERROR(IF(ISNUMBER(F94),IF(ABS(F94-E94)&lt;=H94,"PASS","FAIL"),"FAIL"),"FAIL")</f>
        <v>PASS</v>
      </c>
    </row>
    <row r="95" customFormat="false" ht="15" hidden="false" customHeight="false" outlineLevel="0" collapsed="false">
      <c r="B95" s="42" t="n">
        <v>86</v>
      </c>
      <c r="C95" s="9" t="s">
        <v>277</v>
      </c>
      <c r="D95" s="9" t="s">
        <v>365</v>
      </c>
      <c r="E95" s="12" t="n">
        <v>176000</v>
      </c>
      <c r="F95" s="24" t="n">
        <f aca="false">Paired_Sales!$C$7</f>
        <v>176000</v>
      </c>
      <c r="G95" s="46" t="n">
        <f aca="false">IFERROR(IF(ISNUMBER(F95),F95-E95,"n/a"),"n/a")</f>
        <v>0</v>
      </c>
      <c r="H95" s="47" t="n">
        <v>0.500000001</v>
      </c>
      <c r="I95" s="41" t="str">
        <f aca="false">IFERROR(IF(ISNUMBER(F95),IF(ABS(F95-E95)&lt;=H95,"PASS","FAIL"),"FAIL"),"FAIL")</f>
        <v>PASS</v>
      </c>
    </row>
    <row r="96" customFormat="false" ht="15" hidden="false" customHeight="false" outlineLevel="0" collapsed="false">
      <c r="B96" s="42" t="n">
        <v>87</v>
      </c>
      <c r="C96" s="9" t="s">
        <v>277</v>
      </c>
      <c r="D96" s="9" t="s">
        <v>366</v>
      </c>
      <c r="E96" s="12" t="n">
        <v>18000</v>
      </c>
      <c r="F96" s="24" t="n">
        <f aca="false">Paired_Sales!$C$8</f>
        <v>18000</v>
      </c>
      <c r="G96" s="46" t="n">
        <f aca="false">IFERROR(IF(ISNUMBER(F96),F96-E96,"n/a"),"n/a")</f>
        <v>0</v>
      </c>
      <c r="H96" s="47" t="n">
        <v>0.500000001</v>
      </c>
      <c r="I96" s="41" t="str">
        <f aca="false">IFERROR(IF(ISNUMBER(F96),IF(ABS(F96-E96)&lt;=H96,"PASS","FAIL"),"FAIL"),"FAIL")</f>
        <v>PASS</v>
      </c>
    </row>
    <row r="97" customFormat="false" ht="15" hidden="false" customHeight="false" outlineLevel="0" collapsed="false">
      <c r="B97" s="42" t="n">
        <v>88</v>
      </c>
      <c r="C97" s="9" t="s">
        <v>277</v>
      </c>
      <c r="D97" s="9" t="s">
        <v>367</v>
      </c>
      <c r="E97" s="32" t="n">
        <v>0.114</v>
      </c>
      <c r="F97" s="50" t="n">
        <f aca="false">Paired_Sales!$C$9</f>
        <v>0.113924050632911</v>
      </c>
      <c r="G97" s="46" t="n">
        <f aca="false">IFERROR(IF(ISNUMBER(F97),F97-E97,"n/a"),"n/a")</f>
        <v>-7.59493670886707E-005</v>
      </c>
      <c r="H97" s="47" t="n">
        <v>0.000500001</v>
      </c>
      <c r="I97" s="41" t="str">
        <f aca="false">IFERROR(IF(ISNUMBER(F97),IF(ABS(F97-E97)&lt;=H97,"PASS","FAIL"),"FAIL"),"FAIL")</f>
        <v>PASS</v>
      </c>
    </row>
    <row r="98" customFormat="false" ht="15" hidden="false" customHeight="false" outlineLevel="0" collapsed="false">
      <c r="B98" s="42" t="n">
        <v>89</v>
      </c>
      <c r="C98" s="9" t="s">
        <v>277</v>
      </c>
      <c r="D98" s="9" t="s">
        <v>368</v>
      </c>
      <c r="E98" s="12" t="n">
        <v>172000</v>
      </c>
      <c r="F98" s="24" t="n">
        <f aca="false">Paired_Sales!$C$12</f>
        <v>172000</v>
      </c>
      <c r="G98" s="46" t="n">
        <f aca="false">IFERROR(IF(ISNUMBER(F98),F98-E98,"n/a"),"n/a")</f>
        <v>0</v>
      </c>
      <c r="H98" s="47" t="n">
        <v>0.500000001</v>
      </c>
      <c r="I98" s="41" t="str">
        <f aca="false">IFERROR(IF(ISNUMBER(F98),IF(ABS(F98-E98)&lt;=H98,"PASS","FAIL"),"FAIL"),"FAIL")</f>
        <v>PASS</v>
      </c>
    </row>
    <row r="99" customFormat="false" ht="15" hidden="false" customHeight="false" outlineLevel="0" collapsed="false">
      <c r="B99" s="42" t="n">
        <v>90</v>
      </c>
      <c r="C99" s="9" t="s">
        <v>277</v>
      </c>
      <c r="D99" s="9" t="s">
        <v>369</v>
      </c>
      <c r="E99" s="12" t="n">
        <v>160000</v>
      </c>
      <c r="F99" s="24" t="n">
        <f aca="false">Paired_Sales!$C$13</f>
        <v>160000</v>
      </c>
      <c r="G99" s="46" t="n">
        <f aca="false">IFERROR(IF(ISNUMBER(F99),F99-E99,"n/a"),"n/a")</f>
        <v>0</v>
      </c>
      <c r="H99" s="47" t="n">
        <v>0.500000001</v>
      </c>
      <c r="I99" s="41" t="str">
        <f aca="false">IFERROR(IF(ISNUMBER(F99),IF(ABS(F99-E99)&lt;=H99,"PASS","FAIL"),"FAIL"),"FAIL")</f>
        <v>PASS</v>
      </c>
    </row>
    <row r="100" customFormat="false" ht="15" hidden="false" customHeight="false" outlineLevel="0" collapsed="false">
      <c r="B100" s="42" t="n">
        <v>91</v>
      </c>
      <c r="C100" s="9" t="s">
        <v>277</v>
      </c>
      <c r="D100" s="9" t="s">
        <v>370</v>
      </c>
      <c r="E100" s="32" t="n">
        <v>0.075</v>
      </c>
      <c r="F100" s="50" t="n">
        <f aca="false">Paired_Sales!$C$14</f>
        <v>0.075</v>
      </c>
      <c r="G100" s="46" t="n">
        <f aca="false">IFERROR(IF(ISNUMBER(F100),F100-E100,"n/a"),"n/a")</f>
        <v>0</v>
      </c>
      <c r="H100" s="47" t="n">
        <v>0.000500001</v>
      </c>
      <c r="I100" s="41" t="str">
        <f aca="false">IFERROR(IF(ISNUMBER(F100),IF(ABS(F100-E100)&lt;=H100,"PASS","FAIL"),"FAIL"),"FAIL")</f>
        <v>PASS</v>
      </c>
    </row>
    <row r="101" customFormat="false" ht="15" hidden="false" customHeight="false" outlineLevel="0" collapsed="false">
      <c r="B101" s="42" t="n">
        <v>92</v>
      </c>
      <c r="C101" s="9" t="s">
        <v>277</v>
      </c>
      <c r="D101" s="9" t="s">
        <v>371</v>
      </c>
      <c r="E101" s="12" t="n">
        <v>148000</v>
      </c>
      <c r="F101" s="24" t="n">
        <f aca="false">Paired_Sales!$C$17</f>
        <v>148000</v>
      </c>
      <c r="G101" s="46" t="n">
        <f aca="false">IFERROR(IF(ISNUMBER(F101),F101-E101,"n/a"),"n/a")</f>
        <v>0</v>
      </c>
      <c r="H101" s="47" t="n">
        <v>0.500000001</v>
      </c>
      <c r="I101" s="41" t="str">
        <f aca="false">IFERROR(IF(ISNUMBER(F101),IF(ABS(F101-E101)&lt;=H101,"PASS","FAIL"),"FAIL"),"FAIL")</f>
        <v>PASS</v>
      </c>
    </row>
    <row r="102" customFormat="false" ht="15" hidden="false" customHeight="false" outlineLevel="0" collapsed="false">
      <c r="B102" s="42" t="n">
        <v>93</v>
      </c>
      <c r="C102" s="9" t="s">
        <v>277</v>
      </c>
      <c r="D102" s="9" t="s">
        <v>372</v>
      </c>
      <c r="E102" s="12" t="n">
        <v>156400</v>
      </c>
      <c r="F102" s="24" t="n">
        <f aca="false">Paired_Sales!$C$18</f>
        <v>156400</v>
      </c>
      <c r="G102" s="46" t="n">
        <f aca="false">IFERROR(IF(ISNUMBER(F102),F102-E102,"n/a"),"n/a")</f>
        <v>0</v>
      </c>
      <c r="H102" s="47" t="n">
        <v>0.500000001</v>
      </c>
      <c r="I102" s="41" t="str">
        <f aca="false">IFERROR(IF(ISNUMBER(F102),IF(ABS(F102-E102)&lt;=H102,"PASS","FAIL"),"FAIL"),"FAIL")</f>
        <v>PASS</v>
      </c>
    </row>
    <row r="103" customFormat="false" ht="15" hidden="false" customHeight="false" outlineLevel="0" collapsed="false">
      <c r="B103" s="42" t="n">
        <v>94</v>
      </c>
      <c r="C103" s="9" t="s">
        <v>277</v>
      </c>
      <c r="D103" s="9" t="s">
        <v>373</v>
      </c>
      <c r="E103" s="12" t="n">
        <v>18</v>
      </c>
      <c r="F103" s="24" t="n">
        <f aca="false">Paired_Sales!$C$19</f>
        <v>18</v>
      </c>
      <c r="G103" s="46" t="n">
        <f aca="false">IFERROR(IF(ISNUMBER(F103),F103-E103,"n/a"),"n/a")</f>
        <v>0</v>
      </c>
      <c r="H103" s="47" t="n">
        <v>0.500000001</v>
      </c>
      <c r="I103" s="41" t="str">
        <f aca="false">IFERROR(IF(ISNUMBER(F103),IF(ABS(F103-E103)&lt;=H103,"PASS","FAIL"),"FAIL"),"FAIL")</f>
        <v>PASS</v>
      </c>
    </row>
    <row r="104" customFormat="false" ht="15" hidden="false" customHeight="false" outlineLevel="0" collapsed="false">
      <c r="B104" s="42" t="n">
        <v>95</v>
      </c>
      <c r="C104" s="9" t="s">
        <v>277</v>
      </c>
      <c r="D104" s="9" t="s">
        <v>374</v>
      </c>
      <c r="E104" s="32" t="n">
        <v>0.057</v>
      </c>
      <c r="F104" s="50" t="n">
        <f aca="false">Paired_Sales!$C$20</f>
        <v>0.0567567567567568</v>
      </c>
      <c r="G104" s="46" t="n">
        <f aca="false">IFERROR(IF(ISNUMBER(F104),F104-E104,"n/a"),"n/a")</f>
        <v>-0.000243243243243159</v>
      </c>
      <c r="H104" s="47" t="n">
        <v>0.000500001</v>
      </c>
      <c r="I104" s="41" t="str">
        <f aca="false">IFERROR(IF(ISNUMBER(F104),IF(ABS(F104-E104)&lt;=H104,"PASS","FAIL"),"FAIL"),"FAIL")</f>
        <v>PASS</v>
      </c>
    </row>
    <row r="105" customFormat="false" ht="15" hidden="false" customHeight="false" outlineLevel="0" collapsed="false">
      <c r="B105" s="42" t="n">
        <v>96</v>
      </c>
      <c r="C105" s="9" t="s">
        <v>277</v>
      </c>
      <c r="D105" s="9" t="s">
        <v>375</v>
      </c>
      <c r="E105" s="16" t="n">
        <v>0.0031</v>
      </c>
      <c r="F105" s="49" t="n">
        <f aca="false">Paired_Sales!$C$21</f>
        <v>0.00307162749572432</v>
      </c>
      <c r="G105" s="46" t="n">
        <f aca="false">IFERROR(IF(ISNUMBER(F105),F105-E105,"n/a"),"n/a")</f>
        <v>-2.83725042756837E-005</v>
      </c>
      <c r="H105" s="47" t="n">
        <v>5.0001E-005</v>
      </c>
      <c r="I105" s="41" t="str">
        <f aca="false">IFERROR(IF(ISNUMBER(F105),IF(ABS(F105-E105)&lt;=H105,"PASS","FAIL"),"FAIL"),"FAIL")</f>
        <v>PASS</v>
      </c>
    </row>
    <row r="106" customFormat="false" ht="15" hidden="false" customHeight="false" outlineLevel="0" collapsed="false">
      <c r="B106" s="42" t="n">
        <v>97</v>
      </c>
      <c r="C106" s="9" t="s">
        <v>277</v>
      </c>
      <c r="D106" s="9" t="s">
        <v>376</v>
      </c>
      <c r="E106" s="32" t="n">
        <v>0.037</v>
      </c>
      <c r="F106" s="50" t="n">
        <f aca="false">Paired_Sales!$C$22</f>
        <v>0.0374886530373066</v>
      </c>
      <c r="G106" s="46" t="n">
        <f aca="false">IFERROR(IF(ISNUMBER(F106),F106-E106,"n/a"),"n/a")</f>
        <v>0.000488653037306629</v>
      </c>
      <c r="H106" s="47" t="n">
        <v>0.000500001</v>
      </c>
      <c r="I106" s="41" t="str">
        <f aca="false">IFERROR(IF(ISNUMBER(F106),IF(ABS(F106-E106)&lt;=H106,"PASS","FAIL"),"FAIL"),"FAIL")</f>
        <v>PASS</v>
      </c>
    </row>
    <row r="107" customFormat="false" ht="15" hidden="false" customHeight="false" outlineLevel="0" collapsed="false">
      <c r="B107" s="42" t="n">
        <v>98</v>
      </c>
      <c r="C107" s="9" t="s">
        <v>277</v>
      </c>
      <c r="D107" s="9" t="s">
        <v>377</v>
      </c>
      <c r="E107" s="12" t="n">
        <v>383000</v>
      </c>
      <c r="F107" s="24" t="n">
        <f aca="false">Paired_Sales!$C$28</f>
        <v>383000</v>
      </c>
      <c r="G107" s="46" t="n">
        <f aca="false">IFERROR(IF(ISNUMBER(F107),F107-E107,"n/a"),"n/a")</f>
        <v>0</v>
      </c>
      <c r="H107" s="47" t="n">
        <v>0.500000001</v>
      </c>
      <c r="I107" s="41" t="str">
        <f aca="false">IFERROR(IF(ISNUMBER(F107),IF(ABS(F107-E107)&lt;=H107,"PASS","FAIL"),"FAIL"),"FAIL")</f>
        <v>PASS</v>
      </c>
    </row>
    <row r="108" customFormat="false" ht="15" hidden="false" customHeight="false" outlineLevel="0" collapsed="false">
      <c r="B108" s="42" t="n">
        <v>99</v>
      </c>
      <c r="C108" s="9" t="s">
        <v>277</v>
      </c>
      <c r="D108" s="9" t="s">
        <v>378</v>
      </c>
      <c r="E108" s="12" t="n">
        <v>392000</v>
      </c>
      <c r="F108" s="24" t="n">
        <f aca="false">Paired_Sales!$C$29</f>
        <v>392000</v>
      </c>
      <c r="G108" s="46" t="n">
        <f aca="false">IFERROR(IF(ISNUMBER(F108),F108-E108,"n/a"),"n/a")</f>
        <v>0</v>
      </c>
      <c r="H108" s="47" t="n">
        <v>0.500000001</v>
      </c>
      <c r="I108" s="41" t="str">
        <f aca="false">IFERROR(IF(ISNUMBER(F108),IF(ABS(F108-E108)&lt;=H108,"PASS","FAIL"),"FAIL"),"FAIL")</f>
        <v>PASS</v>
      </c>
    </row>
    <row r="109" customFormat="false" ht="15" hidden="false" customHeight="false" outlineLevel="0" collapsed="false">
      <c r="B109" s="42" t="n">
        <v>100</v>
      </c>
      <c r="C109" s="9" t="s">
        <v>277</v>
      </c>
      <c r="D109" s="9" t="s">
        <v>379</v>
      </c>
      <c r="E109" s="12" t="n">
        <v>9000</v>
      </c>
      <c r="F109" s="24" t="n">
        <f aca="false">Paired_Sales!$C$30</f>
        <v>9000</v>
      </c>
      <c r="G109" s="46" t="n">
        <f aca="false">IFERROR(IF(ISNUMBER(F109),F109-E109,"n/a"),"n/a")</f>
        <v>0</v>
      </c>
      <c r="H109" s="47" t="n">
        <v>0.500000001</v>
      </c>
      <c r="I109" s="41" t="str">
        <f aca="false">IFERROR(IF(ISNUMBER(F109),IF(ABS(F109-E109)&lt;=H109,"PASS","FAIL"),"FAIL"),"FAIL")</f>
        <v>PASS</v>
      </c>
    </row>
    <row r="110" customFormat="false" ht="15" hidden="false" customHeight="false" outlineLevel="0" collapsed="false">
      <c r="B110" s="42" t="n">
        <v>101</v>
      </c>
      <c r="C110" s="9" t="s">
        <v>277</v>
      </c>
      <c r="D110" s="9" t="s">
        <v>380</v>
      </c>
      <c r="E110" s="12" t="n">
        <v>200</v>
      </c>
      <c r="F110" s="24" t="n">
        <f aca="false">Paired_Sales!$C$31</f>
        <v>200</v>
      </c>
      <c r="G110" s="46" t="n">
        <f aca="false">IFERROR(IF(ISNUMBER(F110),F110-E110,"n/a"),"n/a")</f>
        <v>0</v>
      </c>
      <c r="H110" s="47" t="n">
        <v>0.500000001</v>
      </c>
      <c r="I110" s="41" t="str">
        <f aca="false">IFERROR(IF(ISNUMBER(F110),IF(ABS(F110-E110)&lt;=H110,"PASS","FAIL"),"FAIL"),"FAIL")</f>
        <v>PASS</v>
      </c>
    </row>
    <row r="111" customFormat="false" ht="15" hidden="false" customHeight="false" outlineLevel="0" collapsed="false">
      <c r="B111" s="42" t="n">
        <v>102</v>
      </c>
      <c r="C111" s="9" t="s">
        <v>277</v>
      </c>
      <c r="D111" s="9" t="s">
        <v>381</v>
      </c>
      <c r="E111" s="12" t="n">
        <v>45</v>
      </c>
      <c r="F111" s="24" t="n">
        <f aca="false">Paired_Sales!$C$32</f>
        <v>45</v>
      </c>
      <c r="G111" s="46" t="n">
        <f aca="false">IFERROR(IF(ISNUMBER(F111),F111-E111,"n/a"),"n/a")</f>
        <v>0</v>
      </c>
      <c r="H111" s="47" t="n">
        <v>0.500000001</v>
      </c>
      <c r="I111" s="41" t="str">
        <f aca="false">IFERROR(IF(ISNUMBER(F111),IF(ABS(F111-E111)&lt;=H111,"PASS","FAIL"),"FAIL"),"FAIL")</f>
        <v>PASS</v>
      </c>
    </row>
    <row r="112" customFormat="false" ht="15" hidden="false" customHeight="false" outlineLevel="0" collapsed="false">
      <c r="B112" s="42" t="n">
        <v>103</v>
      </c>
      <c r="C112" s="9" t="s">
        <v>277</v>
      </c>
      <c r="D112" s="9" t="s">
        <v>382</v>
      </c>
      <c r="E112" s="12" t="n">
        <v>406000</v>
      </c>
      <c r="F112" s="24" t="n">
        <f aca="false">Paired_Sales!$C$35</f>
        <v>406000</v>
      </c>
      <c r="G112" s="46" t="n">
        <f aca="false">IFERROR(IF(ISNUMBER(F112),F112-E112,"n/a"),"n/a")</f>
        <v>0</v>
      </c>
      <c r="H112" s="47" t="n">
        <v>0.500000001</v>
      </c>
      <c r="I112" s="41" t="str">
        <f aca="false">IFERROR(IF(ISNUMBER(F112),IF(ABS(F112-E112)&lt;=H112,"PASS","FAIL"),"FAIL"),"FAIL")</f>
        <v>PASS</v>
      </c>
    </row>
    <row r="113" customFormat="false" ht="15" hidden="false" customHeight="false" outlineLevel="0" collapsed="false">
      <c r="B113" s="42" t="n">
        <v>104</v>
      </c>
      <c r="C113" s="9" t="s">
        <v>277</v>
      </c>
      <c r="D113" s="9" t="s">
        <v>383</v>
      </c>
      <c r="E113" s="12" t="n">
        <v>391000</v>
      </c>
      <c r="F113" s="24" t="n">
        <f aca="false">Paired_Sales!$C$36</f>
        <v>391000</v>
      </c>
      <c r="G113" s="46" t="n">
        <f aca="false">IFERROR(IF(ISNUMBER(F113),F113-E113,"n/a"),"n/a")</f>
        <v>0</v>
      </c>
      <c r="H113" s="47" t="n">
        <v>0.500000001</v>
      </c>
      <c r="I113" s="41" t="str">
        <f aca="false">IFERROR(IF(ISNUMBER(F113),IF(ABS(F113-E113)&lt;=H113,"PASS","FAIL"),"FAIL"),"FAIL")</f>
        <v>PASS</v>
      </c>
    </row>
    <row r="114" customFormat="false" ht="15" hidden="false" customHeight="false" outlineLevel="0" collapsed="false">
      <c r="B114" s="42" t="n">
        <v>105</v>
      </c>
      <c r="C114" s="9" t="s">
        <v>277</v>
      </c>
      <c r="D114" s="9" t="s">
        <v>384</v>
      </c>
      <c r="E114" s="12" t="n">
        <v>15000</v>
      </c>
      <c r="F114" s="24" t="n">
        <f aca="false">Paired_Sales!$C$37</f>
        <v>15000</v>
      </c>
      <c r="G114" s="46" t="n">
        <f aca="false">IFERROR(IF(ISNUMBER(F114),F114-E114,"n/a"),"n/a")</f>
        <v>0</v>
      </c>
      <c r="H114" s="47" t="n">
        <v>0.500000001</v>
      </c>
      <c r="I114" s="41" t="str">
        <f aca="false">IFERROR(IF(ISNUMBER(F114),IF(ABS(F114-E114)&lt;=H114,"PASS","FAIL"),"FAIL"),"FAIL")</f>
        <v>PASS</v>
      </c>
    </row>
    <row r="115" customFormat="false" ht="15" hidden="false" customHeight="false" outlineLevel="0" collapsed="false">
      <c r="B115" s="42" t="n">
        <v>106</v>
      </c>
      <c r="C115" s="9" t="s">
        <v>275</v>
      </c>
      <c r="D115" s="9" t="s">
        <v>385</v>
      </c>
      <c r="E115" s="16" t="n">
        <v>0.0025</v>
      </c>
      <c r="F115" s="49" t="n">
        <f aca="false">Grid!$C$6</f>
        <v>0.0025</v>
      </c>
      <c r="G115" s="46" t="n">
        <f aca="false">IFERROR(IF(ISNUMBER(F115),F115-E115,"n/a"),"n/a")</f>
        <v>0</v>
      </c>
      <c r="H115" s="47" t="n">
        <v>5.0001E-005</v>
      </c>
      <c r="I115" s="41" t="str">
        <f aca="false">IFERROR(IF(ISNUMBER(F115),IF(ABS(F115-E115)&lt;=H115,"PASS","FAIL"),"FAIL"),"FAIL")</f>
        <v>PASS</v>
      </c>
    </row>
    <row r="116" customFormat="false" ht="15" hidden="false" customHeight="false" outlineLevel="0" collapsed="false">
      <c r="B116" s="42" t="n">
        <v>107</v>
      </c>
      <c r="C116" s="9" t="s">
        <v>275</v>
      </c>
      <c r="D116" s="9" t="s">
        <v>386</v>
      </c>
      <c r="E116" s="32" t="n">
        <v>0.03</v>
      </c>
      <c r="F116" s="50" t="n">
        <f aca="false">Grid!$C$7</f>
        <v>0.03</v>
      </c>
      <c r="G116" s="46" t="n">
        <f aca="false">IFERROR(IF(ISNUMBER(F116),F116-E116,"n/a"),"n/a")</f>
        <v>0</v>
      </c>
      <c r="H116" s="47" t="n">
        <v>0.000500001</v>
      </c>
      <c r="I116" s="41" t="str">
        <f aca="false">IFERROR(IF(ISNUMBER(F116),IF(ABS(F116-E116)&lt;=H116,"PASS","FAIL"),"FAIL"),"FAIL")</f>
        <v>PASS</v>
      </c>
    </row>
    <row r="117" customFormat="false" ht="15" hidden="false" customHeight="false" outlineLevel="0" collapsed="false">
      <c r="B117" s="42" t="n">
        <v>108</v>
      </c>
      <c r="C117" s="9" t="s">
        <v>275</v>
      </c>
      <c r="D117" s="9" t="s">
        <v>387</v>
      </c>
      <c r="E117" s="32" t="n">
        <v>0.075</v>
      </c>
      <c r="F117" s="50" t="n">
        <f aca="false">Grid!$C$8</f>
        <v>0.075</v>
      </c>
      <c r="G117" s="46" t="n">
        <f aca="false">IFERROR(IF(ISNUMBER(F117),F117-E117,"n/a"),"n/a")</f>
        <v>0</v>
      </c>
      <c r="H117" s="47" t="n">
        <v>0.000500001</v>
      </c>
      <c r="I117" s="41" t="str">
        <f aca="false">IFERROR(IF(ISNUMBER(F117),IF(ABS(F117-E117)&lt;=H117,"PASS","FAIL"),"FAIL"),"FAIL")</f>
        <v>PASS</v>
      </c>
    </row>
    <row r="118" customFormat="false" ht="15" hidden="false" customHeight="false" outlineLevel="0" collapsed="false">
      <c r="B118" s="42" t="n">
        <v>109</v>
      </c>
      <c r="C118" s="9" t="s">
        <v>275</v>
      </c>
      <c r="D118" s="9" t="s">
        <v>388</v>
      </c>
      <c r="E118" s="12" t="n">
        <v>18000</v>
      </c>
      <c r="F118" s="24" t="n">
        <f aca="false">Grid!$C$9</f>
        <v>18000</v>
      </c>
      <c r="G118" s="46" t="n">
        <f aca="false">IFERROR(IF(ISNUMBER(F118),F118-E118,"n/a"),"n/a")</f>
        <v>0</v>
      </c>
      <c r="H118" s="47" t="n">
        <v>0.500000001</v>
      </c>
      <c r="I118" s="41" t="str">
        <f aca="false">IFERROR(IF(ISNUMBER(F118),IF(ABS(F118-E118)&lt;=H118,"PASS","FAIL"),"FAIL"),"FAIL")</f>
        <v>PASS</v>
      </c>
    </row>
    <row r="119" customFormat="false" ht="15" hidden="false" customHeight="false" outlineLevel="0" collapsed="false">
      <c r="B119" s="42" t="n">
        <v>110</v>
      </c>
      <c r="C119" s="9" t="s">
        <v>275</v>
      </c>
      <c r="D119" s="9" t="s">
        <v>389</v>
      </c>
      <c r="E119" s="17" t="n">
        <v>0.02</v>
      </c>
      <c r="F119" s="37" t="n">
        <f aca="false">Grid!$C$10</f>
        <v>0.02</v>
      </c>
      <c r="G119" s="46" t="n">
        <f aca="false">IFERROR(IF(ISNUMBER(F119),F119-E119,"n/a"),"n/a")</f>
        <v>0</v>
      </c>
      <c r="H119" s="47" t="n">
        <v>0.005000001</v>
      </c>
      <c r="I119" s="41" t="str">
        <f aca="false">IFERROR(IF(ISNUMBER(F119),IF(ABS(F119-E119)&lt;=H119,"PASS","FAIL"),"FAIL"),"FAIL")</f>
        <v>PASS</v>
      </c>
    </row>
    <row r="120" customFormat="false" ht="15" hidden="false" customHeight="false" outlineLevel="0" collapsed="false">
      <c r="B120" s="42" t="n">
        <v>111</v>
      </c>
      <c r="C120" s="9" t="s">
        <v>275</v>
      </c>
      <c r="D120" s="9" t="s">
        <v>390</v>
      </c>
      <c r="E120" s="32" t="n">
        <v>0.005</v>
      </c>
      <c r="F120" s="50" t="n">
        <f aca="false">Grid!$C$13</f>
        <v>0.005</v>
      </c>
      <c r="G120" s="46" t="n">
        <f aca="false">IFERROR(IF(ISNUMBER(F120),F120-E120,"n/a"),"n/a")</f>
        <v>0</v>
      </c>
      <c r="H120" s="47" t="n">
        <v>0.000500001</v>
      </c>
      <c r="I120" s="41" t="str">
        <f aca="false">IFERROR(IF(ISNUMBER(F120),IF(ABS(F120-E120)&lt;=H120,"PASS","FAIL"),"FAIL"),"FAIL")</f>
        <v>PASS</v>
      </c>
    </row>
    <row r="121" customFormat="false" ht="15" hidden="false" customHeight="false" outlineLevel="0" collapsed="false">
      <c r="B121" s="42" t="n">
        <v>112</v>
      </c>
      <c r="C121" s="9" t="s">
        <v>275</v>
      </c>
      <c r="D121" s="9" t="s">
        <v>391</v>
      </c>
      <c r="E121" s="12" t="n">
        <v>30</v>
      </c>
      <c r="F121" s="24" t="n">
        <f aca="false">Grid!$C$15</f>
        <v>30</v>
      </c>
      <c r="G121" s="46" t="n">
        <f aca="false">IFERROR(IF(ISNUMBER(F121),F121-E121,"n/a"),"n/a")</f>
        <v>0</v>
      </c>
      <c r="H121" s="47" t="n">
        <v>0.500000001</v>
      </c>
      <c r="I121" s="41" t="str">
        <f aca="false">IFERROR(IF(ISNUMBER(F121),IF(ABS(F121-E121)&lt;=H121,"PASS","FAIL"),"FAIL"),"FAIL")</f>
        <v>PASS</v>
      </c>
    </row>
    <row r="122" customFormat="false" ht="15" hidden="false" customHeight="false" outlineLevel="0" collapsed="false">
      <c r="B122" s="42" t="n">
        <v>113</v>
      </c>
      <c r="C122" s="9" t="s">
        <v>275</v>
      </c>
      <c r="D122" s="9" t="s">
        <v>392</v>
      </c>
      <c r="E122" s="12" t="n">
        <v>0</v>
      </c>
      <c r="F122" s="24" t="n">
        <f aca="false">Grid!$C$22</f>
        <v>0</v>
      </c>
      <c r="G122" s="46" t="n">
        <f aca="false">IFERROR(IF(ISNUMBER(F122),F122-E122,"n/a"),"n/a")</f>
        <v>0</v>
      </c>
      <c r="H122" s="47" t="n">
        <v>0.500000001</v>
      </c>
      <c r="I122" s="41" t="str">
        <f aca="false">IFERROR(IF(ISNUMBER(F122),IF(ABS(F122-E122)&lt;=H122,"PASS","FAIL"),"FAIL"),"FAIL")</f>
        <v>PASS</v>
      </c>
    </row>
    <row r="123" customFormat="false" ht="15" hidden="false" customHeight="false" outlineLevel="0" collapsed="false">
      <c r="B123" s="42" t="n">
        <v>114</v>
      </c>
      <c r="C123" s="9" t="s">
        <v>275</v>
      </c>
      <c r="D123" s="9" t="s">
        <v>393</v>
      </c>
      <c r="E123" s="12" t="n">
        <v>0</v>
      </c>
      <c r="F123" s="24" t="n">
        <f aca="false">Grid!$C$25</f>
        <v>0</v>
      </c>
      <c r="G123" s="46" t="n">
        <f aca="false">IFERROR(IF(ISNUMBER(F123),F123-E123,"n/a"),"n/a")</f>
        <v>0</v>
      </c>
      <c r="H123" s="47" t="n">
        <v>0.500000001</v>
      </c>
      <c r="I123" s="41" t="str">
        <f aca="false">IFERROR(IF(ISNUMBER(F123),IF(ABS(F123-E123)&lt;=H123,"PASS","FAIL"),"FAIL"),"FAIL")</f>
        <v>PASS</v>
      </c>
    </row>
    <row r="124" customFormat="false" ht="15" hidden="false" customHeight="false" outlineLevel="0" collapsed="false">
      <c r="B124" s="42" t="n">
        <v>115</v>
      </c>
      <c r="C124" s="9" t="s">
        <v>275</v>
      </c>
      <c r="D124" s="9" t="s">
        <v>394</v>
      </c>
      <c r="E124" s="12" t="n">
        <v>0</v>
      </c>
      <c r="F124" s="24" t="n">
        <f aca="false">Grid!$C$27</f>
        <v>0</v>
      </c>
      <c r="G124" s="46" t="n">
        <f aca="false">IFERROR(IF(ISNUMBER(F124),F124-E124,"n/a"),"n/a")</f>
        <v>0</v>
      </c>
      <c r="H124" s="47" t="n">
        <v>0.500000001</v>
      </c>
      <c r="I124" s="41" t="str">
        <f aca="false">IFERROR(IF(ISNUMBER(F124),IF(ABS(F124-E124)&lt;=H124,"PASS","FAIL"),"FAIL"),"FAIL")</f>
        <v>PASS</v>
      </c>
    </row>
    <row r="125" customFormat="false" ht="15" hidden="false" customHeight="false" outlineLevel="0" collapsed="false">
      <c r="B125" s="42" t="n">
        <v>116</v>
      </c>
      <c r="C125" s="9" t="s">
        <v>275</v>
      </c>
      <c r="D125" s="9" t="s">
        <v>395</v>
      </c>
      <c r="E125" s="12" t="n">
        <v>1418</v>
      </c>
      <c r="F125" s="24" t="n">
        <f aca="false">Grid!$C$30</f>
        <v>1417.5</v>
      </c>
      <c r="G125" s="46" t="n">
        <f aca="false">IFERROR(IF(ISNUMBER(F125),F125-E125,"n/a"),"n/a")</f>
        <v>-0.5</v>
      </c>
      <c r="H125" s="47" t="n">
        <v>0.500000001</v>
      </c>
      <c r="I125" s="41" t="str">
        <f aca="false">IFERROR(IF(ISNUMBER(F125),IF(ABS(F125-E125)&lt;=H125,"PASS","FAIL"),"FAIL"),"FAIL")</f>
        <v>PASS</v>
      </c>
    </row>
    <row r="126" customFormat="false" ht="15" hidden="false" customHeight="false" outlineLevel="0" collapsed="false">
      <c r="B126" s="42" t="n">
        <v>117</v>
      </c>
      <c r="C126" s="9" t="s">
        <v>275</v>
      </c>
      <c r="D126" s="9" t="s">
        <v>396</v>
      </c>
      <c r="E126" s="12" t="n">
        <v>-14281</v>
      </c>
      <c r="F126" s="24" t="n">
        <f aca="false">Grid!$C$33</f>
        <v>-14281.3125</v>
      </c>
      <c r="G126" s="46" t="n">
        <f aca="false">IFERROR(IF(ISNUMBER(F126),F126-E126,"n/a"),"n/a")</f>
        <v>-0.312499999990905</v>
      </c>
      <c r="H126" s="47" t="n">
        <v>0.500000001</v>
      </c>
      <c r="I126" s="41" t="str">
        <f aca="false">IFERROR(IF(ISNUMBER(F126),IF(ABS(F126-E126)&lt;=H126,"PASS","FAIL"),"FAIL"),"FAIL")</f>
        <v>PASS</v>
      </c>
    </row>
    <row r="127" customFormat="false" ht="15" hidden="false" customHeight="false" outlineLevel="0" collapsed="false">
      <c r="B127" s="42" t="n">
        <v>118</v>
      </c>
      <c r="C127" s="9" t="s">
        <v>275</v>
      </c>
      <c r="D127" s="9" t="s">
        <v>397</v>
      </c>
      <c r="E127" s="12" t="n">
        <v>0</v>
      </c>
      <c r="F127" s="24" t="n">
        <f aca="false">Grid!$C$35</f>
        <v>0</v>
      </c>
      <c r="G127" s="46" t="n">
        <f aca="false">IFERROR(IF(ISNUMBER(F127),F127-E127,"n/a"),"n/a")</f>
        <v>0</v>
      </c>
      <c r="H127" s="47" t="n">
        <v>0.500000001</v>
      </c>
      <c r="I127" s="41" t="str">
        <f aca="false">IFERROR(IF(ISNUMBER(F127),IF(ABS(F127-E127)&lt;=H127,"PASS","FAIL"),"FAIL"),"FAIL")</f>
        <v>PASS</v>
      </c>
    </row>
    <row r="128" customFormat="false" ht="15" hidden="false" customHeight="false" outlineLevel="0" collapsed="false">
      <c r="B128" s="42" t="n">
        <v>119</v>
      </c>
      <c r="C128" s="9" t="s">
        <v>275</v>
      </c>
      <c r="D128" s="9" t="s">
        <v>398</v>
      </c>
      <c r="E128" s="12" t="n">
        <v>0</v>
      </c>
      <c r="F128" s="24" t="n">
        <f aca="false">Grid!$C$37</f>
        <v>0</v>
      </c>
      <c r="G128" s="46" t="n">
        <f aca="false">IFERROR(IF(ISNUMBER(F128),F128-E128,"n/a"),"n/a")</f>
        <v>0</v>
      </c>
      <c r="H128" s="47" t="n">
        <v>0.500000001</v>
      </c>
      <c r="I128" s="41" t="str">
        <f aca="false">IFERROR(IF(ISNUMBER(F128),IF(ABS(F128-E128)&lt;=H128,"PASS","FAIL"),"FAIL"),"FAIL")</f>
        <v>PASS</v>
      </c>
    </row>
    <row r="129" customFormat="false" ht="15" hidden="false" customHeight="false" outlineLevel="0" collapsed="false">
      <c r="B129" s="42" t="n">
        <v>120</v>
      </c>
      <c r="C129" s="9" t="s">
        <v>275</v>
      </c>
      <c r="D129" s="9" t="s">
        <v>399</v>
      </c>
      <c r="E129" s="12" t="n">
        <v>-3808</v>
      </c>
      <c r="F129" s="24" t="n">
        <f aca="false">Grid!$C$39</f>
        <v>-3808.35</v>
      </c>
      <c r="G129" s="46" t="n">
        <f aca="false">IFERROR(IF(ISNUMBER(F129),F129-E129,"n/a"),"n/a")</f>
        <v>-0.349999999999909</v>
      </c>
      <c r="H129" s="47" t="n">
        <v>0.500000001</v>
      </c>
      <c r="I129" s="41" t="str">
        <f aca="false">IFERROR(IF(ISNUMBER(F129),IF(ABS(F129-E129)&lt;=H129,"PASS","FAIL"),"FAIL"),"FAIL")</f>
        <v>PASS</v>
      </c>
    </row>
    <row r="130" customFormat="false" ht="15" hidden="false" customHeight="false" outlineLevel="0" collapsed="false">
      <c r="B130" s="42" t="n">
        <v>121</v>
      </c>
      <c r="C130" s="9" t="s">
        <v>275</v>
      </c>
      <c r="D130" s="9" t="s">
        <v>400</v>
      </c>
      <c r="E130" s="12" t="n">
        <v>-633</v>
      </c>
      <c r="F130" s="24" t="n">
        <f aca="false">Grid!$C$41</f>
        <v>-633.333333333333</v>
      </c>
      <c r="G130" s="46" t="n">
        <f aca="false">IFERROR(IF(ISNUMBER(F130),F130-E130,"n/a"),"n/a")</f>
        <v>-0.333333333332575</v>
      </c>
      <c r="H130" s="47" t="n">
        <v>0.500000001</v>
      </c>
      <c r="I130" s="41" t="str">
        <f aca="false">IFERROR(IF(ISNUMBER(F130),IF(ABS(F130-E130)&lt;=H130,"PASS","FAIL"),"FAIL"),"FAIL")</f>
        <v>PASS</v>
      </c>
    </row>
    <row r="131" customFormat="false" ht="15" hidden="false" customHeight="false" outlineLevel="0" collapsed="false">
      <c r="B131" s="42" t="n">
        <v>122</v>
      </c>
      <c r="C131" s="9" t="s">
        <v>275</v>
      </c>
      <c r="D131" s="9" t="s">
        <v>401</v>
      </c>
      <c r="E131" s="12" t="n">
        <v>190418</v>
      </c>
      <c r="F131" s="24" t="n">
        <f aca="false">Grid!$C$31</f>
        <v>190417.5</v>
      </c>
      <c r="G131" s="46" t="n">
        <f aca="false">IFERROR(IF(ISNUMBER(F131),F131-E131,"n/a"),"n/a")</f>
        <v>-0.5</v>
      </c>
      <c r="H131" s="47" t="n">
        <v>0.500000001</v>
      </c>
      <c r="I131" s="41" t="str">
        <f aca="false">IFERROR(IF(ISNUMBER(F131),IF(ABS(F131-E131)&lt;=H131,"PASS","FAIL"),"FAIL"),"FAIL")</f>
        <v>PASS</v>
      </c>
    </row>
    <row r="132" customFormat="false" ht="15" hidden="false" customHeight="false" outlineLevel="0" collapsed="false">
      <c r="B132" s="42" t="n">
        <v>123</v>
      </c>
      <c r="C132" s="9" t="s">
        <v>275</v>
      </c>
      <c r="D132" s="9" t="s">
        <v>402</v>
      </c>
      <c r="E132" s="12" t="n">
        <v>171695</v>
      </c>
      <c r="F132" s="24" t="n">
        <f aca="false">Grid!$C$43</f>
        <v>171694.504166667</v>
      </c>
      <c r="G132" s="46" t="n">
        <f aca="false">IFERROR(IF(ISNUMBER(F132),F132-E132,"n/a"),"n/a")</f>
        <v>-0.495833333319752</v>
      </c>
      <c r="H132" s="47" t="n">
        <v>0.500000001</v>
      </c>
      <c r="I132" s="41" t="str">
        <f aca="false">IFERROR(IF(ISNUMBER(F132),IF(ABS(F132-E132)&lt;=H132,"PASS","FAIL"),"FAIL"),"FAIL")</f>
        <v>PASS</v>
      </c>
    </row>
    <row r="133" customFormat="false" ht="15" hidden="false" customHeight="false" outlineLevel="0" collapsed="false">
      <c r="B133" s="42" t="n">
        <v>124</v>
      </c>
      <c r="C133" s="9" t="s">
        <v>275</v>
      </c>
      <c r="D133" s="9" t="s">
        <v>403</v>
      </c>
      <c r="E133" s="12" t="n">
        <v>12362004</v>
      </c>
      <c r="F133" s="24" t="n">
        <f aca="false">Grid!$C$44</f>
        <v>12362004.3</v>
      </c>
      <c r="G133" s="46" t="n">
        <f aca="false">IFERROR(IF(ISNUMBER(F133),F133-E133,"n/a"),"n/a")</f>
        <v>0.300000000745058</v>
      </c>
      <c r="H133" s="47" t="n">
        <v>0.500000001</v>
      </c>
      <c r="I133" s="41" t="str">
        <f aca="false">IFERROR(IF(ISNUMBER(F133),IF(ABS(F133-E133)&lt;=H133,"PASS","FAIL"),"FAIL"),"FAIL")</f>
        <v>PASS</v>
      </c>
    </row>
    <row r="134" customFormat="false" ht="15" hidden="false" customHeight="false" outlineLevel="0" collapsed="false">
      <c r="B134" s="42" t="n">
        <v>125</v>
      </c>
      <c r="C134" s="9" t="s">
        <v>275</v>
      </c>
      <c r="D134" s="9" t="s">
        <v>404</v>
      </c>
      <c r="E134" s="32" t="n">
        <v>0.107</v>
      </c>
      <c r="F134" s="50" t="n">
        <f aca="false">Grid!$C$46</f>
        <v>0.106563470017637</v>
      </c>
      <c r="G134" s="46" t="n">
        <f aca="false">IFERROR(IF(ISNUMBER(F134),F134-E134,"n/a"),"n/a")</f>
        <v>-0.000436529982363362</v>
      </c>
      <c r="H134" s="47" t="n">
        <v>0.000500001</v>
      </c>
      <c r="I134" s="41" t="str">
        <f aca="false">IFERROR(IF(ISNUMBER(F134),IF(ABS(F134-E134)&lt;=H134,"PASS","FAIL"),"FAIL"),"FAIL")</f>
        <v>PASS</v>
      </c>
    </row>
    <row r="135" customFormat="false" ht="15" hidden="false" customHeight="false" outlineLevel="0" collapsed="false">
      <c r="B135" s="42" t="n">
        <v>126</v>
      </c>
      <c r="C135" s="9" t="s">
        <v>275</v>
      </c>
      <c r="D135" s="9" t="s">
        <v>405</v>
      </c>
      <c r="E135" s="32" t="n">
        <v>-0.092</v>
      </c>
      <c r="F135" s="50" t="n">
        <f aca="false">Grid!$C$48</f>
        <v>-0.0915634700176366</v>
      </c>
      <c r="G135" s="46" t="n">
        <f aca="false">IFERROR(IF(ISNUMBER(F135),F135-E135,"n/a"),"n/a")</f>
        <v>0.00043652998236339</v>
      </c>
      <c r="H135" s="47" t="n">
        <v>0.000500001</v>
      </c>
      <c r="I135" s="41" t="str">
        <f aca="false">IFERROR(IF(ISNUMBER(F135),IF(ABS(F135-E135)&lt;=H135,"PASS","FAIL"),"FAIL"),"FAIL")</f>
        <v>PASS</v>
      </c>
    </row>
    <row r="136" customFormat="false" ht="15" hidden="false" customHeight="false" outlineLevel="0" collapsed="false">
      <c r="B136" s="42" t="n">
        <v>127</v>
      </c>
      <c r="C136" s="9" t="s">
        <v>275</v>
      </c>
      <c r="D136" s="9" t="s">
        <v>406</v>
      </c>
      <c r="E136" s="12" t="n">
        <v>0</v>
      </c>
      <c r="F136" s="24" t="n">
        <f aca="false">Grid!$D$22</f>
        <v>0</v>
      </c>
      <c r="G136" s="46" t="n">
        <f aca="false">IFERROR(IF(ISNUMBER(F136),F136-E136,"n/a"),"n/a")</f>
        <v>0</v>
      </c>
      <c r="H136" s="47" t="n">
        <v>0.500000001</v>
      </c>
      <c r="I136" s="41" t="str">
        <f aca="false">IFERROR(IF(ISNUMBER(F136),IF(ABS(F136-E136)&lt;=H136,"PASS","FAIL"),"FAIL"),"FAIL")</f>
        <v>PASS</v>
      </c>
    </row>
    <row r="137" customFormat="false" ht="15" hidden="false" customHeight="false" outlineLevel="0" collapsed="false">
      <c r="B137" s="42" t="n">
        <v>128</v>
      </c>
      <c r="C137" s="9" t="s">
        <v>275</v>
      </c>
      <c r="D137" s="9" t="s">
        <v>407</v>
      </c>
      <c r="E137" s="12" t="n">
        <v>0</v>
      </c>
      <c r="F137" s="24" t="n">
        <f aca="false">Grid!$D$25</f>
        <v>0</v>
      </c>
      <c r="G137" s="46" t="n">
        <f aca="false">IFERROR(IF(ISNUMBER(F137),F137-E137,"n/a"),"n/a")</f>
        <v>0</v>
      </c>
      <c r="H137" s="47" t="n">
        <v>0.500000001</v>
      </c>
      <c r="I137" s="41" t="str">
        <f aca="false">IFERROR(IF(ISNUMBER(F137),IF(ABS(F137-E137)&lt;=H137,"PASS","FAIL"),"FAIL"),"FAIL")</f>
        <v>PASS</v>
      </c>
    </row>
    <row r="138" customFormat="false" ht="15" hidden="false" customHeight="false" outlineLevel="0" collapsed="false">
      <c r="B138" s="42" t="n">
        <v>129</v>
      </c>
      <c r="C138" s="9" t="s">
        <v>275</v>
      </c>
      <c r="D138" s="9" t="s">
        <v>408</v>
      </c>
      <c r="E138" s="12" t="n">
        <v>6000</v>
      </c>
      <c r="F138" s="24" t="n">
        <f aca="false">Grid!$D$27</f>
        <v>6000</v>
      </c>
      <c r="G138" s="46" t="n">
        <f aca="false">IFERROR(IF(ISNUMBER(F138),F138-E138,"n/a"),"n/a")</f>
        <v>0</v>
      </c>
      <c r="H138" s="47" t="n">
        <v>0.500000001</v>
      </c>
      <c r="I138" s="41" t="str">
        <f aca="false">IFERROR(IF(ISNUMBER(F138),IF(ABS(F138-E138)&lt;=H138,"PASS","FAIL"),"FAIL"),"FAIL")</f>
        <v>PASS</v>
      </c>
    </row>
    <row r="139" customFormat="false" ht="15" hidden="false" customHeight="false" outlineLevel="0" collapsed="false">
      <c r="B139" s="42" t="n">
        <v>130</v>
      </c>
      <c r="C139" s="9" t="s">
        <v>275</v>
      </c>
      <c r="D139" s="9" t="s">
        <v>409</v>
      </c>
      <c r="E139" s="12" t="n">
        <v>2880</v>
      </c>
      <c r="F139" s="24" t="n">
        <f aca="false">Grid!$D$30</f>
        <v>2880</v>
      </c>
      <c r="G139" s="46" t="n">
        <f aca="false">IFERROR(IF(ISNUMBER(F139),F139-E139,"n/a"),"n/a")</f>
        <v>0</v>
      </c>
      <c r="H139" s="47" t="n">
        <v>0.500000001</v>
      </c>
      <c r="I139" s="41" t="str">
        <f aca="false">IFERROR(IF(ISNUMBER(F139),IF(ABS(F139-E139)&lt;=H139,"PASS","FAIL"),"FAIL"),"FAIL")</f>
        <v>PASS</v>
      </c>
    </row>
    <row r="140" customFormat="false" ht="15" hidden="false" customHeight="false" outlineLevel="0" collapsed="false">
      <c r="B140" s="42" t="n">
        <v>131</v>
      </c>
      <c r="C140" s="9" t="s">
        <v>275</v>
      </c>
      <c r="D140" s="9" t="s">
        <v>410</v>
      </c>
      <c r="E140" s="12" t="n">
        <v>0</v>
      </c>
      <c r="F140" s="24" t="n">
        <f aca="false">Grid!$D$33</f>
        <v>0</v>
      </c>
      <c r="G140" s="46" t="n">
        <f aca="false">IFERROR(IF(ISNUMBER(F140),F140-E140,"n/a"),"n/a")</f>
        <v>0</v>
      </c>
      <c r="H140" s="47" t="n">
        <v>0.500000001</v>
      </c>
      <c r="I140" s="41" t="str">
        <f aca="false">IFERROR(IF(ISNUMBER(F140),IF(ABS(F140-E140)&lt;=H140,"PASS","FAIL"),"FAIL"),"FAIL")</f>
        <v>PASS</v>
      </c>
    </row>
    <row r="141" customFormat="false" ht="15" hidden="false" customHeight="false" outlineLevel="0" collapsed="false">
      <c r="B141" s="42" t="n">
        <v>132</v>
      </c>
      <c r="C141" s="9" t="s">
        <v>275</v>
      </c>
      <c r="D141" s="9" t="s">
        <v>411</v>
      </c>
      <c r="E141" s="12" t="n">
        <v>18000</v>
      </c>
      <c r="F141" s="24" t="n">
        <f aca="false">Grid!$D$35</f>
        <v>18000</v>
      </c>
      <c r="G141" s="46" t="n">
        <f aca="false">IFERROR(IF(ISNUMBER(F141),F141-E141,"n/a"),"n/a")</f>
        <v>0</v>
      </c>
      <c r="H141" s="47" t="n">
        <v>0.500000001</v>
      </c>
      <c r="I141" s="41" t="str">
        <f aca="false">IFERROR(IF(ISNUMBER(F141),IF(ABS(F141-E141)&lt;=H141,"PASS","FAIL"),"FAIL"),"FAIL")</f>
        <v>PASS</v>
      </c>
    </row>
    <row r="142" customFormat="false" ht="15" hidden="false" customHeight="false" outlineLevel="0" collapsed="false">
      <c r="B142" s="42" t="n">
        <v>133</v>
      </c>
      <c r="C142" s="9" t="s">
        <v>275</v>
      </c>
      <c r="D142" s="9" t="s">
        <v>412</v>
      </c>
      <c r="E142" s="12" t="n">
        <v>734</v>
      </c>
      <c r="F142" s="24" t="n">
        <f aca="false">Grid!$D$37</f>
        <v>734.4</v>
      </c>
      <c r="G142" s="46" t="n">
        <f aca="false">IFERROR(IF(ISNUMBER(F142),F142-E142,"n/a"),"n/a")</f>
        <v>0.399999999999977</v>
      </c>
      <c r="H142" s="47" t="n">
        <v>0.500000001</v>
      </c>
      <c r="I142" s="41" t="str">
        <f aca="false">IFERROR(IF(ISNUMBER(F142),IF(ABS(F142-E142)&lt;=H142,"PASS","FAIL"),"FAIL"),"FAIL")</f>
        <v>PASS</v>
      </c>
    </row>
    <row r="143" customFormat="false" ht="15" hidden="false" customHeight="false" outlineLevel="0" collapsed="false">
      <c r="B143" s="42" t="n">
        <v>134</v>
      </c>
      <c r="C143" s="9" t="s">
        <v>275</v>
      </c>
      <c r="D143" s="9" t="s">
        <v>413</v>
      </c>
      <c r="E143" s="12" t="n">
        <v>2938</v>
      </c>
      <c r="F143" s="24" t="n">
        <f aca="false">Grid!$D$39</f>
        <v>2937.6</v>
      </c>
      <c r="G143" s="46" t="n">
        <f aca="false">IFERROR(IF(ISNUMBER(F143),F143-E143,"n/a"),"n/a")</f>
        <v>-0.400000000000091</v>
      </c>
      <c r="H143" s="47" t="n">
        <v>0.500000001</v>
      </c>
      <c r="I143" s="41" t="str">
        <f aca="false">IFERROR(IF(ISNUMBER(F143),IF(ABS(F143-E143)&lt;=H143,"PASS","FAIL"),"FAIL"),"FAIL")</f>
        <v>PASS</v>
      </c>
    </row>
    <row r="144" customFormat="false" ht="15" hidden="false" customHeight="false" outlineLevel="0" collapsed="false">
      <c r="B144" s="42" t="n">
        <v>135</v>
      </c>
      <c r="C144" s="9" t="s">
        <v>275</v>
      </c>
      <c r="D144" s="9" t="s">
        <v>414</v>
      </c>
      <c r="E144" s="12" t="n">
        <v>267</v>
      </c>
      <c r="F144" s="24" t="n">
        <f aca="false">Grid!$D$41</f>
        <v>266.666666666667</v>
      </c>
      <c r="G144" s="46" t="n">
        <f aca="false">IFERROR(IF(ISNUMBER(F144),F144-E144,"n/a"),"n/a")</f>
        <v>-0.333333333332575</v>
      </c>
      <c r="H144" s="47" t="n">
        <v>0.500000001</v>
      </c>
      <c r="I144" s="41" t="str">
        <f aca="false">IFERROR(IF(ISNUMBER(F144),IF(ABS(F144-E144)&lt;=H144,"PASS","FAIL"),"FAIL"),"FAIL")</f>
        <v>PASS</v>
      </c>
    </row>
    <row r="145" customFormat="false" ht="15" hidden="false" customHeight="false" outlineLevel="0" collapsed="false">
      <c r="B145" s="42" t="n">
        <v>136</v>
      </c>
      <c r="C145" s="9" t="s">
        <v>275</v>
      </c>
      <c r="D145" s="9" t="s">
        <v>415</v>
      </c>
      <c r="E145" s="12" t="n">
        <v>146880</v>
      </c>
      <c r="F145" s="24" t="n">
        <f aca="false">Grid!$D$31</f>
        <v>146880</v>
      </c>
      <c r="G145" s="46" t="n">
        <f aca="false">IFERROR(IF(ISNUMBER(F145),F145-E145,"n/a"),"n/a")</f>
        <v>0</v>
      </c>
      <c r="H145" s="47" t="n">
        <v>0.500000001</v>
      </c>
      <c r="I145" s="41" t="str">
        <f aca="false">IFERROR(IF(ISNUMBER(F145),IF(ABS(F145-E145)&lt;=H145,"PASS","FAIL"),"FAIL"),"FAIL")</f>
        <v>PASS</v>
      </c>
    </row>
    <row r="146" customFormat="false" ht="15" hidden="false" customHeight="false" outlineLevel="0" collapsed="false">
      <c r="B146" s="42" t="n">
        <v>137</v>
      </c>
      <c r="C146" s="9" t="s">
        <v>275</v>
      </c>
      <c r="D146" s="9" t="s">
        <v>416</v>
      </c>
      <c r="E146" s="12" t="n">
        <v>168819</v>
      </c>
      <c r="F146" s="24" t="n">
        <f aca="false">Grid!$D$43</f>
        <v>168818.666666667</v>
      </c>
      <c r="G146" s="46" t="n">
        <f aca="false">IFERROR(IF(ISNUMBER(F146),F146-E146,"n/a"),"n/a")</f>
        <v>-0.333333333343035</v>
      </c>
      <c r="H146" s="47" t="n">
        <v>0.500000001</v>
      </c>
      <c r="I146" s="41" t="str">
        <f aca="false">IFERROR(IF(ISNUMBER(F146),IF(ABS(F146-E146)&lt;=H146,"PASS","FAIL"),"FAIL"),"FAIL")</f>
        <v>PASS</v>
      </c>
    </row>
    <row r="147" customFormat="false" ht="15" hidden="false" customHeight="false" outlineLevel="0" collapsed="false">
      <c r="B147" s="42" t="n">
        <v>138</v>
      </c>
      <c r="C147" s="9" t="s">
        <v>275</v>
      </c>
      <c r="D147" s="9" t="s">
        <v>417</v>
      </c>
      <c r="E147" s="12" t="n">
        <v>12154944</v>
      </c>
      <c r="F147" s="24" t="n">
        <f aca="false">Grid!$D$44</f>
        <v>12154944</v>
      </c>
      <c r="G147" s="46" t="n">
        <f aca="false">IFERROR(IF(ISNUMBER(F147),F147-E147,"n/a"),"n/a")</f>
        <v>0</v>
      </c>
      <c r="H147" s="47" t="n">
        <v>0.500000001</v>
      </c>
      <c r="I147" s="41" t="str">
        <f aca="false">IFERROR(IF(ISNUMBER(F147),IF(ABS(F147-E147)&lt;=H147,"PASS","FAIL"),"FAIL"),"FAIL")</f>
        <v>PASS</v>
      </c>
    </row>
    <row r="148" customFormat="false" ht="15" hidden="false" customHeight="false" outlineLevel="0" collapsed="false">
      <c r="B148" s="42" t="n">
        <v>139</v>
      </c>
      <c r="C148" s="9" t="s">
        <v>275</v>
      </c>
      <c r="D148" s="9" t="s">
        <v>418</v>
      </c>
      <c r="E148" s="32" t="n">
        <v>0.223</v>
      </c>
      <c r="F148" s="50" t="n">
        <f aca="false">Grid!$D$46</f>
        <v>0.223323671497585</v>
      </c>
      <c r="G148" s="46" t="n">
        <f aca="false">IFERROR(IF(ISNUMBER(F148),F148-E148,"n/a"),"n/a")</f>
        <v>0.000323671497584555</v>
      </c>
      <c r="H148" s="47" t="n">
        <v>0.000500001</v>
      </c>
      <c r="I148" s="41" t="str">
        <f aca="false">IFERROR(IF(ISNUMBER(F148),IF(ABS(F148-E148)&lt;=H148,"PASS","FAIL"),"FAIL"),"FAIL")</f>
        <v>PASS</v>
      </c>
    </row>
    <row r="149" customFormat="false" ht="15" hidden="false" customHeight="false" outlineLevel="0" collapsed="false">
      <c r="B149" s="42" t="n">
        <v>140</v>
      </c>
      <c r="C149" s="9" t="s">
        <v>275</v>
      </c>
      <c r="D149" s="9" t="s">
        <v>419</v>
      </c>
      <c r="E149" s="32" t="n">
        <v>0.223</v>
      </c>
      <c r="F149" s="50" t="n">
        <f aca="false">Grid!$D$48</f>
        <v>0.223323671497584</v>
      </c>
      <c r="G149" s="46" t="n">
        <f aca="false">IFERROR(IF(ISNUMBER(F149),F149-E149,"n/a"),"n/a")</f>
        <v>0.000323671497584471</v>
      </c>
      <c r="H149" s="47" t="n">
        <v>0.000500001</v>
      </c>
      <c r="I149" s="41" t="str">
        <f aca="false">IFERROR(IF(ISNUMBER(F149),IF(ABS(F149-E149)&lt;=H149,"PASS","FAIL"),"FAIL"),"FAIL")</f>
        <v>PASS</v>
      </c>
    </row>
    <row r="150" customFormat="false" ht="15" hidden="false" customHeight="false" outlineLevel="0" collapsed="false">
      <c r="B150" s="42" t="n">
        <v>141</v>
      </c>
      <c r="C150" s="9" t="s">
        <v>275</v>
      </c>
      <c r="D150" s="9" t="s">
        <v>420</v>
      </c>
      <c r="E150" s="12" t="n">
        <v>-3840</v>
      </c>
      <c r="F150" s="24" t="n">
        <f aca="false">Grid!$E$22</f>
        <v>-3840</v>
      </c>
      <c r="G150" s="46" t="n">
        <f aca="false">IFERROR(IF(ISNUMBER(F150),F150-E150,"n/a"),"n/a")</f>
        <v>0</v>
      </c>
      <c r="H150" s="47" t="n">
        <v>0.500000001</v>
      </c>
      <c r="I150" s="41" t="str">
        <f aca="false">IFERROR(IF(ISNUMBER(F150),IF(ABS(F150-E150)&lt;=H150,"PASS","FAIL"),"FAIL"),"FAIL")</f>
        <v>PASS</v>
      </c>
    </row>
    <row r="151" customFormat="false" ht="15" hidden="false" customHeight="false" outlineLevel="0" collapsed="false">
      <c r="B151" s="42" t="n">
        <v>142</v>
      </c>
      <c r="C151" s="9" t="s">
        <v>275</v>
      </c>
      <c r="D151" s="9" t="s">
        <v>421</v>
      </c>
      <c r="E151" s="12" t="n">
        <v>0</v>
      </c>
      <c r="F151" s="24" t="n">
        <f aca="false">Grid!$E$25</f>
        <v>0</v>
      </c>
      <c r="G151" s="46" t="n">
        <f aca="false">IFERROR(IF(ISNUMBER(F151),F151-E151,"n/a"),"n/a")</f>
        <v>0</v>
      </c>
      <c r="H151" s="47" t="n">
        <v>0.500000001</v>
      </c>
      <c r="I151" s="41" t="str">
        <f aca="false">IFERROR(IF(ISNUMBER(F151),IF(ABS(F151-E151)&lt;=H151,"PASS","FAIL"),"FAIL"),"FAIL")</f>
        <v>PASS</v>
      </c>
    </row>
    <row r="152" customFormat="false" ht="15" hidden="false" customHeight="false" outlineLevel="0" collapsed="false">
      <c r="B152" s="42" t="n">
        <v>143</v>
      </c>
      <c r="C152" s="9" t="s">
        <v>275</v>
      </c>
      <c r="D152" s="9" t="s">
        <v>422</v>
      </c>
      <c r="E152" s="12" t="n">
        <v>0</v>
      </c>
      <c r="F152" s="24" t="n">
        <f aca="false">Grid!$E$27</f>
        <v>0</v>
      </c>
      <c r="G152" s="46" t="n">
        <f aca="false">IFERROR(IF(ISNUMBER(F152),F152-E152,"n/a"),"n/a")</f>
        <v>0</v>
      </c>
      <c r="H152" s="47" t="n">
        <v>0.500000001</v>
      </c>
      <c r="I152" s="41" t="str">
        <f aca="false">IFERROR(IF(ISNUMBER(F152),IF(ABS(F152-E152)&lt;=H152,"PASS","FAIL"),"FAIL"),"FAIL")</f>
        <v>PASS</v>
      </c>
    </row>
    <row r="153" customFormat="false" ht="15" hidden="false" customHeight="false" outlineLevel="0" collapsed="false">
      <c r="B153" s="42" t="n">
        <v>144</v>
      </c>
      <c r="C153" s="9" t="s">
        <v>275</v>
      </c>
      <c r="D153" s="9" t="s">
        <v>423</v>
      </c>
      <c r="E153" s="12" t="n">
        <v>5174</v>
      </c>
      <c r="F153" s="24" t="n">
        <f aca="false">Grid!$E$30</f>
        <v>5174.4</v>
      </c>
      <c r="G153" s="46" t="n">
        <f aca="false">IFERROR(IF(ISNUMBER(F153),F153-E153,"n/a"),"n/a")</f>
        <v>0.400000000000546</v>
      </c>
      <c r="H153" s="47" t="n">
        <v>0.500000001</v>
      </c>
      <c r="I153" s="41" t="str">
        <f aca="false">IFERROR(IF(ISNUMBER(F153),IF(ABS(F153-E153)&lt;=H153,"PASS","FAIL"),"FAIL"),"FAIL")</f>
        <v>PASS</v>
      </c>
    </row>
    <row r="154" customFormat="false" ht="15" hidden="false" customHeight="false" outlineLevel="0" collapsed="false">
      <c r="B154" s="42" t="n">
        <v>145</v>
      </c>
      <c r="C154" s="9" t="s">
        <v>275</v>
      </c>
      <c r="D154" s="9" t="s">
        <v>424</v>
      </c>
      <c r="E154" s="12" t="n">
        <v>0</v>
      </c>
      <c r="F154" s="24" t="n">
        <f aca="false">Grid!$E$33</f>
        <v>0</v>
      </c>
      <c r="G154" s="46" t="n">
        <f aca="false">IFERROR(IF(ISNUMBER(F154),F154-E154,"n/a"),"n/a")</f>
        <v>0</v>
      </c>
      <c r="H154" s="47" t="n">
        <v>0.500000001</v>
      </c>
      <c r="I154" s="41" t="str">
        <f aca="false">IFERROR(IF(ISNUMBER(F154),IF(ABS(F154-E154)&lt;=H154,"PASS","FAIL"),"FAIL"),"FAIL")</f>
        <v>PASS</v>
      </c>
    </row>
    <row r="155" customFormat="false" ht="15" hidden="false" customHeight="false" outlineLevel="0" collapsed="false">
      <c r="B155" s="42" t="n">
        <v>146</v>
      </c>
      <c r="C155" s="9" t="s">
        <v>275</v>
      </c>
      <c r="D155" s="9" t="s">
        <v>425</v>
      </c>
      <c r="E155" s="12" t="n">
        <v>-18000</v>
      </c>
      <c r="F155" s="24" t="n">
        <f aca="false">Grid!$E$35</f>
        <v>-18000</v>
      </c>
      <c r="G155" s="46" t="n">
        <f aca="false">IFERROR(IF(ISNUMBER(F155),F155-E155,"n/a"),"n/a")</f>
        <v>0</v>
      </c>
      <c r="H155" s="47" t="n">
        <v>0.500000001</v>
      </c>
      <c r="I155" s="41" t="str">
        <f aca="false">IFERROR(IF(ISNUMBER(F155),IF(ABS(F155-E155)&lt;=H155,"PASS","FAIL"),"FAIL"),"FAIL")</f>
        <v>PASS</v>
      </c>
    </row>
    <row r="156" customFormat="false" ht="15" hidden="false" customHeight="false" outlineLevel="0" collapsed="false">
      <c r="B156" s="42" t="n">
        <v>147</v>
      </c>
      <c r="C156" s="9" t="s">
        <v>275</v>
      </c>
      <c r="D156" s="9" t="s">
        <v>426</v>
      </c>
      <c r="E156" s="12" t="n">
        <v>-1933</v>
      </c>
      <c r="F156" s="24" t="n">
        <f aca="false">Grid!$E$37</f>
        <v>-1933.344</v>
      </c>
      <c r="G156" s="46" t="n">
        <f aca="false">IFERROR(IF(ISNUMBER(F156),F156-E156,"n/a"),"n/a")</f>
        <v>-0.344000000000051</v>
      </c>
      <c r="H156" s="47" t="n">
        <v>0.500000001</v>
      </c>
      <c r="I156" s="41" t="str">
        <f aca="false">IFERROR(IF(ISNUMBER(F156),IF(ABS(F156-E156)&lt;=H156,"PASS","FAIL"),"FAIL"),"FAIL")</f>
        <v>PASS</v>
      </c>
    </row>
    <row r="157" customFormat="false" ht="15" hidden="false" customHeight="false" outlineLevel="0" collapsed="false">
      <c r="B157" s="42" t="n">
        <v>148</v>
      </c>
      <c r="C157" s="9" t="s">
        <v>275</v>
      </c>
      <c r="D157" s="9" t="s">
        <v>427</v>
      </c>
      <c r="E157" s="12" t="n">
        <v>0</v>
      </c>
      <c r="F157" s="24" t="n">
        <f aca="false">Grid!$E$39</f>
        <v>0</v>
      </c>
      <c r="G157" s="46" t="n">
        <f aca="false">IFERROR(IF(ISNUMBER(F157),F157-E157,"n/a"),"n/a")</f>
        <v>0</v>
      </c>
      <c r="H157" s="47" t="n">
        <v>0.500000001</v>
      </c>
      <c r="I157" s="41" t="str">
        <f aca="false">IFERROR(IF(ISNUMBER(F157),IF(ABS(F157-E157)&lt;=H157,"PASS","FAIL"),"FAIL"),"FAIL")</f>
        <v>PASS</v>
      </c>
    </row>
    <row r="158" customFormat="false" ht="15" hidden="false" customHeight="false" outlineLevel="0" collapsed="false">
      <c r="B158" s="42" t="n">
        <v>149</v>
      </c>
      <c r="C158" s="9" t="s">
        <v>275</v>
      </c>
      <c r="D158" s="9" t="s">
        <v>428</v>
      </c>
      <c r="E158" s="12" t="n">
        <v>-1083</v>
      </c>
      <c r="F158" s="24" t="n">
        <f aca="false">Grid!$E$41</f>
        <v>-1083.33333333333</v>
      </c>
      <c r="G158" s="46" t="n">
        <f aca="false">IFERROR(IF(ISNUMBER(F158),F158-E158,"n/a"),"n/a")</f>
        <v>-0.333333333332575</v>
      </c>
      <c r="H158" s="47" t="n">
        <v>0.500000001</v>
      </c>
      <c r="I158" s="41" t="str">
        <f aca="false">IFERROR(IF(ISNUMBER(F158),IF(ABS(F158-E158)&lt;=H158,"PASS","FAIL"),"FAIL"),"FAIL")</f>
        <v>PASS</v>
      </c>
    </row>
    <row r="159" customFormat="false" ht="15" hidden="false" customHeight="false" outlineLevel="0" collapsed="false">
      <c r="B159" s="42" t="n">
        <v>150</v>
      </c>
      <c r="C159" s="9" t="s">
        <v>275</v>
      </c>
      <c r="D159" s="9" t="s">
        <v>429</v>
      </c>
      <c r="E159" s="12" t="n">
        <v>193334</v>
      </c>
      <c r="F159" s="24" t="n">
        <f aca="false">Grid!$E$31</f>
        <v>193334.4</v>
      </c>
      <c r="G159" s="46" t="n">
        <f aca="false">IFERROR(IF(ISNUMBER(F159),F159-E159,"n/a"),"n/a")</f>
        <v>0.399999999994179</v>
      </c>
      <c r="H159" s="47" t="n">
        <v>0.500000001</v>
      </c>
      <c r="I159" s="41" t="str">
        <f aca="false">IFERROR(IF(ISNUMBER(F159),IF(ABS(F159-E159)&lt;=H159,"PASS","FAIL"),"FAIL"),"FAIL")</f>
        <v>PASS</v>
      </c>
    </row>
    <row r="160" customFormat="false" ht="15" hidden="false" customHeight="false" outlineLevel="0" collapsed="false">
      <c r="B160" s="42" t="n">
        <v>151</v>
      </c>
      <c r="C160" s="9" t="s">
        <v>275</v>
      </c>
      <c r="D160" s="9" t="s">
        <v>430</v>
      </c>
      <c r="E160" s="12" t="n">
        <v>172318</v>
      </c>
      <c r="F160" s="24" t="n">
        <f aca="false">Grid!$E$43</f>
        <v>172317.722666667</v>
      </c>
      <c r="G160" s="46" t="n">
        <f aca="false">IFERROR(IF(ISNUMBER(F160),F160-E160,"n/a"),"n/a")</f>
        <v>-0.277333333331626</v>
      </c>
      <c r="H160" s="47" t="n">
        <v>0.500000001</v>
      </c>
      <c r="I160" s="41" t="str">
        <f aca="false">IFERROR(IF(ISNUMBER(F160),IF(ABS(F160-E160)&lt;=H160,"PASS","FAIL"),"FAIL"),"FAIL")</f>
        <v>PASS</v>
      </c>
    </row>
    <row r="161" customFormat="false" ht="15" hidden="false" customHeight="false" outlineLevel="0" collapsed="false">
      <c r="B161" s="42" t="n">
        <v>152</v>
      </c>
      <c r="C161" s="9" t="s">
        <v>275</v>
      </c>
      <c r="D161" s="9" t="s">
        <v>431</v>
      </c>
      <c r="E161" s="12" t="n">
        <v>12406876</v>
      </c>
      <c r="F161" s="24" t="n">
        <f aca="false">Grid!$E$44</f>
        <v>12406876.032</v>
      </c>
      <c r="G161" s="46" t="n">
        <f aca="false">IFERROR(IF(ISNUMBER(F161),F161-E161,"n/a"),"n/a")</f>
        <v>0.0319999996572733</v>
      </c>
      <c r="H161" s="47" t="n">
        <v>0.500000001</v>
      </c>
      <c r="I161" s="41" t="str">
        <f aca="false">IFERROR(IF(ISNUMBER(F161),IF(ABS(F161-E161)&lt;=H161,"PASS","FAIL"),"FAIL"),"FAIL")</f>
        <v>PASS</v>
      </c>
    </row>
    <row r="162" customFormat="false" ht="15" hidden="false" customHeight="false" outlineLevel="0" collapsed="false">
      <c r="B162" s="42" t="n">
        <v>153</v>
      </c>
      <c r="C162" s="9" t="s">
        <v>275</v>
      </c>
      <c r="D162" s="9" t="s">
        <v>432</v>
      </c>
      <c r="E162" s="32" t="n">
        <v>0.156</v>
      </c>
      <c r="F162" s="50" t="n">
        <f aca="false">Grid!$E$46</f>
        <v>0.156411861111111</v>
      </c>
      <c r="G162" s="46" t="n">
        <f aca="false">IFERROR(IF(ISNUMBER(F162),F162-E162,"n/a"),"n/a")</f>
        <v>0.000411861111111106</v>
      </c>
      <c r="H162" s="47" t="n">
        <v>0.000500001</v>
      </c>
      <c r="I162" s="41" t="str">
        <f aca="false">IFERROR(IF(ISNUMBER(F162),IF(ABS(F162-E162)&lt;=H162,"PASS","FAIL"),"FAIL"),"FAIL")</f>
        <v>PASS</v>
      </c>
    </row>
    <row r="163" customFormat="false" ht="15" hidden="false" customHeight="false" outlineLevel="0" collapsed="false">
      <c r="B163" s="42" t="n">
        <v>154</v>
      </c>
      <c r="C163" s="9" t="s">
        <v>275</v>
      </c>
      <c r="D163" s="9" t="s">
        <v>433</v>
      </c>
      <c r="E163" s="32" t="n">
        <v>-0.103</v>
      </c>
      <c r="F163" s="50" t="n">
        <f aca="false">Grid!$E$48</f>
        <v>-0.102511861111111</v>
      </c>
      <c r="G163" s="46" t="n">
        <f aca="false">IFERROR(IF(ISNUMBER(F163),F163-E163,"n/a"),"n/a")</f>
        <v>0.000488138888888892</v>
      </c>
      <c r="H163" s="47" t="n">
        <v>0.000500001</v>
      </c>
      <c r="I163" s="41" t="str">
        <f aca="false">IFERROR(IF(ISNUMBER(F163),IF(ABS(F163-E163)&lt;=H163,"PASS","FAIL"),"FAIL"),"FAIL")</f>
        <v>PASS</v>
      </c>
    </row>
    <row r="164" customFormat="false" ht="15" hidden="false" customHeight="false" outlineLevel="0" collapsed="false">
      <c r="B164" s="42" t="n">
        <v>155</v>
      </c>
      <c r="C164" s="9" t="s">
        <v>275</v>
      </c>
      <c r="D164" s="9" t="s">
        <v>434</v>
      </c>
      <c r="E164" s="12" t="n">
        <v>0</v>
      </c>
      <c r="F164" s="24" t="n">
        <f aca="false">Grid!$F$22</f>
        <v>0</v>
      </c>
      <c r="G164" s="46" t="n">
        <f aca="false">IFERROR(IF(ISNUMBER(F164),F164-E164,"n/a"),"n/a")</f>
        <v>0</v>
      </c>
      <c r="H164" s="47" t="n">
        <v>0.500000001</v>
      </c>
      <c r="I164" s="41" t="str">
        <f aca="false">IFERROR(IF(ISNUMBER(F164),IF(ABS(F164-E164)&lt;=H164,"PASS","FAIL"),"FAIL"),"FAIL")</f>
        <v>PASS</v>
      </c>
    </row>
    <row r="165" customFormat="false" ht="15" hidden="false" customHeight="false" outlineLevel="0" collapsed="false">
      <c r="B165" s="42" t="n">
        <v>156</v>
      </c>
      <c r="C165" s="9" t="s">
        <v>275</v>
      </c>
      <c r="D165" s="9" t="s">
        <v>435</v>
      </c>
      <c r="E165" s="12" t="n">
        <v>0</v>
      </c>
      <c r="F165" s="24" t="n">
        <f aca="false">Grid!$F$25</f>
        <v>0</v>
      </c>
      <c r="G165" s="46" t="n">
        <f aca="false">IFERROR(IF(ISNUMBER(F165),F165-E165,"n/a"),"n/a")</f>
        <v>0</v>
      </c>
      <c r="H165" s="47" t="n">
        <v>0.500000001</v>
      </c>
      <c r="I165" s="41" t="str">
        <f aca="false">IFERROR(IF(ISNUMBER(F165),IF(ABS(F165-E165)&lt;=H165,"PASS","FAIL"),"FAIL"),"FAIL")</f>
        <v>PASS</v>
      </c>
    </row>
    <row r="166" customFormat="false" ht="15" hidden="false" customHeight="false" outlineLevel="0" collapsed="false">
      <c r="B166" s="42" t="n">
        <v>157</v>
      </c>
      <c r="C166" s="9" t="s">
        <v>275</v>
      </c>
      <c r="D166" s="9" t="s">
        <v>436</v>
      </c>
      <c r="E166" s="12" t="n">
        <v>0</v>
      </c>
      <c r="F166" s="24" t="n">
        <f aca="false">Grid!$F$27</f>
        <v>0</v>
      </c>
      <c r="G166" s="46" t="n">
        <f aca="false">IFERROR(IF(ISNUMBER(F166),F166-E166,"n/a"),"n/a")</f>
        <v>0</v>
      </c>
      <c r="H166" s="47" t="n">
        <v>0.500000001</v>
      </c>
      <c r="I166" s="41" t="str">
        <f aca="false">IFERROR(IF(ISNUMBER(F166),IF(ABS(F166-E166)&lt;=H166,"PASS","FAIL"),"FAIL"),"FAIL")</f>
        <v>PASS</v>
      </c>
    </row>
    <row r="167" customFormat="false" ht="15" hidden="false" customHeight="false" outlineLevel="0" collapsed="false">
      <c r="B167" s="42" t="n">
        <v>158</v>
      </c>
      <c r="C167" s="9" t="s">
        <v>275</v>
      </c>
      <c r="D167" s="9" t="s">
        <v>437</v>
      </c>
      <c r="E167" s="12" t="n">
        <v>1947</v>
      </c>
      <c r="F167" s="24" t="n">
        <f aca="false">Grid!$F$30</f>
        <v>1946.875</v>
      </c>
      <c r="G167" s="46" t="n">
        <f aca="false">IFERROR(IF(ISNUMBER(F167),F167-E167,"n/a"),"n/a")</f>
        <v>-0.125</v>
      </c>
      <c r="H167" s="47" t="n">
        <v>0.500000001</v>
      </c>
      <c r="I167" s="41" t="str">
        <f aca="false">IFERROR(IF(ISNUMBER(F167),IF(ABS(F167-E167)&lt;=H167,"PASS","FAIL"),"FAIL"),"FAIL")</f>
        <v>PASS</v>
      </c>
    </row>
    <row r="168" customFormat="false" ht="15" hidden="false" customHeight="false" outlineLevel="0" collapsed="false">
      <c r="B168" s="42" t="n">
        <v>159</v>
      </c>
      <c r="C168" s="9" t="s">
        <v>275</v>
      </c>
      <c r="D168" s="9" t="s">
        <v>438</v>
      </c>
      <c r="E168" s="12" t="n">
        <v>11827</v>
      </c>
      <c r="F168" s="24" t="n">
        <f aca="false">Grid!$F$33</f>
        <v>11827.265625</v>
      </c>
      <c r="G168" s="46" t="n">
        <f aca="false">IFERROR(IF(ISNUMBER(F168),F168-E168,"n/a"),"n/a")</f>
        <v>0.265624999992724</v>
      </c>
      <c r="H168" s="47" t="n">
        <v>0.500000001</v>
      </c>
      <c r="I168" s="41" t="str">
        <f aca="false">IFERROR(IF(ISNUMBER(F168),IF(ABS(F168-E168)&lt;=H168,"PASS","FAIL"),"FAIL"),"FAIL")</f>
        <v>PASS</v>
      </c>
    </row>
    <row r="169" customFormat="false" ht="15" hidden="false" customHeight="false" outlineLevel="0" collapsed="false">
      <c r="B169" s="42" t="n">
        <v>160</v>
      </c>
      <c r="C169" s="9" t="s">
        <v>275</v>
      </c>
      <c r="D169" s="9" t="s">
        <v>439</v>
      </c>
      <c r="E169" s="12" t="n">
        <v>0</v>
      </c>
      <c r="F169" s="24" t="n">
        <f aca="false">Grid!$F$35</f>
        <v>0</v>
      </c>
      <c r="G169" s="46" t="n">
        <f aca="false">IFERROR(IF(ISNUMBER(F169),F169-E169,"n/a"),"n/a")</f>
        <v>0</v>
      </c>
      <c r="H169" s="47" t="n">
        <v>0.500000001</v>
      </c>
      <c r="I169" s="41" t="str">
        <f aca="false">IFERROR(IF(ISNUMBER(F169),IF(ABS(F169-E169)&lt;=H169,"PASS","FAIL"),"FAIL"),"FAIL")</f>
        <v>PASS</v>
      </c>
    </row>
    <row r="170" customFormat="false" ht="15" hidden="false" customHeight="false" outlineLevel="0" collapsed="false">
      <c r="B170" s="42" t="n">
        <v>161</v>
      </c>
      <c r="C170" s="9" t="s">
        <v>275</v>
      </c>
      <c r="D170" s="9" t="s">
        <v>440</v>
      </c>
      <c r="E170" s="12" t="n">
        <v>0</v>
      </c>
      <c r="F170" s="24" t="n">
        <f aca="false">Grid!$F$37</f>
        <v>0</v>
      </c>
      <c r="G170" s="46" t="n">
        <f aca="false">IFERROR(IF(ISNUMBER(F170),F170-E170,"n/a"),"n/a")</f>
        <v>0</v>
      </c>
      <c r="H170" s="47" t="n">
        <v>0.500000001</v>
      </c>
      <c r="I170" s="41" t="str">
        <f aca="false">IFERROR(IF(ISNUMBER(F170),IF(ABS(F170-E170)&lt;=H170,"PASS","FAIL"),"FAIL"),"FAIL")</f>
        <v>PASS</v>
      </c>
    </row>
    <row r="171" customFormat="false" ht="15" hidden="false" customHeight="false" outlineLevel="0" collapsed="false">
      <c r="B171" s="42" t="n">
        <v>162</v>
      </c>
      <c r="C171" s="9" t="s">
        <v>275</v>
      </c>
      <c r="D171" s="9" t="s">
        <v>441</v>
      </c>
      <c r="E171" s="12" t="n">
        <v>0</v>
      </c>
      <c r="F171" s="24" t="n">
        <f aca="false">Grid!$F$39</f>
        <v>0</v>
      </c>
      <c r="G171" s="46" t="n">
        <f aca="false">IFERROR(IF(ISNUMBER(F171),F171-E171,"n/a"),"n/a")</f>
        <v>0</v>
      </c>
      <c r="H171" s="47" t="n">
        <v>0.500000001</v>
      </c>
      <c r="I171" s="41" t="str">
        <f aca="false">IFERROR(IF(ISNUMBER(F171),IF(ABS(F171-E171)&lt;=H171,"PASS","FAIL"),"FAIL"),"FAIL")</f>
        <v>PASS</v>
      </c>
    </row>
    <row r="172" customFormat="false" ht="15" hidden="false" customHeight="false" outlineLevel="0" collapsed="false">
      <c r="B172" s="42" t="n">
        <v>163</v>
      </c>
      <c r="C172" s="9" t="s">
        <v>275</v>
      </c>
      <c r="D172" s="9" t="s">
        <v>442</v>
      </c>
      <c r="E172" s="12" t="n">
        <v>-33</v>
      </c>
      <c r="F172" s="24" t="n">
        <f aca="false">Grid!$F$41</f>
        <v>-33.3333333333326</v>
      </c>
      <c r="G172" s="46" t="n">
        <f aca="false">IFERROR(IF(ISNUMBER(F172),F172-E172,"n/a"),"n/a")</f>
        <v>-0.333333333332575</v>
      </c>
      <c r="H172" s="47" t="n">
        <v>0.500000001</v>
      </c>
      <c r="I172" s="41" t="str">
        <f aca="false">IFERROR(IF(ISNUMBER(F172),IF(ABS(F172-E172)&lt;=H172,"PASS","FAIL"),"FAIL"),"FAIL")</f>
        <v>PASS</v>
      </c>
    </row>
    <row r="173" customFormat="false" ht="15" hidden="false" customHeight="false" outlineLevel="0" collapsed="false">
      <c r="B173" s="42" t="n">
        <v>164</v>
      </c>
      <c r="C173" s="9" t="s">
        <v>275</v>
      </c>
      <c r="D173" s="9" t="s">
        <v>443</v>
      </c>
      <c r="E173" s="12" t="n">
        <v>157697</v>
      </c>
      <c r="F173" s="24" t="n">
        <f aca="false">Grid!$F$31</f>
        <v>157696.875</v>
      </c>
      <c r="G173" s="46" t="n">
        <f aca="false">IFERROR(IF(ISNUMBER(F173),F173-E173,"n/a"),"n/a")</f>
        <v>-0.125</v>
      </c>
      <c r="H173" s="47" t="n">
        <v>0.500000001</v>
      </c>
      <c r="I173" s="41" t="str">
        <f aca="false">IFERROR(IF(ISNUMBER(F173),IF(ABS(F173-E173)&lt;=H173,"PASS","FAIL"),"FAIL"),"FAIL")</f>
        <v>PASS</v>
      </c>
    </row>
    <row r="174" customFormat="false" ht="15" hidden="false" customHeight="false" outlineLevel="0" collapsed="false">
      <c r="B174" s="42" t="n">
        <v>165</v>
      </c>
      <c r="C174" s="9" t="s">
        <v>275</v>
      </c>
      <c r="D174" s="9" t="s">
        <v>444</v>
      </c>
      <c r="E174" s="12" t="n">
        <v>169491</v>
      </c>
      <c r="F174" s="24" t="n">
        <f aca="false">Grid!$F$43</f>
        <v>169490.807291667</v>
      </c>
      <c r="G174" s="46" t="n">
        <f aca="false">IFERROR(IF(ISNUMBER(F174),F174-E174,"n/a"),"n/a")</f>
        <v>-0.192708333343035</v>
      </c>
      <c r="H174" s="47" t="n">
        <v>0.500000001</v>
      </c>
      <c r="I174" s="41" t="str">
        <f aca="false">IFERROR(IF(ISNUMBER(F174),IF(ABS(F174-E174)&lt;=H174,"PASS","FAIL"),"FAIL"),"FAIL")</f>
        <v>PASS</v>
      </c>
    </row>
    <row r="175" customFormat="false" ht="15" hidden="false" customHeight="false" outlineLevel="0" collapsed="false">
      <c r="B175" s="42" t="n">
        <v>166</v>
      </c>
      <c r="C175" s="9" t="s">
        <v>275</v>
      </c>
      <c r="D175" s="9" t="s">
        <v>445</v>
      </c>
      <c r="E175" s="12" t="n">
        <v>12203338</v>
      </c>
      <c r="F175" s="24" t="n">
        <f aca="false">Grid!$F$44</f>
        <v>12203338.125</v>
      </c>
      <c r="G175" s="46" t="n">
        <f aca="false">IFERROR(IF(ISNUMBER(F175),F175-E175,"n/a"),"n/a")</f>
        <v>0.125</v>
      </c>
      <c r="H175" s="47" t="n">
        <v>0.500000001</v>
      </c>
      <c r="I175" s="41" t="str">
        <f aca="false">IFERROR(IF(ISNUMBER(F175),IF(ABS(F175-E175)&lt;=H175,"PASS","FAIL"),"FAIL"),"FAIL")</f>
        <v>PASS</v>
      </c>
    </row>
    <row r="176" customFormat="false" ht="15" hidden="false" customHeight="false" outlineLevel="0" collapsed="false">
      <c r="B176" s="42" t="n">
        <v>167</v>
      </c>
      <c r="C176" s="9" t="s">
        <v>275</v>
      </c>
      <c r="D176" s="9" t="s">
        <v>446</v>
      </c>
      <c r="E176" s="32" t="n">
        <v>0.089</v>
      </c>
      <c r="F176" s="50" t="n">
        <f aca="false">Grid!$F$46</f>
        <v>0.0886515181915462</v>
      </c>
      <c r="G176" s="46" t="n">
        <f aca="false">IFERROR(IF(ISNUMBER(F176),F176-E176,"n/a"),"n/a")</f>
        <v>-0.000348481808453788</v>
      </c>
      <c r="H176" s="47" t="n">
        <v>0.000500001</v>
      </c>
      <c r="I176" s="41" t="str">
        <f aca="false">IFERROR(IF(ISNUMBER(F176),IF(ABS(F176-E176)&lt;=H176,"PASS","FAIL"),"FAIL"),"FAIL")</f>
        <v>PASS</v>
      </c>
    </row>
    <row r="177" customFormat="false" ht="15" hidden="false" customHeight="false" outlineLevel="0" collapsed="false">
      <c r="B177" s="42" t="n">
        <v>168</v>
      </c>
      <c r="C177" s="9" t="s">
        <v>275</v>
      </c>
      <c r="D177" s="9" t="s">
        <v>447</v>
      </c>
      <c r="E177" s="32" t="n">
        <v>0.088</v>
      </c>
      <c r="F177" s="50" t="n">
        <f aca="false">Grid!$F$48</f>
        <v>0.0882234818084537</v>
      </c>
      <c r="G177" s="46" t="n">
        <f aca="false">IFERROR(IF(ISNUMBER(F177),F177-E177,"n/a"),"n/a")</f>
        <v>0.000223481808453649</v>
      </c>
      <c r="H177" s="47" t="n">
        <v>0.000500001</v>
      </c>
      <c r="I177" s="41" t="str">
        <f aca="false">IFERROR(IF(ISNUMBER(F177),IF(ABS(F177-E177)&lt;=H177,"PASS","FAIL"),"FAIL"),"FAIL")</f>
        <v>PASS</v>
      </c>
    </row>
    <row r="178" customFormat="false" ht="15" hidden="false" customHeight="false" outlineLevel="0" collapsed="false">
      <c r="B178" s="42" t="n">
        <v>169</v>
      </c>
      <c r="C178" s="9" t="s">
        <v>275</v>
      </c>
      <c r="D178" s="9" t="s">
        <v>448</v>
      </c>
      <c r="E178" s="12" t="n">
        <v>0</v>
      </c>
      <c r="F178" s="24" t="n">
        <f aca="false">Grid!$G$22</f>
        <v>0</v>
      </c>
      <c r="G178" s="46" t="n">
        <f aca="false">IFERROR(IF(ISNUMBER(F178),F178-E178,"n/a"),"n/a")</f>
        <v>0</v>
      </c>
      <c r="H178" s="47" t="n">
        <v>0.500000001</v>
      </c>
      <c r="I178" s="41" t="str">
        <f aca="false">IFERROR(IF(ISNUMBER(F178),IF(ABS(F178-E178)&lt;=H178,"PASS","FAIL"),"FAIL"),"FAIL")</f>
        <v>PASS</v>
      </c>
    </row>
    <row r="179" customFormat="false" ht="15" hidden="false" customHeight="false" outlineLevel="0" collapsed="false">
      <c r="B179" s="42" t="n">
        <v>170</v>
      </c>
      <c r="C179" s="9" t="s">
        <v>275</v>
      </c>
      <c r="D179" s="9" t="s">
        <v>449</v>
      </c>
      <c r="E179" s="12" t="n">
        <v>-5160</v>
      </c>
      <c r="F179" s="24" t="n">
        <f aca="false">Grid!$G$25</f>
        <v>-5160</v>
      </c>
      <c r="G179" s="46" t="n">
        <f aca="false">IFERROR(IF(ISNUMBER(F179),F179-E179,"n/a"),"n/a")</f>
        <v>0</v>
      </c>
      <c r="H179" s="47" t="n">
        <v>0.500000001</v>
      </c>
      <c r="I179" s="41" t="str">
        <f aca="false">IFERROR(IF(ISNUMBER(F179),IF(ABS(F179-E179)&lt;=H179,"PASS","FAIL"),"FAIL"),"FAIL")</f>
        <v>PASS</v>
      </c>
    </row>
    <row r="180" customFormat="false" ht="15" hidden="false" customHeight="false" outlineLevel="0" collapsed="false">
      <c r="B180" s="42" t="n">
        <v>171</v>
      </c>
      <c r="C180" s="9" t="s">
        <v>275</v>
      </c>
      <c r="D180" s="9" t="s">
        <v>450</v>
      </c>
      <c r="E180" s="12" t="n">
        <v>0</v>
      </c>
      <c r="F180" s="24" t="n">
        <f aca="false">Grid!$G$27</f>
        <v>0</v>
      </c>
      <c r="G180" s="46" t="n">
        <f aca="false">IFERROR(IF(ISNUMBER(F180),F180-E180,"n/a"),"n/a")</f>
        <v>0</v>
      </c>
      <c r="H180" s="47" t="n">
        <v>0.500000001</v>
      </c>
      <c r="I180" s="41" t="str">
        <f aca="false">IFERROR(IF(ISNUMBER(F180),IF(ABS(F180-E180)&lt;=H180,"PASS","FAIL"),"FAIL"),"FAIL")</f>
        <v>PASS</v>
      </c>
    </row>
    <row r="181" customFormat="false" ht="15" hidden="false" customHeight="false" outlineLevel="0" collapsed="false">
      <c r="B181" s="42" t="n">
        <v>172</v>
      </c>
      <c r="C181" s="9" t="s">
        <v>275</v>
      </c>
      <c r="D181" s="9" t="s">
        <v>451</v>
      </c>
      <c r="E181" s="12" t="n">
        <v>5839</v>
      </c>
      <c r="F181" s="24" t="n">
        <f aca="false">Grid!$G$30</f>
        <v>5839.4</v>
      </c>
      <c r="G181" s="46" t="n">
        <f aca="false">IFERROR(IF(ISNUMBER(F181),F181-E181,"n/a"),"n/a")</f>
        <v>0.400000000000546</v>
      </c>
      <c r="H181" s="47" t="n">
        <v>0.500000001</v>
      </c>
      <c r="I181" s="41" t="str">
        <f aca="false">IFERROR(IF(ISNUMBER(F181),IF(ABS(F181-E181)&lt;=H181,"PASS","FAIL"),"FAIL"),"FAIL")</f>
        <v>PASS</v>
      </c>
    </row>
    <row r="182" customFormat="false" ht="15" hidden="false" customHeight="false" outlineLevel="0" collapsed="false">
      <c r="B182" s="42" t="n">
        <v>173</v>
      </c>
      <c r="C182" s="9" t="s">
        <v>275</v>
      </c>
      <c r="D182" s="9" t="s">
        <v>452</v>
      </c>
      <c r="E182" s="12" t="n">
        <v>0</v>
      </c>
      <c r="F182" s="24" t="n">
        <f aca="false">Grid!$G$33</f>
        <v>0</v>
      </c>
      <c r="G182" s="46" t="n">
        <f aca="false">IFERROR(IF(ISNUMBER(F182),F182-E182,"n/a"),"n/a")</f>
        <v>0</v>
      </c>
      <c r="H182" s="47" t="n">
        <v>0.500000001</v>
      </c>
      <c r="I182" s="41" t="str">
        <f aca="false">IFERROR(IF(ISNUMBER(F182),IF(ABS(F182-E182)&lt;=H182,"PASS","FAIL"),"FAIL"),"FAIL")</f>
        <v>PASS</v>
      </c>
    </row>
    <row r="183" customFormat="false" ht="15" hidden="false" customHeight="false" outlineLevel="0" collapsed="false">
      <c r="B183" s="42" t="n">
        <v>174</v>
      </c>
      <c r="C183" s="9" t="s">
        <v>275</v>
      </c>
      <c r="D183" s="9" t="s">
        <v>453</v>
      </c>
      <c r="E183" s="12" t="n">
        <v>0</v>
      </c>
      <c r="F183" s="24" t="n">
        <f aca="false">Grid!$G$35</f>
        <v>0</v>
      </c>
      <c r="G183" s="46" t="n">
        <f aca="false">IFERROR(IF(ISNUMBER(F183),F183-E183,"n/a"),"n/a")</f>
        <v>0</v>
      </c>
      <c r="H183" s="47" t="n">
        <v>0.500000001</v>
      </c>
      <c r="I183" s="41" t="str">
        <f aca="false">IFERROR(IF(ISNUMBER(F183),IF(ABS(F183-E183)&lt;=H183,"PASS","FAIL"),"FAIL"),"FAIL")</f>
        <v>PASS</v>
      </c>
    </row>
    <row r="184" customFormat="false" ht="15" hidden="false" customHeight="false" outlineLevel="0" collapsed="false">
      <c r="B184" s="42" t="n">
        <v>175</v>
      </c>
      <c r="C184" s="9" t="s">
        <v>275</v>
      </c>
      <c r="D184" s="9" t="s">
        <v>454</v>
      </c>
      <c r="E184" s="12" t="n">
        <v>0</v>
      </c>
      <c r="F184" s="24" t="n">
        <f aca="false">Grid!$G$37</f>
        <v>0</v>
      </c>
      <c r="G184" s="46" t="n">
        <f aca="false">IFERROR(IF(ISNUMBER(F184),F184-E184,"n/a"),"n/a")</f>
        <v>0</v>
      </c>
      <c r="H184" s="47" t="n">
        <v>0.500000001</v>
      </c>
      <c r="I184" s="41" t="str">
        <f aca="false">IFERROR(IF(ISNUMBER(F184),IF(ABS(F184-E184)&lt;=H184,"PASS","FAIL"),"FAIL"),"FAIL")</f>
        <v>PASS</v>
      </c>
    </row>
    <row r="185" customFormat="false" ht="15" hidden="false" customHeight="false" outlineLevel="0" collapsed="false">
      <c r="B185" s="42" t="n">
        <v>176</v>
      </c>
      <c r="C185" s="9" t="s">
        <v>275</v>
      </c>
      <c r="D185" s="9" t="s">
        <v>455</v>
      </c>
      <c r="E185" s="12" t="n">
        <v>-3454</v>
      </c>
      <c r="F185" s="24" t="n">
        <f aca="false">Grid!$G$39</f>
        <v>-3453.588</v>
      </c>
      <c r="G185" s="46" t="n">
        <f aca="false">IFERROR(IF(ISNUMBER(F185),F185-E185,"n/a"),"n/a")</f>
        <v>0.412000000000262</v>
      </c>
      <c r="H185" s="47" t="n">
        <v>0.500000001</v>
      </c>
      <c r="I185" s="41" t="str">
        <f aca="false">IFERROR(IF(ISNUMBER(F185),IF(ABS(F185-E185)&lt;=H185,"PASS","FAIL"),"FAIL"),"FAIL")</f>
        <v>PASS</v>
      </c>
    </row>
    <row r="186" customFormat="false" ht="15" hidden="false" customHeight="false" outlineLevel="0" collapsed="false">
      <c r="B186" s="42" t="n">
        <v>177</v>
      </c>
      <c r="C186" s="9" t="s">
        <v>275</v>
      </c>
      <c r="D186" s="9" t="s">
        <v>456</v>
      </c>
      <c r="E186" s="12" t="n">
        <v>567</v>
      </c>
      <c r="F186" s="24" t="n">
        <f aca="false">Grid!$G$41</f>
        <v>566.666666666667</v>
      </c>
      <c r="G186" s="46" t="n">
        <f aca="false">IFERROR(IF(ISNUMBER(F186),F186-E186,"n/a"),"n/a")</f>
        <v>-0.333333333332575</v>
      </c>
      <c r="H186" s="47" t="n">
        <v>0.500000001</v>
      </c>
      <c r="I186" s="41" t="str">
        <f aca="false">IFERROR(IF(ISNUMBER(F186),IF(ABS(F186-E186)&lt;=H186,"PASS","FAIL"),"FAIL"),"FAIL")</f>
        <v>PASS</v>
      </c>
    </row>
    <row r="187" customFormat="false" ht="15" hidden="false" customHeight="false" outlineLevel="0" collapsed="false">
      <c r="B187" s="42" t="n">
        <v>178</v>
      </c>
      <c r="C187" s="9" t="s">
        <v>275</v>
      </c>
      <c r="D187" s="9" t="s">
        <v>457</v>
      </c>
      <c r="E187" s="12" t="n">
        <v>172679</v>
      </c>
      <c r="F187" s="24" t="n">
        <f aca="false">Grid!$G$31</f>
        <v>172679.4</v>
      </c>
      <c r="G187" s="46" t="n">
        <f aca="false">IFERROR(IF(ISNUMBER(F187),F187-E187,"n/a"),"n/a")</f>
        <v>0.399999999994179</v>
      </c>
      <c r="H187" s="47" t="n">
        <v>0.500000001</v>
      </c>
      <c r="I187" s="41" t="str">
        <f aca="false">IFERROR(IF(ISNUMBER(F187),IF(ABS(F187-E187)&lt;=H187,"PASS","FAIL"),"FAIL"),"FAIL")</f>
        <v>PASS</v>
      </c>
    </row>
    <row r="188" customFormat="false" ht="15" hidden="false" customHeight="false" outlineLevel="0" collapsed="false">
      <c r="B188" s="42" t="n">
        <v>179</v>
      </c>
      <c r="C188" s="9" t="s">
        <v>275</v>
      </c>
      <c r="D188" s="9" t="s">
        <v>458</v>
      </c>
      <c r="E188" s="12" t="n">
        <v>169792</v>
      </c>
      <c r="F188" s="24" t="n">
        <f aca="false">Grid!$G$43</f>
        <v>169792.478666667</v>
      </c>
      <c r="G188" s="46" t="n">
        <f aca="false">IFERROR(IF(ISNUMBER(F188),F188-E188,"n/a"),"n/a")</f>
        <v>0.478666666662321</v>
      </c>
      <c r="H188" s="47" t="n">
        <v>0.500000001</v>
      </c>
      <c r="I188" s="41" t="str">
        <f aca="false">IFERROR(IF(ISNUMBER(F188),IF(ABS(F188-E188)&lt;=H188,"PASS","FAIL"),"FAIL"),"FAIL")</f>
        <v>PASS</v>
      </c>
    </row>
    <row r="189" customFormat="false" ht="15" hidden="false" customHeight="false" outlineLevel="0" collapsed="false">
      <c r="B189" s="42" t="n">
        <v>180</v>
      </c>
      <c r="C189" s="9" t="s">
        <v>275</v>
      </c>
      <c r="D189" s="9" t="s">
        <v>459</v>
      </c>
      <c r="E189" s="12" t="n">
        <v>12225058</v>
      </c>
      <c r="F189" s="24" t="n">
        <f aca="false">Grid!$G$44</f>
        <v>12225058.464</v>
      </c>
      <c r="G189" s="46" t="n">
        <f aca="false">IFERROR(IF(ISNUMBER(F189),F189-E189,"n/a"),"n/a")</f>
        <v>0.463999999687076</v>
      </c>
      <c r="H189" s="47" t="n">
        <v>0.500000001</v>
      </c>
      <c r="I189" s="41" t="str">
        <f aca="false">IFERROR(IF(ISNUMBER(F189),IF(ABS(F189-E189)&lt;=H189,"PASS","FAIL"),"FAIL"),"FAIL")</f>
        <v>PASS</v>
      </c>
    </row>
    <row r="190" customFormat="false" ht="15" hidden="false" customHeight="false" outlineLevel="0" collapsed="false">
      <c r="B190" s="42" t="n">
        <v>181</v>
      </c>
      <c r="C190" s="9" t="s">
        <v>275</v>
      </c>
      <c r="D190" s="9" t="s">
        <v>460</v>
      </c>
      <c r="E190" s="32" t="n">
        <v>0.087</v>
      </c>
      <c r="F190" s="50" t="n">
        <f aca="false">Grid!$G$46</f>
        <v>0.0873235736434109</v>
      </c>
      <c r="G190" s="46" t="n">
        <f aca="false">IFERROR(IF(ISNUMBER(F190),F190-E190,"n/a"),"n/a")</f>
        <v>0.000323573643410874</v>
      </c>
      <c r="H190" s="47" t="n">
        <v>0.000500001</v>
      </c>
      <c r="I190" s="41" t="str">
        <f aca="false">IFERROR(IF(ISNUMBER(F190),IF(ABS(F190-E190)&lt;=H190,"PASS","FAIL"),"FAIL"),"FAIL")</f>
        <v>PASS</v>
      </c>
    </row>
    <row r="191" customFormat="false" ht="15" hidden="false" customHeight="false" outlineLevel="0" collapsed="false">
      <c r="B191" s="42" t="n">
        <v>182</v>
      </c>
      <c r="C191" s="9" t="s">
        <v>275</v>
      </c>
      <c r="D191" s="9" t="s">
        <v>461</v>
      </c>
      <c r="E191" s="32" t="n">
        <v>-0.013</v>
      </c>
      <c r="F191" s="50" t="n">
        <f aca="false">Grid!$G$48</f>
        <v>-0.0128344263565892</v>
      </c>
      <c r="G191" s="46" t="n">
        <f aca="false">IFERROR(IF(ISNUMBER(F191),F191-E191,"n/a"),"n/a")</f>
        <v>0.000165573643410827</v>
      </c>
      <c r="H191" s="47" t="n">
        <v>0.000500001</v>
      </c>
      <c r="I191" s="41" t="str">
        <f aca="false">IFERROR(IF(ISNUMBER(F191),IF(ABS(F191-E191)&lt;=H191,"PASS","FAIL"),"FAIL"),"FAIL")</f>
        <v>PASS</v>
      </c>
    </row>
    <row r="192" customFormat="false" ht="15" hidden="false" customHeight="false" outlineLevel="0" collapsed="false">
      <c r="B192" s="42" t="n">
        <v>183</v>
      </c>
      <c r="C192" s="9" t="s">
        <v>275</v>
      </c>
      <c r="D192" s="9" t="s">
        <v>462</v>
      </c>
      <c r="E192" s="12" t="n">
        <v>168819</v>
      </c>
      <c r="F192" s="24" t="n">
        <f aca="false">Grid!$C$51</f>
        <v>168818.666666667</v>
      </c>
      <c r="G192" s="46" t="n">
        <f aca="false">IFERROR(IF(ISNUMBER(F192),F192-E192,"n/a"),"n/a")</f>
        <v>-0.333333333343035</v>
      </c>
      <c r="H192" s="47" t="n">
        <v>0.500000001</v>
      </c>
      <c r="I192" s="41" t="str">
        <f aca="false">IFERROR(IF(ISNUMBER(F192),IF(ABS(F192-E192)&lt;=H192,"PASS","FAIL"),"FAIL"),"FAIL")</f>
        <v>PASS</v>
      </c>
    </row>
    <row r="193" customFormat="false" ht="15" hidden="false" customHeight="false" outlineLevel="0" collapsed="false">
      <c r="B193" s="42" t="n">
        <v>184</v>
      </c>
      <c r="C193" s="9" t="s">
        <v>275</v>
      </c>
      <c r="D193" s="9" t="s">
        <v>463</v>
      </c>
      <c r="E193" s="12" t="n">
        <v>172318</v>
      </c>
      <c r="F193" s="24" t="n">
        <f aca="false">Grid!$C$52</f>
        <v>172317.722666667</v>
      </c>
      <c r="G193" s="46" t="n">
        <f aca="false">IFERROR(IF(ISNUMBER(F193),F193-E193,"n/a"),"n/a")</f>
        <v>-0.277333333331626</v>
      </c>
      <c r="H193" s="47" t="n">
        <v>0.500000001</v>
      </c>
      <c r="I193" s="41" t="str">
        <f aca="false">IFERROR(IF(ISNUMBER(F193),IF(ABS(F193-E193)&lt;=H193,"PASS","FAIL"),"FAIL"),"FAIL")</f>
        <v>PASS</v>
      </c>
    </row>
    <row r="194" customFormat="false" ht="15" hidden="false" customHeight="false" outlineLevel="0" collapsed="false">
      <c r="B194" s="42" t="n">
        <v>185</v>
      </c>
      <c r="C194" s="9" t="s">
        <v>275</v>
      </c>
      <c r="D194" s="9" t="s">
        <v>464</v>
      </c>
      <c r="E194" s="12" t="n">
        <v>170423</v>
      </c>
      <c r="F194" s="24" t="n">
        <f aca="false">Grid!$C$53</f>
        <v>170422.835891667</v>
      </c>
      <c r="G194" s="46" t="n">
        <f aca="false">IFERROR(IF(ISNUMBER(F194),F194-E194,"n/a"),"n/a")</f>
        <v>-0.164108333352488</v>
      </c>
      <c r="H194" s="47" t="n">
        <v>0.500000001</v>
      </c>
      <c r="I194" s="41" t="str">
        <f aca="false">IFERROR(IF(ISNUMBER(F194),IF(ABS(F194-E194)&lt;=H194,"PASS","FAIL"),"FAIL"),"FAIL")</f>
        <v>PASS</v>
      </c>
    </row>
    <row r="195" customFormat="false" ht="15" hidden="false" customHeight="false" outlineLevel="0" collapsed="false">
      <c r="B195" s="42" t="n">
        <v>186</v>
      </c>
      <c r="C195" s="9" t="s">
        <v>275</v>
      </c>
      <c r="D195" s="9" t="s">
        <v>465</v>
      </c>
      <c r="E195" s="12" t="n">
        <v>3499</v>
      </c>
      <c r="F195" s="24" t="n">
        <f aca="false">Grid!$C$54</f>
        <v>3499.05600000001</v>
      </c>
      <c r="G195" s="46" t="n">
        <f aca="false">IFERROR(IF(ISNUMBER(F195),F195-E195,"n/a"),"n/a")</f>
        <v>0.0560000000114087</v>
      </c>
      <c r="H195" s="47" t="n">
        <v>0.500000001</v>
      </c>
      <c r="I195" s="41" t="str">
        <f aca="false">IFERROR(IF(ISNUMBER(F195),IF(ABS(F195-E195)&lt;=H195,"PASS","FAIL"),"FAIL"),"FAIL")</f>
        <v>PASS</v>
      </c>
    </row>
    <row r="196" customFormat="false" ht="15" hidden="false" customHeight="false" outlineLevel="0" collapsed="false">
      <c r="B196" s="42" t="n">
        <v>187</v>
      </c>
      <c r="C196" s="9" t="s">
        <v>275</v>
      </c>
      <c r="D196" s="9" t="s">
        <v>466</v>
      </c>
      <c r="E196" s="32" t="n">
        <v>0.021</v>
      </c>
      <c r="F196" s="50" t="n">
        <f aca="false">Grid!$C$55</f>
        <v>0.020726712685801</v>
      </c>
      <c r="G196" s="46" t="n">
        <f aca="false">IFERROR(IF(ISNUMBER(F196),F196-E196,"n/a"),"n/a")</f>
        <v>-0.000273287314198994</v>
      </c>
      <c r="H196" s="47" t="n">
        <v>0.000500001</v>
      </c>
      <c r="I196" s="41" t="str">
        <f aca="false">IFERROR(IF(ISNUMBER(F196),IF(ABS(F196-E196)&lt;=H196,"PASS","FAIL"),"FAIL"),"FAIL")</f>
        <v>PASS</v>
      </c>
    </row>
    <row r="197" customFormat="false" ht="15" hidden="false" customHeight="false" outlineLevel="0" collapsed="false">
      <c r="B197" s="42" t="n">
        <v>188</v>
      </c>
      <c r="C197" s="9" t="s">
        <v>275</v>
      </c>
      <c r="D197" s="9" t="s">
        <v>467</v>
      </c>
      <c r="E197" s="12" t="n">
        <v>170500</v>
      </c>
      <c r="F197" s="24" t="n">
        <f aca="false">Grid!$C$56</f>
        <v>170500</v>
      </c>
      <c r="G197" s="46" t="n">
        <f aca="false">IFERROR(IF(ISNUMBER(F197),F197-E197,"n/a"),"n/a")</f>
        <v>0</v>
      </c>
      <c r="H197" s="47" t="n">
        <v>0.500000001</v>
      </c>
      <c r="I197" s="41" t="str">
        <f aca="false">IFERROR(IF(ISNUMBER(F197),IF(ABS(F197-E197)&lt;=H197,"PASS","FAIL"),"FAIL"),"FAIL")</f>
        <v>PASS</v>
      </c>
    </row>
    <row r="198" customFormat="false" ht="15" hidden="false" customHeight="false" outlineLevel="0" collapsed="false">
      <c r="B198" s="42" t="n">
        <v>189</v>
      </c>
      <c r="C198" s="9" t="s">
        <v>275</v>
      </c>
      <c r="D198" s="9" t="s">
        <v>468</v>
      </c>
      <c r="E198" s="12" t="n">
        <v>12276000</v>
      </c>
      <c r="F198" s="24" t="n">
        <f aca="false">Grid!$C$57</f>
        <v>12276000</v>
      </c>
      <c r="G198" s="46" t="n">
        <f aca="false">IFERROR(IF(ISNUMBER(F198),F198-E198,"n/a"),"n/a")</f>
        <v>0</v>
      </c>
      <c r="H198" s="47" t="n">
        <v>0.500000001</v>
      </c>
      <c r="I198" s="41" t="str">
        <f aca="false">IFERROR(IF(ISNUMBER(F198),IF(ABS(F198-E198)&lt;=H198,"PASS","FAIL"),"FAIL"),"FAIL")</f>
        <v>PASS</v>
      </c>
    </row>
    <row r="199" customFormat="false" ht="15" hidden="false" customHeight="false" outlineLevel="0" collapsed="false">
      <c r="B199" s="42" t="n">
        <v>190</v>
      </c>
      <c r="C199" s="9" t="s">
        <v>275</v>
      </c>
      <c r="D199" s="9" t="s">
        <v>469</v>
      </c>
      <c r="E199" s="12" t="n">
        <v>12126000</v>
      </c>
      <c r="F199" s="24" t="n">
        <f aca="false">Grid!$C$58</f>
        <v>12126000</v>
      </c>
      <c r="G199" s="46" t="n">
        <f aca="false">IFERROR(IF(ISNUMBER(F199),F199-E199,"n/a"),"n/a")</f>
        <v>0</v>
      </c>
      <c r="H199" s="47" t="n">
        <v>0.500000001</v>
      </c>
      <c r="I199" s="41" t="str">
        <f aca="false">IFERROR(IF(ISNUMBER(F199),IF(ABS(F199-E199)&lt;=H199,"PASS","FAIL"),"FAIL"),"FAIL")</f>
        <v>PASS</v>
      </c>
    </row>
    <row r="200" customFormat="false" ht="15" hidden="false" customHeight="false" outlineLevel="0" collapsed="false">
      <c r="B200" s="42" t="n">
        <v>191</v>
      </c>
      <c r="C200" s="9" t="s">
        <v>275</v>
      </c>
      <c r="D200" s="9" t="s">
        <v>470</v>
      </c>
      <c r="E200" s="12" t="n">
        <v>12150000</v>
      </c>
      <c r="F200" s="24" t="n">
        <f aca="false">Grid!$C$59</f>
        <v>12150000</v>
      </c>
      <c r="G200" s="46" t="n">
        <f aca="false">IFERROR(IF(ISNUMBER(F200),F200-E200,"n/a"),"n/a")</f>
        <v>0</v>
      </c>
      <c r="H200" s="47" t="n">
        <v>0.500000001</v>
      </c>
      <c r="I200" s="41" t="str">
        <f aca="false">IFERROR(IF(ISNUMBER(F200),IF(ABS(F200-E200)&lt;=H200,"PASS","FAIL"),"FAIL"),"FAIL")</f>
        <v>PASS</v>
      </c>
    </row>
    <row r="201" customFormat="false" ht="15" hidden="false" customHeight="false" outlineLevel="0" collapsed="false">
      <c r="B201" s="42" t="n">
        <v>192</v>
      </c>
      <c r="C201" s="9" t="s">
        <v>281</v>
      </c>
      <c r="D201" s="9" t="s">
        <v>471</v>
      </c>
      <c r="E201" s="12" t="n">
        <v>17500</v>
      </c>
      <c r="F201" s="24" t="n">
        <f aca="false">Land!$D$6</f>
        <v>17500</v>
      </c>
      <c r="G201" s="46" t="n">
        <f aca="false">IFERROR(IF(ISNUMBER(F201),F201-E201,"n/a"),"n/a")</f>
        <v>0</v>
      </c>
      <c r="H201" s="47" t="n">
        <v>0.500000001</v>
      </c>
      <c r="I201" s="41" t="str">
        <f aca="false">IFERROR(IF(ISNUMBER(F201),IF(ABS(F201-E201)&lt;=H201,"PASS","FAIL"),"FAIL"),"FAIL")</f>
        <v>PASS</v>
      </c>
    </row>
    <row r="202" customFormat="false" ht="15" hidden="false" customHeight="false" outlineLevel="0" collapsed="false">
      <c r="B202" s="42" t="n">
        <v>193</v>
      </c>
      <c r="C202" s="9" t="s">
        <v>281</v>
      </c>
      <c r="D202" s="9" t="s">
        <v>472</v>
      </c>
      <c r="E202" s="12" t="n">
        <v>9</v>
      </c>
      <c r="F202" s="24" t="n">
        <f aca="false">Land!$E$6</f>
        <v>9</v>
      </c>
      <c r="G202" s="46" t="n">
        <f aca="false">IFERROR(IF(ISNUMBER(F202),F202-E202,"n/a"),"n/a")</f>
        <v>0</v>
      </c>
      <c r="H202" s="47" t="n">
        <v>0.500000001</v>
      </c>
      <c r="I202" s="41" t="str">
        <f aca="false">IFERROR(IF(ISNUMBER(F202),IF(ABS(F202-E202)&lt;=H202,"PASS","FAIL"),"FAIL"),"FAIL")</f>
        <v>PASS</v>
      </c>
    </row>
    <row r="203" customFormat="false" ht="15" hidden="false" customHeight="false" outlineLevel="0" collapsed="false">
      <c r="B203" s="42" t="n">
        <v>194</v>
      </c>
      <c r="C203" s="9" t="s">
        <v>281</v>
      </c>
      <c r="D203" s="9" t="s">
        <v>473</v>
      </c>
      <c r="E203" s="12" t="n">
        <v>60</v>
      </c>
      <c r="F203" s="24" t="n">
        <f aca="false">Land!$F$6</f>
        <v>60</v>
      </c>
      <c r="G203" s="46" t="n">
        <f aca="false">IFERROR(IF(ISNUMBER(F203),F203-E203,"n/a"),"n/a")</f>
        <v>0</v>
      </c>
      <c r="H203" s="47" t="n">
        <v>0.500000001</v>
      </c>
      <c r="I203" s="41" t="str">
        <f aca="false">IFERROR(IF(ISNUMBER(F203),IF(ABS(F203-E203)&lt;=H203,"PASS","FAIL"),"FAIL"),"FAIL")</f>
        <v>PASS</v>
      </c>
    </row>
    <row r="204" customFormat="false" ht="15" hidden="false" customHeight="false" outlineLevel="0" collapsed="false">
      <c r="B204" s="42" t="n">
        <v>195</v>
      </c>
      <c r="C204" s="9" t="s">
        <v>281</v>
      </c>
      <c r="D204" s="9" t="s">
        <v>474</v>
      </c>
      <c r="E204" s="12" t="n">
        <v>1050000</v>
      </c>
      <c r="F204" s="24" t="n">
        <f aca="false">Land!$G$6</f>
        <v>1050000</v>
      </c>
      <c r="G204" s="46" t="n">
        <f aca="false">IFERROR(IF(ISNUMBER(F204),F204-E204,"n/a"),"n/a")</f>
        <v>0</v>
      </c>
      <c r="H204" s="47" t="n">
        <v>0.500000001</v>
      </c>
      <c r="I204" s="41" t="str">
        <f aca="false">IFERROR(IF(ISNUMBER(F204),IF(ABS(F204-E204)&lt;=H204,"PASS","FAIL"),"FAIL"),"FAIL")</f>
        <v>PASS</v>
      </c>
    </row>
    <row r="205" customFormat="false" ht="15" hidden="false" customHeight="false" outlineLevel="0" collapsed="false">
      <c r="B205" s="42" t="n">
        <v>196</v>
      </c>
      <c r="C205" s="9" t="s">
        <v>281</v>
      </c>
      <c r="D205" s="9" t="s">
        <v>475</v>
      </c>
      <c r="E205" s="12" t="n">
        <v>20000</v>
      </c>
      <c r="F205" s="24" t="n">
        <f aca="false">Land!$D$7</f>
        <v>20000</v>
      </c>
      <c r="G205" s="46" t="n">
        <f aca="false">IFERROR(IF(ISNUMBER(F205),F205-E205,"n/a"),"n/a")</f>
        <v>0</v>
      </c>
      <c r="H205" s="47" t="n">
        <v>0.500000001</v>
      </c>
      <c r="I205" s="41" t="str">
        <f aca="false">IFERROR(IF(ISNUMBER(F205),IF(ABS(F205-E205)&lt;=H205,"PASS","FAIL"),"FAIL"),"FAIL")</f>
        <v>PASS</v>
      </c>
    </row>
    <row r="206" customFormat="false" ht="15" hidden="false" customHeight="false" outlineLevel="0" collapsed="false">
      <c r="B206" s="42" t="n">
        <v>197</v>
      </c>
      <c r="C206" s="9" t="s">
        <v>281</v>
      </c>
      <c r="D206" s="9" t="s">
        <v>476</v>
      </c>
      <c r="E206" s="12" t="n">
        <v>4</v>
      </c>
      <c r="F206" s="24" t="n">
        <f aca="false">Land!$E$7</f>
        <v>4</v>
      </c>
      <c r="G206" s="46" t="n">
        <f aca="false">IFERROR(IF(ISNUMBER(F206),F206-E206,"n/a"),"n/a")</f>
        <v>0</v>
      </c>
      <c r="H206" s="47" t="n">
        <v>0.500000001</v>
      </c>
      <c r="I206" s="41" t="str">
        <f aca="false">IFERROR(IF(ISNUMBER(F206),IF(ABS(F206-E206)&lt;=H206,"PASS","FAIL"),"FAIL"),"FAIL")</f>
        <v>PASS</v>
      </c>
    </row>
    <row r="207" customFormat="false" ht="15" hidden="false" customHeight="false" outlineLevel="0" collapsed="false">
      <c r="B207" s="42" t="n">
        <v>198</v>
      </c>
      <c r="C207" s="9" t="s">
        <v>281</v>
      </c>
      <c r="D207" s="9" t="s">
        <v>477</v>
      </c>
      <c r="E207" s="12" t="n">
        <v>96</v>
      </c>
      <c r="F207" s="24" t="n">
        <f aca="false">Land!$F$7</f>
        <v>96</v>
      </c>
      <c r="G207" s="46" t="n">
        <f aca="false">IFERROR(IF(ISNUMBER(F207),F207-E207,"n/a"),"n/a")</f>
        <v>0</v>
      </c>
      <c r="H207" s="47" t="n">
        <v>0.500000001</v>
      </c>
      <c r="I207" s="41" t="str">
        <f aca="false">IFERROR(IF(ISNUMBER(F207),IF(ABS(F207-E207)&lt;=H207,"PASS","FAIL"),"FAIL"),"FAIL")</f>
        <v>PASS</v>
      </c>
    </row>
    <row r="208" customFormat="false" ht="15" hidden="false" customHeight="false" outlineLevel="0" collapsed="false">
      <c r="B208" s="42" t="n">
        <v>199</v>
      </c>
      <c r="C208" s="9" t="s">
        <v>281</v>
      </c>
      <c r="D208" s="9" t="s">
        <v>478</v>
      </c>
      <c r="E208" s="12" t="n">
        <v>1920000</v>
      </c>
      <c r="F208" s="24" t="n">
        <f aca="false">Land!$G$7</f>
        <v>1920000</v>
      </c>
      <c r="G208" s="46" t="n">
        <f aca="false">IFERROR(IF(ISNUMBER(F208),F208-E208,"n/a"),"n/a")</f>
        <v>0</v>
      </c>
      <c r="H208" s="47" t="n">
        <v>0.500000001</v>
      </c>
      <c r="I208" s="41" t="str">
        <f aca="false">IFERROR(IF(ISNUMBER(F208),IF(ABS(F208-E208)&lt;=H208,"PASS","FAIL"),"FAIL"),"FAIL")</f>
        <v>PASS</v>
      </c>
    </row>
    <row r="209" customFormat="false" ht="15" hidden="false" customHeight="false" outlineLevel="0" collapsed="false">
      <c r="B209" s="42" t="n">
        <v>200</v>
      </c>
      <c r="C209" s="9" t="s">
        <v>281</v>
      </c>
      <c r="D209" s="9" t="s">
        <v>479</v>
      </c>
      <c r="E209" s="12" t="n">
        <v>18800</v>
      </c>
      <c r="F209" s="24" t="n">
        <f aca="false">Land!$D$8</f>
        <v>18800</v>
      </c>
      <c r="G209" s="46" t="n">
        <f aca="false">IFERROR(IF(ISNUMBER(F209),F209-E209,"n/a"),"n/a")</f>
        <v>0</v>
      </c>
      <c r="H209" s="47" t="n">
        <v>0.500000001</v>
      </c>
      <c r="I209" s="41" t="str">
        <f aca="false">IFERROR(IF(ISNUMBER(F209),IF(ABS(F209-E209)&lt;=H209,"PASS","FAIL"),"FAIL"),"FAIL")</f>
        <v>PASS</v>
      </c>
    </row>
    <row r="210" customFormat="false" ht="15" hidden="false" customHeight="false" outlineLevel="0" collapsed="false">
      <c r="B210" s="42" t="n">
        <v>201</v>
      </c>
      <c r="C210" s="9" t="s">
        <v>281</v>
      </c>
      <c r="D210" s="9" t="s">
        <v>480</v>
      </c>
      <c r="E210" s="12" t="n">
        <v>12</v>
      </c>
      <c r="F210" s="24" t="n">
        <f aca="false">Land!$E$8</f>
        <v>12</v>
      </c>
      <c r="G210" s="46" t="n">
        <f aca="false">IFERROR(IF(ISNUMBER(F210),F210-E210,"n/a"),"n/a")</f>
        <v>0</v>
      </c>
      <c r="H210" s="47" t="n">
        <v>0.500000001</v>
      </c>
      <c r="I210" s="41" t="str">
        <f aca="false">IFERROR(IF(ISNUMBER(F210),IF(ABS(F210-E210)&lt;=H210,"PASS","FAIL"),"FAIL"),"FAIL")</f>
        <v>PASS</v>
      </c>
    </row>
    <row r="211" customFormat="false" ht="15" hidden="false" customHeight="false" outlineLevel="0" collapsed="false">
      <c r="B211" s="42" t="n">
        <v>202</v>
      </c>
      <c r="C211" s="9" t="s">
        <v>281</v>
      </c>
      <c r="D211" s="9" t="s">
        <v>481</v>
      </c>
      <c r="E211" s="12" t="n">
        <v>48</v>
      </c>
      <c r="F211" s="24" t="n">
        <f aca="false">Land!$F$8</f>
        <v>48</v>
      </c>
      <c r="G211" s="46" t="n">
        <f aca="false">IFERROR(IF(ISNUMBER(F211),F211-E211,"n/a"),"n/a")</f>
        <v>0</v>
      </c>
      <c r="H211" s="47" t="n">
        <v>0.500000001</v>
      </c>
      <c r="I211" s="41" t="str">
        <f aca="false">IFERROR(IF(ISNUMBER(F211),IF(ABS(F211-E211)&lt;=H211,"PASS","FAIL"),"FAIL"),"FAIL")</f>
        <v>PASS</v>
      </c>
    </row>
    <row r="212" customFormat="false" ht="15" hidden="false" customHeight="false" outlineLevel="0" collapsed="false">
      <c r="B212" s="42" t="n">
        <v>203</v>
      </c>
      <c r="C212" s="9" t="s">
        <v>281</v>
      </c>
      <c r="D212" s="9" t="s">
        <v>482</v>
      </c>
      <c r="E212" s="12" t="n">
        <v>902400</v>
      </c>
      <c r="F212" s="24" t="n">
        <f aca="false">Land!$G$8</f>
        <v>902400</v>
      </c>
      <c r="G212" s="46" t="n">
        <f aca="false">IFERROR(IF(ISNUMBER(F212),F212-E212,"n/a"),"n/a")</f>
        <v>0</v>
      </c>
      <c r="H212" s="47" t="n">
        <v>0.500000001</v>
      </c>
      <c r="I212" s="41" t="str">
        <f aca="false">IFERROR(IF(ISNUMBER(F212),IF(ABS(F212-E212)&lt;=H212,"PASS","FAIL"),"FAIL"),"FAIL")</f>
        <v>PASS</v>
      </c>
    </row>
    <row r="213" customFormat="false" ht="15" hidden="false" customHeight="false" outlineLevel="0" collapsed="false">
      <c r="B213" s="42" t="n">
        <v>204</v>
      </c>
      <c r="C213" s="9" t="s">
        <v>281</v>
      </c>
      <c r="D213" s="9" t="s">
        <v>483</v>
      </c>
      <c r="E213" s="12" t="n">
        <v>21200</v>
      </c>
      <c r="F213" s="24" t="n">
        <f aca="false">Land!$D$9</f>
        <v>21200</v>
      </c>
      <c r="G213" s="46" t="n">
        <f aca="false">IFERROR(IF(ISNUMBER(F213),F213-E213,"n/a"),"n/a")</f>
        <v>0</v>
      </c>
      <c r="H213" s="47" t="n">
        <v>0.500000001</v>
      </c>
      <c r="I213" s="41" t="str">
        <f aca="false">IFERROR(IF(ISNUMBER(F213),IF(ABS(F213-E213)&lt;=H213,"PASS","FAIL"),"FAIL"),"FAIL")</f>
        <v>PASS</v>
      </c>
    </row>
    <row r="214" customFormat="false" ht="15" hidden="false" customHeight="false" outlineLevel="0" collapsed="false">
      <c r="B214" s="42" t="n">
        <v>205</v>
      </c>
      <c r="C214" s="9" t="s">
        <v>281</v>
      </c>
      <c r="D214" s="9" t="s">
        <v>484</v>
      </c>
      <c r="E214" s="12" t="n">
        <v>2</v>
      </c>
      <c r="F214" s="24" t="n">
        <f aca="false">Land!$E$9</f>
        <v>2</v>
      </c>
      <c r="G214" s="46" t="n">
        <f aca="false">IFERROR(IF(ISNUMBER(F214),F214-E214,"n/a"),"n/a")</f>
        <v>0</v>
      </c>
      <c r="H214" s="47" t="n">
        <v>0.500000001</v>
      </c>
      <c r="I214" s="41" t="str">
        <f aca="false">IFERROR(IF(ISNUMBER(F214),IF(ABS(F214-E214)&lt;=H214,"PASS","FAIL"),"FAIL"),"FAIL")</f>
        <v>PASS</v>
      </c>
    </row>
    <row r="215" customFormat="false" ht="15" hidden="false" customHeight="false" outlineLevel="0" collapsed="false">
      <c r="B215" s="42" t="n">
        <v>206</v>
      </c>
      <c r="C215" s="9" t="s">
        <v>281</v>
      </c>
      <c r="D215" s="9" t="s">
        <v>485</v>
      </c>
      <c r="E215" s="12" t="n">
        <v>120</v>
      </c>
      <c r="F215" s="24" t="n">
        <f aca="false">Land!$F$9</f>
        <v>120</v>
      </c>
      <c r="G215" s="46" t="n">
        <f aca="false">IFERROR(IF(ISNUMBER(F215),F215-E215,"n/a"),"n/a")</f>
        <v>0</v>
      </c>
      <c r="H215" s="47" t="n">
        <v>0.500000001</v>
      </c>
      <c r="I215" s="41" t="str">
        <f aca="false">IFERROR(IF(ISNUMBER(F215),IF(ABS(F215-E215)&lt;=H215,"PASS","FAIL"),"FAIL"),"FAIL")</f>
        <v>PASS</v>
      </c>
    </row>
    <row r="216" customFormat="false" ht="15" hidden="false" customHeight="false" outlineLevel="0" collapsed="false">
      <c r="B216" s="42" t="n">
        <v>207</v>
      </c>
      <c r="C216" s="9" t="s">
        <v>281</v>
      </c>
      <c r="D216" s="9" t="s">
        <v>486</v>
      </c>
      <c r="E216" s="12" t="n">
        <v>2544000</v>
      </c>
      <c r="F216" s="24" t="n">
        <f aca="false">Land!$G$9</f>
        <v>2544000</v>
      </c>
      <c r="G216" s="46" t="n">
        <f aca="false">IFERROR(IF(ISNUMBER(F216),F216-E216,"n/a"),"n/a")</f>
        <v>0</v>
      </c>
      <c r="H216" s="47" t="n">
        <v>0.500000001</v>
      </c>
      <c r="I216" s="41" t="str">
        <f aca="false">IFERROR(IF(ISNUMBER(F216),IF(ABS(F216-E216)&lt;=H216,"PASS","FAIL"),"FAIL"),"FAIL")</f>
        <v>PASS</v>
      </c>
    </row>
    <row r="217" customFormat="false" ht="15" hidden="false" customHeight="false" outlineLevel="0" collapsed="false">
      <c r="B217" s="42" t="n">
        <v>208</v>
      </c>
      <c r="C217" s="9" t="s">
        <v>281</v>
      </c>
      <c r="D217" s="9" t="s">
        <v>487</v>
      </c>
      <c r="E217" s="12" t="n">
        <v>19500</v>
      </c>
      <c r="F217" s="24" t="n">
        <f aca="false">Land!$D$11</f>
        <v>19500</v>
      </c>
      <c r="G217" s="46" t="n">
        <f aca="false">IFERROR(IF(ISNUMBER(F217),F217-E217,"n/a"),"n/a")</f>
        <v>0</v>
      </c>
      <c r="H217" s="47" t="n">
        <v>0.500000001</v>
      </c>
      <c r="I217" s="41" t="str">
        <f aca="false">IFERROR(IF(ISNUMBER(F217),IF(ABS(F217-E217)&lt;=H217,"PASS","FAIL"),"FAIL"),"FAIL")</f>
        <v>PASS</v>
      </c>
    </row>
    <row r="218" customFormat="false" ht="15" hidden="false" customHeight="false" outlineLevel="0" collapsed="false">
      <c r="B218" s="42" t="n">
        <v>209</v>
      </c>
      <c r="C218" s="9" t="s">
        <v>281</v>
      </c>
      <c r="D218" s="9" t="s">
        <v>488</v>
      </c>
      <c r="E218" s="12" t="n">
        <v>1638000</v>
      </c>
      <c r="F218" s="24" t="n">
        <f aca="false">Land!$D$13</f>
        <v>1638000</v>
      </c>
      <c r="G218" s="46" t="n">
        <f aca="false">IFERROR(IF(ISNUMBER(F218),F218-E218,"n/a"),"n/a")</f>
        <v>0</v>
      </c>
      <c r="H218" s="47" t="n">
        <v>0.500000001</v>
      </c>
      <c r="I218" s="41" t="str">
        <f aca="false">IFERROR(IF(ISNUMBER(F218),IF(ABS(F218-E218)&lt;=H218,"PASS","FAIL"),"FAIL"),"FAIL")</f>
        <v>PASS</v>
      </c>
    </row>
    <row r="219" customFormat="false" ht="15" hidden="false" customHeight="false" outlineLevel="0" collapsed="false">
      <c r="B219" s="42" t="n">
        <v>210</v>
      </c>
      <c r="C219" s="9" t="s">
        <v>281</v>
      </c>
      <c r="D219" s="9" t="s">
        <v>489</v>
      </c>
      <c r="E219" s="14" t="n">
        <v>8.95</v>
      </c>
      <c r="F219" s="48" t="n">
        <f aca="false">Land!$D$14</f>
        <v>8.95316804407714</v>
      </c>
      <c r="G219" s="46" t="n">
        <f aca="false">IFERROR(IF(ISNUMBER(F219),F219-E219,"n/a"),"n/a")</f>
        <v>0.00316804407713533</v>
      </c>
      <c r="H219" s="47" t="n">
        <v>0.005000001</v>
      </c>
      <c r="I219" s="41" t="str">
        <f aca="false">IFERROR(IF(ISNUMBER(F219),IF(ABS(F219-E219)&lt;=H219,"PASS","FAIL"),"FAIL"),"FAIL")</f>
        <v>PASS</v>
      </c>
    </row>
    <row r="220" customFormat="false" ht="15" hidden="false" customHeight="false" outlineLevel="0" collapsed="false">
      <c r="B220" s="42" t="n">
        <v>211</v>
      </c>
      <c r="C220" s="9" t="s">
        <v>281</v>
      </c>
      <c r="D220" s="9" t="s">
        <v>490</v>
      </c>
      <c r="E220" s="32" t="n">
        <v>0.135</v>
      </c>
      <c r="F220" s="50" t="n">
        <f aca="false">Land!$D$15</f>
        <v>0.135371900826446</v>
      </c>
      <c r="G220" s="46" t="n">
        <f aca="false">IFERROR(IF(ISNUMBER(F220),F220-E220,"n/a"),"n/a")</f>
        <v>0.000371900826446281</v>
      </c>
      <c r="H220" s="47" t="n">
        <v>0.000500001</v>
      </c>
      <c r="I220" s="41" t="str">
        <f aca="false">IFERROR(IF(ISNUMBER(F220),IF(ABS(F220-E220)&lt;=H220,"PASS","FAIL"),"FAIL"),"FAIL")</f>
        <v>PASS</v>
      </c>
    </row>
    <row r="221" customFormat="false" ht="15" hidden="false" customHeight="false" outlineLevel="0" collapsed="false">
      <c r="B221" s="42" t="n">
        <v>212</v>
      </c>
      <c r="C221" s="9" t="s">
        <v>283</v>
      </c>
      <c r="D221" s="9" t="s">
        <v>491</v>
      </c>
      <c r="E221" s="12" t="n">
        <v>165</v>
      </c>
      <c r="F221" s="24" t="n">
        <f aca="false">Cost_Approach!$C$6</f>
        <v>165</v>
      </c>
      <c r="G221" s="46" t="n">
        <f aca="false">IFERROR(IF(ISNUMBER(F221),F221-E221,"n/a"),"n/a")</f>
        <v>0</v>
      </c>
      <c r="H221" s="47" t="n">
        <v>0.500000001</v>
      </c>
      <c r="I221" s="41" t="str">
        <f aca="false">IFERROR(IF(ISNUMBER(F221),IF(ABS(F221-E221)&lt;=H221,"PASS","FAIL"),"FAIL"),"FAIL")</f>
        <v>PASS</v>
      </c>
    </row>
    <row r="222" customFormat="false" ht="15" hidden="false" customHeight="false" outlineLevel="0" collapsed="false">
      <c r="B222" s="42" t="n">
        <v>213</v>
      </c>
      <c r="C222" s="9" t="s">
        <v>283</v>
      </c>
      <c r="D222" s="9" t="s">
        <v>492</v>
      </c>
      <c r="E222" s="12" t="n">
        <v>11616000</v>
      </c>
      <c r="F222" s="24" t="n">
        <f aca="false">Cost_Approach!$C$7</f>
        <v>11616000</v>
      </c>
      <c r="G222" s="46" t="n">
        <f aca="false">IFERROR(IF(ISNUMBER(F222),F222-E222,"n/a"),"n/a")</f>
        <v>0</v>
      </c>
      <c r="H222" s="47" t="n">
        <v>0.500000001</v>
      </c>
      <c r="I222" s="41" t="str">
        <f aca="false">IFERROR(IF(ISNUMBER(F222),IF(ABS(F222-E222)&lt;=H222,"PASS","FAIL"),"FAIL"),"FAIL")</f>
        <v>PASS</v>
      </c>
    </row>
    <row r="223" customFormat="false" ht="15" hidden="false" customHeight="false" outlineLevel="0" collapsed="false">
      <c r="B223" s="42" t="n">
        <v>214</v>
      </c>
      <c r="C223" s="9" t="s">
        <v>283</v>
      </c>
      <c r="D223" s="9" t="s">
        <v>493</v>
      </c>
      <c r="E223" s="17" t="n">
        <v>0.08</v>
      </c>
      <c r="F223" s="37" t="n">
        <f aca="false">Cost_Approach!$C$8</f>
        <v>0.08</v>
      </c>
      <c r="G223" s="46" t="n">
        <f aca="false">IFERROR(IF(ISNUMBER(F223),F223-E223,"n/a"),"n/a")</f>
        <v>0</v>
      </c>
      <c r="H223" s="47" t="n">
        <v>0.005000001</v>
      </c>
      <c r="I223" s="41" t="str">
        <f aca="false">IFERROR(IF(ISNUMBER(F223),IF(ABS(F223-E223)&lt;=H223,"PASS","FAIL"),"FAIL"),"FAIL")</f>
        <v>PASS</v>
      </c>
    </row>
    <row r="224" customFormat="false" ht="15" hidden="false" customHeight="false" outlineLevel="0" collapsed="false">
      <c r="B224" s="42" t="n">
        <v>215</v>
      </c>
      <c r="C224" s="9" t="s">
        <v>283</v>
      </c>
      <c r="D224" s="9" t="s">
        <v>494</v>
      </c>
      <c r="E224" s="12" t="n">
        <v>929280</v>
      </c>
      <c r="F224" s="24" t="n">
        <f aca="false">Cost_Approach!$C$9</f>
        <v>929280</v>
      </c>
      <c r="G224" s="46" t="n">
        <f aca="false">IFERROR(IF(ISNUMBER(F224),F224-E224,"n/a"),"n/a")</f>
        <v>0</v>
      </c>
      <c r="H224" s="47" t="n">
        <v>0.500000001</v>
      </c>
      <c r="I224" s="41" t="str">
        <f aca="false">IFERROR(IF(ISNUMBER(F224),IF(ABS(F224-E224)&lt;=H224,"PASS","FAIL"),"FAIL"),"FAIL")</f>
        <v>PASS</v>
      </c>
    </row>
    <row r="225" customFormat="false" ht="15" hidden="false" customHeight="false" outlineLevel="0" collapsed="false">
      <c r="B225" s="42" t="n">
        <v>216</v>
      </c>
      <c r="C225" s="9" t="s">
        <v>283</v>
      </c>
      <c r="D225" s="9" t="s">
        <v>495</v>
      </c>
      <c r="E225" s="12" t="n">
        <v>700000</v>
      </c>
      <c r="F225" s="24" t="n">
        <f aca="false">Cost_Approach!$C$10</f>
        <v>700000</v>
      </c>
      <c r="G225" s="46" t="n">
        <f aca="false">IFERROR(IF(ISNUMBER(F225),F225-E225,"n/a"),"n/a")</f>
        <v>0</v>
      </c>
      <c r="H225" s="47" t="n">
        <v>0.500000001</v>
      </c>
      <c r="I225" s="41" t="str">
        <f aca="false">IFERROR(IF(ISNUMBER(F225),IF(ABS(F225-E225)&lt;=H225,"PASS","FAIL"),"FAIL"),"FAIL")</f>
        <v>PASS</v>
      </c>
    </row>
    <row r="226" customFormat="false" ht="15" hidden="false" customHeight="false" outlineLevel="0" collapsed="false">
      <c r="B226" s="42" t="n">
        <v>217</v>
      </c>
      <c r="C226" s="9" t="s">
        <v>283</v>
      </c>
      <c r="D226" s="9" t="s">
        <v>496</v>
      </c>
      <c r="E226" s="17" t="n">
        <v>0.1</v>
      </c>
      <c r="F226" s="37" t="n">
        <f aca="false">Cost_Approach!$C$11</f>
        <v>0.1</v>
      </c>
      <c r="G226" s="46" t="n">
        <f aca="false">IFERROR(IF(ISNUMBER(F226),F226-E226,"n/a"),"n/a")</f>
        <v>0</v>
      </c>
      <c r="H226" s="47" t="n">
        <v>0.005000001</v>
      </c>
      <c r="I226" s="41" t="str">
        <f aca="false">IFERROR(IF(ISNUMBER(F226),IF(ABS(F226-E226)&lt;=H226,"PASS","FAIL"),"FAIL"),"FAIL")</f>
        <v>PASS</v>
      </c>
    </row>
    <row r="227" customFormat="false" ht="15" hidden="false" customHeight="false" outlineLevel="0" collapsed="false">
      <c r="B227" s="42" t="n">
        <v>218</v>
      </c>
      <c r="C227" s="9" t="s">
        <v>283</v>
      </c>
      <c r="D227" s="9" t="s">
        <v>497</v>
      </c>
      <c r="E227" s="12" t="n">
        <v>1324528</v>
      </c>
      <c r="F227" s="24" t="n">
        <f aca="false">Cost_Approach!$C$12</f>
        <v>1324528</v>
      </c>
      <c r="G227" s="46" t="n">
        <f aca="false">IFERROR(IF(ISNUMBER(F227),F227-E227,"n/a"),"n/a")</f>
        <v>0</v>
      </c>
      <c r="H227" s="47" t="n">
        <v>0.500000001</v>
      </c>
      <c r="I227" s="41" t="str">
        <f aca="false">IFERROR(IF(ISNUMBER(F227),IF(ABS(F227-E227)&lt;=H227,"PASS","FAIL"),"FAIL"),"FAIL")</f>
        <v>PASS</v>
      </c>
    </row>
    <row r="228" customFormat="false" ht="15" hidden="false" customHeight="false" outlineLevel="0" collapsed="false">
      <c r="B228" s="42" t="n">
        <v>219</v>
      </c>
      <c r="C228" s="9" t="s">
        <v>283</v>
      </c>
      <c r="D228" s="9" t="s">
        <v>498</v>
      </c>
      <c r="E228" s="12" t="n">
        <v>14569808</v>
      </c>
      <c r="F228" s="24" t="n">
        <f aca="false">Cost_Approach!$C$13</f>
        <v>14569808</v>
      </c>
      <c r="G228" s="46" t="n">
        <f aca="false">IFERROR(IF(ISNUMBER(F228),F228-E228,"n/a"),"n/a")</f>
        <v>0</v>
      </c>
      <c r="H228" s="47" t="n">
        <v>0.500000001</v>
      </c>
      <c r="I228" s="41" t="str">
        <f aca="false">IFERROR(IF(ISNUMBER(F228),IF(ABS(F228-E228)&lt;=H228,"PASS","FAIL"),"FAIL"),"FAIL")</f>
        <v>PASS</v>
      </c>
    </row>
    <row r="229" customFormat="false" ht="15" hidden="false" customHeight="false" outlineLevel="0" collapsed="false">
      <c r="B229" s="42" t="n">
        <v>220</v>
      </c>
      <c r="C229" s="9" t="s">
        <v>283</v>
      </c>
      <c r="D229" s="9" t="s">
        <v>499</v>
      </c>
      <c r="E229" s="12" t="n">
        <v>202358</v>
      </c>
      <c r="F229" s="24" t="n">
        <f aca="false">Cost_Approach!$C$14</f>
        <v>202358.444444444</v>
      </c>
      <c r="G229" s="46" t="n">
        <f aca="false">IFERROR(IF(ISNUMBER(F229),F229-E229,"n/a"),"n/a")</f>
        <v>0.444444444437977</v>
      </c>
      <c r="H229" s="47" t="n">
        <v>0.500000001</v>
      </c>
      <c r="I229" s="41" t="str">
        <f aca="false">IFERROR(IF(ISNUMBER(F229),IF(ABS(F229-E229)&lt;=H229,"PASS","FAIL"),"FAIL"),"FAIL")</f>
        <v>PASS</v>
      </c>
    </row>
    <row r="230" customFormat="false" ht="15" hidden="false" customHeight="false" outlineLevel="0" collapsed="false">
      <c r="B230" s="42" t="n">
        <v>221</v>
      </c>
      <c r="C230" s="9" t="s">
        <v>283</v>
      </c>
      <c r="D230" s="9" t="s">
        <v>500</v>
      </c>
      <c r="E230" s="12" t="n">
        <v>16207808</v>
      </c>
      <c r="F230" s="24" t="n">
        <f aca="false">Cost_Approach!$C$15</f>
        <v>16207808</v>
      </c>
      <c r="G230" s="46" t="n">
        <f aca="false">IFERROR(IF(ISNUMBER(F230),F230-E230,"n/a"),"n/a")</f>
        <v>0</v>
      </c>
      <c r="H230" s="47" t="n">
        <v>0.500000001</v>
      </c>
      <c r="I230" s="41" t="str">
        <f aca="false">IFERROR(IF(ISNUMBER(F230),IF(ABS(F230-E230)&lt;=H230,"PASS","FAIL"),"FAIL"),"FAIL")</f>
        <v>PASS</v>
      </c>
    </row>
    <row r="231" customFormat="false" ht="15" hidden="false" customHeight="false" outlineLevel="0" collapsed="false">
      <c r="B231" s="42" t="n">
        <v>222</v>
      </c>
      <c r="C231" s="9" t="s">
        <v>283</v>
      </c>
      <c r="D231" s="9" t="s">
        <v>501</v>
      </c>
      <c r="E231" s="12" t="n">
        <v>225108</v>
      </c>
      <c r="F231" s="24" t="n">
        <f aca="false">Cost_Approach!$C$16</f>
        <v>225108.444444444</v>
      </c>
      <c r="G231" s="46" t="n">
        <f aca="false">IFERROR(IF(ISNUMBER(F231),F231-E231,"n/a"),"n/a")</f>
        <v>0.444444444437977</v>
      </c>
      <c r="H231" s="47" t="n">
        <v>0.500000001</v>
      </c>
      <c r="I231" s="41" t="str">
        <f aca="false">IFERROR(IF(ISNUMBER(F231),IF(ABS(F231-E231)&lt;=H231,"PASS","FAIL"),"FAIL"),"FAIL")</f>
        <v>PASS</v>
      </c>
    </row>
    <row r="232" customFormat="false" ht="15" hidden="false" customHeight="false" outlineLevel="0" collapsed="false">
      <c r="B232" s="42" t="n">
        <v>223</v>
      </c>
      <c r="C232" s="9" t="s">
        <v>283</v>
      </c>
      <c r="D232" s="9" t="s">
        <v>502</v>
      </c>
      <c r="E232" s="12" t="n">
        <v>150000</v>
      </c>
      <c r="F232" s="24" t="n">
        <f aca="false">Cost_Approach!$C$19</f>
        <v>150000</v>
      </c>
      <c r="G232" s="46" t="n">
        <f aca="false">IFERROR(IF(ISNUMBER(F232),F232-E232,"n/a"),"n/a")</f>
        <v>0</v>
      </c>
      <c r="H232" s="47" t="n">
        <v>0.500000001</v>
      </c>
      <c r="I232" s="41" t="str">
        <f aca="false">IFERROR(IF(ISNUMBER(F232),IF(ABS(F232-E232)&lt;=H232,"PASS","FAIL"),"FAIL"),"FAIL")</f>
        <v>PASS</v>
      </c>
    </row>
    <row r="233" customFormat="false" ht="15" hidden="false" customHeight="false" outlineLevel="0" collapsed="false">
      <c r="B233" s="42" t="n">
        <v>224</v>
      </c>
      <c r="C233" s="9" t="s">
        <v>283</v>
      </c>
      <c r="D233" s="9" t="s">
        <v>503</v>
      </c>
      <c r="E233" s="12" t="n">
        <v>14419808</v>
      </c>
      <c r="F233" s="24" t="n">
        <f aca="false">Cost_Approach!$C$20</f>
        <v>14419808</v>
      </c>
      <c r="G233" s="46" t="n">
        <f aca="false">IFERROR(IF(ISNUMBER(F233),F233-E233,"n/a"),"n/a")</f>
        <v>0</v>
      </c>
      <c r="H233" s="47" t="n">
        <v>0.500000001</v>
      </c>
      <c r="I233" s="41" t="str">
        <f aca="false">IFERROR(IF(ISNUMBER(F233),IF(ABS(F233-E233)&lt;=H233,"PASS","FAIL"),"FAIL"),"FAIL")</f>
        <v>PASS</v>
      </c>
    </row>
    <row r="234" customFormat="false" ht="15" hidden="false" customHeight="false" outlineLevel="0" collapsed="false">
      <c r="B234" s="42" t="n">
        <v>225</v>
      </c>
      <c r="C234" s="9" t="s">
        <v>283</v>
      </c>
      <c r="D234" s="9" t="s">
        <v>504</v>
      </c>
      <c r="E234" s="12" t="n">
        <v>12</v>
      </c>
      <c r="F234" s="24" t="n">
        <f aca="false">Cost_Approach!$C$21</f>
        <v>12</v>
      </c>
      <c r="G234" s="46" t="n">
        <f aca="false">IFERROR(IF(ISNUMBER(F234),F234-E234,"n/a"),"n/a")</f>
        <v>0</v>
      </c>
      <c r="H234" s="47" t="n">
        <v>0.500000001</v>
      </c>
      <c r="I234" s="41" t="str">
        <f aca="false">IFERROR(IF(ISNUMBER(F234),IF(ABS(F234-E234)&lt;=H234,"PASS","FAIL"),"FAIL"),"FAIL")</f>
        <v>PASS</v>
      </c>
    </row>
    <row r="235" customFormat="false" ht="15" hidden="false" customHeight="false" outlineLevel="0" collapsed="false">
      <c r="B235" s="42" t="n">
        <v>226</v>
      </c>
      <c r="C235" s="9" t="s">
        <v>283</v>
      </c>
      <c r="D235" s="9" t="s">
        <v>505</v>
      </c>
      <c r="E235" s="12" t="n">
        <v>50</v>
      </c>
      <c r="F235" s="24" t="n">
        <f aca="false">Cost_Approach!$C$22</f>
        <v>50</v>
      </c>
      <c r="G235" s="46" t="n">
        <f aca="false">IFERROR(IF(ISNUMBER(F235),F235-E235,"n/a"),"n/a")</f>
        <v>0</v>
      </c>
      <c r="H235" s="47" t="n">
        <v>0.500000001</v>
      </c>
      <c r="I235" s="41" t="str">
        <f aca="false">IFERROR(IF(ISNUMBER(F235),IF(ABS(F235-E235)&lt;=H235,"PASS","FAIL"),"FAIL"),"FAIL")</f>
        <v>PASS</v>
      </c>
    </row>
    <row r="236" customFormat="false" ht="15" hidden="false" customHeight="false" outlineLevel="0" collapsed="false">
      <c r="B236" s="42" t="n">
        <v>227</v>
      </c>
      <c r="C236" s="9" t="s">
        <v>283</v>
      </c>
      <c r="D236" s="9" t="s">
        <v>506</v>
      </c>
      <c r="E236" s="12" t="n">
        <v>38</v>
      </c>
      <c r="F236" s="24" t="n">
        <f aca="false">Cost_Approach!$C$23</f>
        <v>38</v>
      </c>
      <c r="G236" s="46" t="n">
        <f aca="false">IFERROR(IF(ISNUMBER(F236),F236-E236,"n/a"),"n/a")</f>
        <v>0</v>
      </c>
      <c r="H236" s="47" t="n">
        <v>0.500000001</v>
      </c>
      <c r="I236" s="41" t="str">
        <f aca="false">IFERROR(IF(ISNUMBER(F236),IF(ABS(F236-E236)&lt;=H236,"PASS","FAIL"),"FAIL"),"FAIL")</f>
        <v>PASS</v>
      </c>
    </row>
    <row r="237" customFormat="false" ht="15" hidden="false" customHeight="false" outlineLevel="0" collapsed="false">
      <c r="B237" s="42" t="n">
        <v>228</v>
      </c>
      <c r="C237" s="9" t="s">
        <v>283</v>
      </c>
      <c r="D237" s="9" t="s">
        <v>507</v>
      </c>
      <c r="E237" s="17" t="n">
        <v>0.24</v>
      </c>
      <c r="F237" s="37" t="n">
        <f aca="false">Cost_Approach!$C$24</f>
        <v>0.24</v>
      </c>
      <c r="G237" s="46" t="n">
        <f aca="false">IFERROR(IF(ISNUMBER(F237),F237-E237,"n/a"),"n/a")</f>
        <v>0</v>
      </c>
      <c r="H237" s="47" t="n">
        <v>0.005000001</v>
      </c>
      <c r="I237" s="41" t="str">
        <f aca="false">IFERROR(IF(ISNUMBER(F237),IF(ABS(F237-E237)&lt;=H237,"PASS","FAIL"),"FAIL"),"FAIL")</f>
        <v>PASS</v>
      </c>
    </row>
    <row r="238" customFormat="false" ht="15" hidden="false" customHeight="false" outlineLevel="0" collapsed="false">
      <c r="B238" s="42" t="n">
        <v>229</v>
      </c>
      <c r="C238" s="9" t="s">
        <v>283</v>
      </c>
      <c r="D238" s="9" t="s">
        <v>508</v>
      </c>
      <c r="E238" s="12" t="n">
        <v>3460754</v>
      </c>
      <c r="F238" s="24" t="n">
        <f aca="false">Cost_Approach!$C$25</f>
        <v>3460753.92</v>
      </c>
      <c r="G238" s="46" t="n">
        <f aca="false">IFERROR(IF(ISNUMBER(F238),F238-E238,"n/a"),"n/a")</f>
        <v>-0.0800000000745058</v>
      </c>
      <c r="H238" s="47" t="n">
        <v>0.500000001</v>
      </c>
      <c r="I238" s="41" t="str">
        <f aca="false">IFERROR(IF(ISNUMBER(F238),IF(ABS(F238-E238)&lt;=H238,"PASS","FAIL"),"FAIL"),"FAIL")</f>
        <v>PASS</v>
      </c>
    </row>
    <row r="239" customFormat="false" ht="15" hidden="false" customHeight="false" outlineLevel="0" collapsed="false">
      <c r="B239" s="42" t="n">
        <v>230</v>
      </c>
      <c r="C239" s="9" t="s">
        <v>283</v>
      </c>
      <c r="D239" s="9" t="s">
        <v>509</v>
      </c>
      <c r="E239" s="12" t="n">
        <v>20</v>
      </c>
      <c r="F239" s="24" t="n">
        <f aca="false">Cost_Approach!$C$26</f>
        <v>20</v>
      </c>
      <c r="G239" s="46" t="n">
        <f aca="false">IFERROR(IF(ISNUMBER(F239),F239-E239,"n/a"),"n/a")</f>
        <v>0</v>
      </c>
      <c r="H239" s="47" t="n">
        <v>0.500000001</v>
      </c>
      <c r="I239" s="41" t="str">
        <f aca="false">IFERROR(IF(ISNUMBER(F239),IF(ABS(F239-E239)&lt;=H239,"PASS","FAIL"),"FAIL"),"FAIL")</f>
        <v>PASS</v>
      </c>
    </row>
    <row r="240" customFormat="false" ht="15" hidden="false" customHeight="false" outlineLevel="0" collapsed="false">
      <c r="B240" s="42" t="n">
        <v>231</v>
      </c>
      <c r="C240" s="9" t="s">
        <v>283</v>
      </c>
      <c r="D240" s="9" t="s">
        <v>510</v>
      </c>
      <c r="E240" s="12" t="n">
        <v>5760</v>
      </c>
      <c r="F240" s="24" t="n">
        <f aca="false">Cost_Approach!$C$28</f>
        <v>5760</v>
      </c>
      <c r="G240" s="46" t="n">
        <f aca="false">IFERROR(IF(ISNUMBER(F240),F240-E240,"n/a"),"n/a")</f>
        <v>0</v>
      </c>
      <c r="H240" s="47" t="n">
        <v>0.500000001</v>
      </c>
      <c r="I240" s="41" t="str">
        <f aca="false">IFERROR(IF(ISNUMBER(F240),IF(ABS(F240-E240)&lt;=H240,"PASS","FAIL"),"FAIL"),"FAIL")</f>
        <v>PASS</v>
      </c>
    </row>
    <row r="241" customFormat="false" ht="15" hidden="false" customHeight="false" outlineLevel="0" collapsed="false">
      <c r="B241" s="42" t="n">
        <v>232</v>
      </c>
      <c r="C241" s="9" t="s">
        <v>283</v>
      </c>
      <c r="D241" s="9" t="s">
        <v>511</v>
      </c>
      <c r="E241" s="12" t="n">
        <v>100174</v>
      </c>
      <c r="F241" s="24" t="n">
        <f aca="false">Cost_Approach!$C$29</f>
        <v>100173.913043478</v>
      </c>
      <c r="G241" s="46" t="n">
        <f aca="false">IFERROR(IF(ISNUMBER(F241),F241-E241,"n/a"),"n/a")</f>
        <v>-0.0869565217435593</v>
      </c>
      <c r="H241" s="47" t="n">
        <v>0.500000001</v>
      </c>
      <c r="I241" s="41" t="str">
        <f aca="false">IFERROR(IF(ISNUMBER(F241),IF(ABS(F241-E241)&lt;=H241,"PASS","FAIL"),"FAIL"),"FAIL")</f>
        <v>PASS</v>
      </c>
    </row>
    <row r="242" customFormat="false" ht="15" hidden="false" customHeight="false" outlineLevel="0" collapsed="false">
      <c r="B242" s="42" t="n">
        <v>233</v>
      </c>
      <c r="C242" s="9" t="s">
        <v>283</v>
      </c>
      <c r="D242" s="9" t="s">
        <v>512</v>
      </c>
      <c r="E242" s="12" t="n">
        <v>0</v>
      </c>
      <c r="F242" s="24" t="n">
        <f aca="false">Cost_Approach!$C$30</f>
        <v>0</v>
      </c>
      <c r="G242" s="46" t="n">
        <f aca="false">IFERROR(IF(ISNUMBER(F242),F242-E242,"n/a"),"n/a")</f>
        <v>0</v>
      </c>
      <c r="H242" s="47" t="n">
        <v>0.500000001</v>
      </c>
      <c r="I242" s="41" t="str">
        <f aca="false">IFERROR(IF(ISNUMBER(F242),IF(ABS(F242-E242)&lt;=H242,"PASS","FAIL"),"FAIL"),"FAIL")</f>
        <v>PASS</v>
      </c>
    </row>
    <row r="243" customFormat="false" ht="15" hidden="false" customHeight="false" outlineLevel="0" collapsed="false">
      <c r="B243" s="42" t="n">
        <v>234</v>
      </c>
      <c r="C243" s="9" t="s">
        <v>283</v>
      </c>
      <c r="D243" s="9" t="s">
        <v>513</v>
      </c>
      <c r="E243" s="12" t="n">
        <v>3710928</v>
      </c>
      <c r="F243" s="24" t="n">
        <f aca="false">Cost_Approach!$C$31</f>
        <v>3710927.83304348</v>
      </c>
      <c r="G243" s="46" t="n">
        <f aca="false">IFERROR(IF(ISNUMBER(F243),F243-E243,"n/a"),"n/a")</f>
        <v>-0.166956522036344</v>
      </c>
      <c r="H243" s="47" t="n">
        <v>0.500000001</v>
      </c>
      <c r="I243" s="41" t="str">
        <f aca="false">IFERROR(IF(ISNUMBER(F243),IF(ABS(F243-E243)&lt;=H243,"PASS","FAIL"),"FAIL"),"FAIL")</f>
        <v>PASS</v>
      </c>
    </row>
    <row r="244" customFormat="false" ht="15" hidden="false" customHeight="false" outlineLevel="0" collapsed="false">
      <c r="B244" s="42" t="n">
        <v>235</v>
      </c>
      <c r="C244" s="9" t="s">
        <v>283</v>
      </c>
      <c r="D244" s="9" t="s">
        <v>514</v>
      </c>
      <c r="E244" s="32" t="n">
        <v>0.255</v>
      </c>
      <c r="F244" s="50" t="n">
        <f aca="false">Cost_Approach!$C$32</f>
        <v>0.254699844571972</v>
      </c>
      <c r="G244" s="46" t="n">
        <f aca="false">IFERROR(IF(ISNUMBER(F244),F244-E244,"n/a"),"n/a")</f>
        <v>-0.000300155428027749</v>
      </c>
      <c r="H244" s="47" t="n">
        <v>0.000500001</v>
      </c>
      <c r="I244" s="41" t="str">
        <f aca="false">IFERROR(IF(ISNUMBER(F244),IF(ABS(F244-E244)&lt;=H244,"PASS","FAIL"),"FAIL"),"FAIL")</f>
        <v>PASS</v>
      </c>
    </row>
    <row r="245" customFormat="false" ht="15" hidden="false" customHeight="false" outlineLevel="0" collapsed="false">
      <c r="B245" s="42" t="n">
        <v>236</v>
      </c>
      <c r="C245" s="9" t="s">
        <v>283</v>
      </c>
      <c r="D245" s="9" t="s">
        <v>515</v>
      </c>
      <c r="E245" s="12" t="n">
        <v>10858880</v>
      </c>
      <c r="F245" s="24" t="n">
        <f aca="false">Cost_Approach!$C$33</f>
        <v>10858880.1669565</v>
      </c>
      <c r="G245" s="46" t="n">
        <f aca="false">IFERROR(IF(ISNUMBER(F245),F245-E245,"n/a"),"n/a")</f>
        <v>0.166956521570683</v>
      </c>
      <c r="H245" s="47" t="n">
        <v>0.500000001</v>
      </c>
      <c r="I245" s="41" t="str">
        <f aca="false">IFERROR(IF(ISNUMBER(F245),IF(ABS(F245-E245)&lt;=H245,"PASS","FAIL"),"FAIL"),"FAIL")</f>
        <v>PASS</v>
      </c>
    </row>
    <row r="246" customFormat="false" ht="15" hidden="false" customHeight="false" outlineLevel="0" collapsed="false">
      <c r="B246" s="42" t="n">
        <v>237</v>
      </c>
      <c r="C246" s="9" t="s">
        <v>283</v>
      </c>
      <c r="D246" s="9" t="s">
        <v>516</v>
      </c>
      <c r="E246" s="12" t="n">
        <v>12496880</v>
      </c>
      <c r="F246" s="24" t="n">
        <f aca="false">Cost_Approach!$C$34</f>
        <v>12496880.1669565</v>
      </c>
      <c r="G246" s="46" t="n">
        <f aca="false">IFERROR(IF(ISNUMBER(F246),F246-E246,"n/a"),"n/a")</f>
        <v>0.166956521570683</v>
      </c>
      <c r="H246" s="47" t="n">
        <v>0.500000001</v>
      </c>
      <c r="I246" s="41" t="str">
        <f aca="false">IFERROR(IF(ISNUMBER(F246),IF(ABS(F246-E246)&lt;=H246,"PASS","FAIL"),"FAIL"),"FAIL")</f>
        <v>PASS</v>
      </c>
    </row>
    <row r="247" customFormat="false" ht="15" hidden="false" customHeight="false" outlineLevel="0" collapsed="false">
      <c r="B247" s="42" t="n">
        <v>238</v>
      </c>
      <c r="C247" s="9" t="s">
        <v>283</v>
      </c>
      <c r="D247" s="9" t="s">
        <v>517</v>
      </c>
      <c r="E247" s="12" t="n">
        <v>12500000</v>
      </c>
      <c r="F247" s="24" t="n">
        <f aca="false">Cost_Approach!$C$35</f>
        <v>12500000</v>
      </c>
      <c r="G247" s="46" t="n">
        <f aca="false">IFERROR(IF(ISNUMBER(F247),F247-E247,"n/a"),"n/a")</f>
        <v>0</v>
      </c>
      <c r="H247" s="47" t="n">
        <v>0.500000001</v>
      </c>
      <c r="I247" s="41" t="str">
        <f aca="false">IFERROR(IF(ISNUMBER(F247),IF(ABS(F247-E247)&lt;=H247,"PASS","FAIL"),"FAIL"),"FAIL")</f>
        <v>PASS</v>
      </c>
    </row>
    <row r="248" customFormat="false" ht="15" hidden="false" customHeight="false" outlineLevel="0" collapsed="false">
      <c r="B248" s="42" t="n">
        <v>239</v>
      </c>
      <c r="C248" s="9" t="s">
        <v>283</v>
      </c>
      <c r="D248" s="9" t="s">
        <v>518</v>
      </c>
      <c r="E248" s="12" t="n">
        <v>173611</v>
      </c>
      <c r="F248" s="24" t="n">
        <f aca="false">Cost_Approach!$C$36</f>
        <v>173611.111111111</v>
      </c>
      <c r="G248" s="46" t="n">
        <f aca="false">IFERROR(IF(ISNUMBER(F248),F248-E248,"n/a"),"n/a")</f>
        <v>0.111111111124046</v>
      </c>
      <c r="H248" s="47" t="n">
        <v>0.500000001</v>
      </c>
      <c r="I248" s="41" t="str">
        <f aca="false">IFERROR(IF(ISNUMBER(F248),IF(ABS(F248-E248)&lt;=H248,"PASS","FAIL"),"FAIL"),"FAIL")</f>
        <v>PASS</v>
      </c>
    </row>
    <row r="249" customFormat="false" ht="15" hidden="false" customHeight="false" outlineLevel="0" collapsed="false">
      <c r="B249" s="42" t="n">
        <v>240</v>
      </c>
      <c r="C249" s="9" t="s">
        <v>283</v>
      </c>
      <c r="D249" s="9" t="s">
        <v>519</v>
      </c>
      <c r="E249" s="12" t="n">
        <v>55</v>
      </c>
      <c r="F249" s="24" t="n">
        <f aca="false">Cost_Approach!$C$39</f>
        <v>55</v>
      </c>
      <c r="G249" s="46" t="n">
        <f aca="false">IFERROR(IF(ISNUMBER(F249),F249-E249,"n/a"),"n/a")</f>
        <v>0</v>
      </c>
      <c r="H249" s="47" t="n">
        <v>0.500000001</v>
      </c>
      <c r="I249" s="41" t="str">
        <f aca="false">IFERROR(IF(ISNUMBER(F249),IF(ABS(F249-E249)&lt;=H249,"PASS","FAIL"),"FAIL"),"FAIL")</f>
        <v>PASS</v>
      </c>
    </row>
    <row r="250" customFormat="false" ht="15" hidden="false" customHeight="false" outlineLevel="0" collapsed="false">
      <c r="B250" s="42" t="n">
        <v>241</v>
      </c>
      <c r="C250" s="9" t="s">
        <v>283</v>
      </c>
      <c r="D250" s="9" t="s">
        <v>520</v>
      </c>
      <c r="E250" s="32" t="n">
        <v>0.491</v>
      </c>
      <c r="F250" s="50" t="n">
        <f aca="false">Cost_Approach!$C$40</f>
        <v>0.490909090909091</v>
      </c>
      <c r="G250" s="46" t="n">
        <f aca="false">IFERROR(IF(ISNUMBER(F250),F250-E250,"n/a"),"n/a")</f>
        <v>-9.09090909090859E-005</v>
      </c>
      <c r="H250" s="47" t="n">
        <v>0.000500001</v>
      </c>
      <c r="I250" s="41" t="str">
        <f aca="false">IFERROR(IF(ISNUMBER(F250),IF(ABS(F250-E250)&lt;=H250,"PASS","FAIL"),"FAIL"),"FAIL")</f>
        <v>PASS</v>
      </c>
    </row>
    <row r="251" customFormat="false" ht="15" hidden="false" customHeight="false" outlineLevel="0" collapsed="false">
      <c r="B251" s="42" t="n">
        <v>242</v>
      </c>
      <c r="C251" s="9" t="s">
        <v>283</v>
      </c>
      <c r="D251" s="9" t="s">
        <v>521</v>
      </c>
      <c r="E251" s="12" t="n">
        <v>7078815</v>
      </c>
      <c r="F251" s="24" t="n">
        <f aca="false">Cost_Approach!$C$41</f>
        <v>7078814.83636364</v>
      </c>
      <c r="G251" s="46" t="n">
        <f aca="false">IFERROR(IF(ISNUMBER(F251),F251-E251,"n/a"),"n/a")</f>
        <v>-0.163636364042759</v>
      </c>
      <c r="H251" s="47" t="n">
        <v>0.500000001</v>
      </c>
      <c r="I251" s="41" t="str">
        <f aca="false">IFERROR(IF(ISNUMBER(F251),IF(ABS(F251-E251)&lt;=H251,"PASS","FAIL"),"FAIL"),"FAIL")</f>
        <v>PASS</v>
      </c>
    </row>
    <row r="252" customFormat="false" ht="15" hidden="false" customHeight="false" outlineLevel="0" collapsed="false">
      <c r="B252" s="42" t="n">
        <v>243</v>
      </c>
      <c r="C252" s="9" t="s">
        <v>283</v>
      </c>
      <c r="D252" s="9" t="s">
        <v>522</v>
      </c>
      <c r="E252" s="12" t="n">
        <v>8878819</v>
      </c>
      <c r="F252" s="24" t="n">
        <f aca="false">Cost_Approach!$C$42</f>
        <v>8878819.25059289</v>
      </c>
      <c r="G252" s="46" t="n">
        <f aca="false">IFERROR(IF(ISNUMBER(F252),F252-E252,"n/a"),"n/a")</f>
        <v>0.250592885538936</v>
      </c>
      <c r="H252" s="47" t="n">
        <v>0.500000001</v>
      </c>
      <c r="I252" s="41" t="str">
        <f aca="false">IFERROR(IF(ISNUMBER(F252),IF(ABS(F252-E252)&lt;=H252,"PASS","FAIL"),"FAIL"),"FAIL")</f>
        <v>PASS</v>
      </c>
    </row>
    <row r="253" customFormat="false" ht="15" hidden="false" customHeight="false" outlineLevel="0" collapsed="false">
      <c r="B253" s="42" t="n">
        <v>244</v>
      </c>
      <c r="C253" s="9" t="s">
        <v>283</v>
      </c>
      <c r="D253" s="9" t="s">
        <v>523</v>
      </c>
      <c r="E253" s="12" t="n">
        <v>8900000</v>
      </c>
      <c r="F253" s="24" t="n">
        <f aca="false">Cost_Approach!$C$43</f>
        <v>8900000</v>
      </c>
      <c r="G253" s="46" t="n">
        <f aca="false">IFERROR(IF(ISNUMBER(F253),F253-E253,"n/a"),"n/a")</f>
        <v>0</v>
      </c>
      <c r="H253" s="47" t="n">
        <v>0.500000001</v>
      </c>
      <c r="I253" s="41" t="str">
        <f aca="false">IFERROR(IF(ISNUMBER(F253),IF(ABS(F253-E253)&lt;=H253,"PASS","FAIL"),"FAIL"),"FAIL")</f>
        <v>PASS</v>
      </c>
    </row>
    <row r="254" customFormat="false" ht="15" hidden="false" customHeight="false" outlineLevel="0" collapsed="false">
      <c r="B254" s="42" t="n">
        <v>245</v>
      </c>
      <c r="C254" s="9" t="s">
        <v>283</v>
      </c>
      <c r="D254" s="9" t="s">
        <v>524</v>
      </c>
      <c r="E254" s="12" t="n">
        <v>3600000</v>
      </c>
      <c r="F254" s="24" t="n">
        <f aca="false">Cost_Approach!$C$44</f>
        <v>3600000</v>
      </c>
      <c r="G254" s="46" t="n">
        <f aca="false">IFERROR(IF(ISNUMBER(F254),F254-E254,"n/a"),"n/a")</f>
        <v>0</v>
      </c>
      <c r="H254" s="47" t="n">
        <v>0.500000001</v>
      </c>
      <c r="I254" s="41" t="str">
        <f aca="false">IFERROR(IF(ISNUMBER(F254),IF(ABS(F254-E254)&lt;=H254,"PASS","FAIL"),"FAIL"),"FAIL")</f>
        <v>PASS</v>
      </c>
    </row>
    <row r="255" customFormat="false" ht="15" hidden="false" customHeight="false" outlineLevel="0" collapsed="false">
      <c r="B255" s="42" t="n">
        <v>246</v>
      </c>
      <c r="C255" s="9" t="s">
        <v>283</v>
      </c>
      <c r="D255" s="9" t="s">
        <v>525</v>
      </c>
      <c r="E255" s="12" t="n">
        <v>11214000</v>
      </c>
      <c r="F255" s="24" t="n">
        <f aca="false">Cost_Approach!$C$49</f>
        <v>11214000</v>
      </c>
      <c r="G255" s="46" t="n">
        <f aca="false">IFERROR(IF(ISNUMBER(F255),F255-E255,"n/a"),"n/a")</f>
        <v>0</v>
      </c>
      <c r="H255" s="47" t="n">
        <v>0.500000001</v>
      </c>
      <c r="I255" s="41" t="str">
        <f aca="false">IFERROR(IF(ISNUMBER(F255),IF(ABS(F255-E255)&lt;=H255,"PASS","FAIL"),"FAIL"),"FAIL")</f>
        <v>PASS</v>
      </c>
    </row>
    <row r="256" customFormat="false" ht="15" hidden="false" customHeight="false" outlineLevel="0" collapsed="false">
      <c r="B256" s="42" t="n">
        <v>247</v>
      </c>
      <c r="C256" s="9" t="s">
        <v>283</v>
      </c>
      <c r="D256" s="9" t="s">
        <v>526</v>
      </c>
      <c r="E256" s="12" t="n">
        <v>1224000</v>
      </c>
      <c r="F256" s="24" t="n">
        <f aca="false">Cost_Approach!$C$53</f>
        <v>1224000</v>
      </c>
      <c r="G256" s="46" t="n">
        <f aca="false">IFERROR(IF(ISNUMBER(F256),F256-E256,"n/a"),"n/a")</f>
        <v>0</v>
      </c>
      <c r="H256" s="47" t="n">
        <v>0.500000001</v>
      </c>
      <c r="I256" s="41" t="str">
        <f aca="false">IFERROR(IF(ISNUMBER(F256),IF(ABS(F256-E256)&lt;=H256,"PASS","FAIL"),"FAIL"),"FAIL")</f>
        <v>PASS</v>
      </c>
    </row>
    <row r="257" customFormat="false" ht="15" hidden="false" customHeight="false" outlineLevel="0" collapsed="false">
      <c r="B257" s="42" t="n">
        <v>248</v>
      </c>
      <c r="C257" s="9" t="s">
        <v>283</v>
      </c>
      <c r="D257" s="9" t="s">
        <v>527</v>
      </c>
      <c r="E257" s="12" t="n">
        <v>9990000</v>
      </c>
      <c r="F257" s="24" t="n">
        <f aca="false">Cost_Approach!$C$54</f>
        <v>9990000</v>
      </c>
      <c r="G257" s="46" t="n">
        <f aca="false">IFERROR(IF(ISNUMBER(F257),F257-E257,"n/a"),"n/a")</f>
        <v>0</v>
      </c>
      <c r="H257" s="47" t="n">
        <v>0.500000001</v>
      </c>
      <c r="I257" s="41" t="str">
        <f aca="false">IFERROR(IF(ISNUMBER(F257),IF(ABS(F257-E257)&lt;=H257,"PASS","FAIL"),"FAIL"),"FAIL")</f>
        <v>PASS</v>
      </c>
    </row>
    <row r="258" customFormat="false" ht="15" hidden="false" customHeight="false" outlineLevel="0" collapsed="false">
      <c r="B258" s="42" t="n">
        <v>249</v>
      </c>
      <c r="C258" s="9" t="s">
        <v>283</v>
      </c>
      <c r="D258" s="9" t="s">
        <v>528</v>
      </c>
      <c r="E258" s="12" t="n">
        <v>14569808</v>
      </c>
      <c r="F258" s="24" t="n">
        <f aca="false">Cost_Approach!$C$59</f>
        <v>14569808</v>
      </c>
      <c r="G258" s="46" t="n">
        <f aca="false">IFERROR(IF(ISNUMBER(F258),F258-E258,"n/a"),"n/a")</f>
        <v>0</v>
      </c>
      <c r="H258" s="47" t="n">
        <v>0.500000001</v>
      </c>
      <c r="I258" s="41" t="str">
        <f aca="false">IFERROR(IF(ISNUMBER(F258),IF(ABS(F258-E258)&lt;=H258,"PASS","FAIL"),"FAIL"),"FAIL")</f>
        <v>PASS</v>
      </c>
    </row>
    <row r="259" customFormat="false" ht="15" hidden="false" customHeight="false" outlineLevel="0" collapsed="false">
      <c r="B259" s="42" t="n">
        <v>250</v>
      </c>
      <c r="C259" s="9" t="s">
        <v>283</v>
      </c>
      <c r="D259" s="9" t="s">
        <v>529</v>
      </c>
      <c r="E259" s="12" t="n">
        <v>4579808</v>
      </c>
      <c r="F259" s="24" t="n">
        <f aca="false">Cost_Approach!$C$60</f>
        <v>4579808</v>
      </c>
      <c r="G259" s="46" t="n">
        <f aca="false">IFERROR(IF(ISNUMBER(F259),F259-E259,"n/a"),"n/a")</f>
        <v>0</v>
      </c>
      <c r="H259" s="47" t="n">
        <v>0.500000001</v>
      </c>
      <c r="I259" s="41" t="str">
        <f aca="false">IFERROR(IF(ISNUMBER(F259),IF(ABS(F259-E259)&lt;=H259,"PASS","FAIL"),"FAIL"),"FAIL")</f>
        <v>PASS</v>
      </c>
    </row>
    <row r="260" customFormat="false" ht="15" hidden="false" customHeight="false" outlineLevel="0" collapsed="false">
      <c r="B260" s="42" t="n">
        <v>251</v>
      </c>
      <c r="C260" s="9" t="s">
        <v>283</v>
      </c>
      <c r="D260" s="9" t="s">
        <v>530</v>
      </c>
      <c r="E260" s="32" t="n">
        <v>0.314</v>
      </c>
      <c r="F260" s="50" t="n">
        <f aca="false">Cost_Approach!$C$61</f>
        <v>0.314335508058857</v>
      </c>
      <c r="G260" s="46" t="n">
        <f aca="false">IFERROR(IF(ISNUMBER(F260),F260-E260,"n/a"),"n/a")</f>
        <v>0.000335508058857126</v>
      </c>
      <c r="H260" s="47" t="n">
        <v>0.000500001</v>
      </c>
      <c r="I260" s="41" t="str">
        <f aca="false">IFERROR(IF(ISNUMBER(F260),IF(ABS(F260-E260)&lt;=H260,"PASS","FAIL"),"FAIL"),"FAIL")</f>
        <v>PASS</v>
      </c>
    </row>
    <row r="261" customFormat="false" ht="15" hidden="false" customHeight="false" outlineLevel="0" collapsed="false">
      <c r="B261" s="42" t="n">
        <v>252</v>
      </c>
      <c r="C261" s="9" t="s">
        <v>283</v>
      </c>
      <c r="D261" s="9" t="s">
        <v>531</v>
      </c>
      <c r="E261" s="12" t="n">
        <v>28</v>
      </c>
      <c r="F261" s="24" t="n">
        <f aca="false">Cost_Approach!$C$62</f>
        <v>28</v>
      </c>
      <c r="G261" s="46" t="n">
        <f aca="false">IFERROR(IF(ISNUMBER(F261),F261-E261,"n/a"),"n/a")</f>
        <v>0</v>
      </c>
      <c r="H261" s="47" t="n">
        <v>0.500000001</v>
      </c>
      <c r="I261" s="41" t="str">
        <f aca="false">IFERROR(IF(ISNUMBER(F261),IF(ABS(F261-E261)&lt;=H261,"PASS","FAIL"),"FAIL"),"FAIL")</f>
        <v>PASS</v>
      </c>
    </row>
    <row r="262" customFormat="false" ht="15" hidden="false" customHeight="false" outlineLevel="0" collapsed="false">
      <c r="B262" s="42" t="n">
        <v>253</v>
      </c>
      <c r="C262" s="9" t="s">
        <v>283</v>
      </c>
      <c r="D262" s="9" t="s">
        <v>532</v>
      </c>
      <c r="E262" s="16" t="n">
        <v>0.0112</v>
      </c>
      <c r="F262" s="49" t="n">
        <f aca="false">Cost_Approach!$C$63</f>
        <v>0.0112262681449592</v>
      </c>
      <c r="G262" s="46" t="n">
        <f aca="false">IFERROR(IF(ISNUMBER(F262),F262-E262,"n/a"),"n/a")</f>
        <v>2.6268144959183E-005</v>
      </c>
      <c r="H262" s="47" t="n">
        <v>5.0001E-005</v>
      </c>
      <c r="I262" s="41" t="str">
        <f aca="false">IFERROR(IF(ISNUMBER(F262),IF(ABS(F262-E262)&lt;=H262,"PASS","FAIL"),"FAIL"),"FAIL")</f>
        <v>PASS</v>
      </c>
    </row>
    <row r="263" customFormat="false" ht="15" hidden="false" customHeight="false" outlineLevel="0" collapsed="false">
      <c r="B263" s="42" t="n">
        <v>254</v>
      </c>
      <c r="C263" s="9" t="s">
        <v>283</v>
      </c>
      <c r="D263" s="9" t="s">
        <v>533</v>
      </c>
      <c r="E263" s="12" t="n">
        <v>20640000</v>
      </c>
      <c r="F263" s="24" t="n">
        <f aca="false">Cost_Approach!$D$49</f>
        <v>20640000</v>
      </c>
      <c r="G263" s="46" t="n">
        <f aca="false">IFERROR(IF(ISNUMBER(F263),F263-E263,"n/a"),"n/a")</f>
        <v>0</v>
      </c>
      <c r="H263" s="47" t="n">
        <v>0.500000001</v>
      </c>
      <c r="I263" s="41" t="str">
        <f aca="false">IFERROR(IF(ISNUMBER(F263),IF(ABS(F263-E263)&lt;=H263,"PASS","FAIL"),"FAIL"),"FAIL")</f>
        <v>PASS</v>
      </c>
    </row>
    <row r="264" customFormat="false" ht="15" hidden="false" customHeight="false" outlineLevel="0" collapsed="false">
      <c r="B264" s="42" t="n">
        <v>255</v>
      </c>
      <c r="C264" s="9" t="s">
        <v>283</v>
      </c>
      <c r="D264" s="9" t="s">
        <v>534</v>
      </c>
      <c r="E264" s="12" t="n">
        <v>1800000</v>
      </c>
      <c r="F264" s="24" t="n">
        <f aca="false">Cost_Approach!$D$53</f>
        <v>1800000</v>
      </c>
      <c r="G264" s="46" t="n">
        <f aca="false">IFERROR(IF(ISNUMBER(F264),F264-E264,"n/a"),"n/a")</f>
        <v>0</v>
      </c>
      <c r="H264" s="47" t="n">
        <v>0.500000001</v>
      </c>
      <c r="I264" s="41" t="str">
        <f aca="false">IFERROR(IF(ISNUMBER(F264),IF(ABS(F264-E264)&lt;=H264,"PASS","FAIL"),"FAIL"),"FAIL")</f>
        <v>PASS</v>
      </c>
    </row>
    <row r="265" customFormat="false" ht="15" hidden="false" customHeight="false" outlineLevel="0" collapsed="false">
      <c r="B265" s="42" t="n">
        <v>256</v>
      </c>
      <c r="C265" s="9" t="s">
        <v>283</v>
      </c>
      <c r="D265" s="9" t="s">
        <v>535</v>
      </c>
      <c r="E265" s="12" t="n">
        <v>18840000</v>
      </c>
      <c r="F265" s="24" t="n">
        <f aca="false">Cost_Approach!$D$54</f>
        <v>18840000</v>
      </c>
      <c r="G265" s="46" t="n">
        <f aca="false">IFERROR(IF(ISNUMBER(F265),F265-E265,"n/a"),"n/a")</f>
        <v>0</v>
      </c>
      <c r="H265" s="47" t="n">
        <v>0.500000001</v>
      </c>
      <c r="I265" s="41" t="str">
        <f aca="false">IFERROR(IF(ISNUMBER(F265),IF(ABS(F265-E265)&lt;=H265,"PASS","FAIL"),"FAIL"),"FAIL")</f>
        <v>PASS</v>
      </c>
    </row>
    <row r="266" customFormat="false" ht="15" hidden="false" customHeight="false" outlineLevel="0" collapsed="false">
      <c r="B266" s="42" t="n">
        <v>257</v>
      </c>
      <c r="C266" s="9" t="s">
        <v>283</v>
      </c>
      <c r="D266" s="9" t="s">
        <v>536</v>
      </c>
      <c r="E266" s="12" t="n">
        <v>22453493</v>
      </c>
      <c r="F266" s="24" t="n">
        <f aca="false">Cost_Approach!$D$59</f>
        <v>22453493.3333333</v>
      </c>
      <c r="G266" s="46" t="n">
        <f aca="false">IFERROR(IF(ISNUMBER(F266),F266-E266,"n/a"),"n/a")</f>
        <v>0.33333333581686</v>
      </c>
      <c r="H266" s="47" t="n">
        <v>0.500000001</v>
      </c>
      <c r="I266" s="41" t="str">
        <f aca="false">IFERROR(IF(ISNUMBER(F266),IF(ABS(F266-E266)&lt;=H266,"PASS","FAIL"),"FAIL"),"FAIL")</f>
        <v>PASS</v>
      </c>
    </row>
    <row r="267" customFormat="false" ht="15" hidden="false" customHeight="false" outlineLevel="0" collapsed="false">
      <c r="B267" s="42" t="n">
        <v>258</v>
      </c>
      <c r="C267" s="9" t="s">
        <v>283</v>
      </c>
      <c r="D267" s="9" t="s">
        <v>537</v>
      </c>
      <c r="E267" s="12" t="n">
        <v>3613493</v>
      </c>
      <c r="F267" s="24" t="n">
        <f aca="false">Cost_Approach!$D$60</f>
        <v>3613493.33333334</v>
      </c>
      <c r="G267" s="46" t="n">
        <f aca="false">IFERROR(IF(ISNUMBER(F267),F267-E267,"n/a"),"n/a")</f>
        <v>0.33333333581686</v>
      </c>
      <c r="H267" s="47" t="n">
        <v>0.500000001</v>
      </c>
      <c r="I267" s="41" t="str">
        <f aca="false">IFERROR(IF(ISNUMBER(F267),IF(ABS(F267-E267)&lt;=H267,"PASS","FAIL"),"FAIL"),"FAIL")</f>
        <v>PASS</v>
      </c>
    </row>
    <row r="268" customFormat="false" ht="15" hidden="false" customHeight="false" outlineLevel="0" collapsed="false">
      <c r="B268" s="42" t="n">
        <v>259</v>
      </c>
      <c r="C268" s="9" t="s">
        <v>283</v>
      </c>
      <c r="D268" s="9" t="s">
        <v>538</v>
      </c>
      <c r="E268" s="32" t="n">
        <v>0.161</v>
      </c>
      <c r="F268" s="50" t="n">
        <f aca="false">Cost_Approach!$D$61</f>
        <v>0.160932344900155</v>
      </c>
      <c r="G268" s="46" t="n">
        <f aca="false">IFERROR(IF(ISNUMBER(F268),F268-E268,"n/a"),"n/a")</f>
        <v>-6.76550998447989E-005</v>
      </c>
      <c r="H268" s="47" t="n">
        <v>0.000500001</v>
      </c>
      <c r="I268" s="41" t="str">
        <f aca="false">IFERROR(IF(ISNUMBER(F268),IF(ABS(F268-E268)&lt;=H268,"PASS","FAIL"),"FAIL"),"FAIL")</f>
        <v>PASS</v>
      </c>
    </row>
    <row r="269" customFormat="false" ht="15" hidden="false" customHeight="false" outlineLevel="0" collapsed="false">
      <c r="B269" s="42" t="n">
        <v>260</v>
      </c>
      <c r="C269" s="9" t="s">
        <v>283</v>
      </c>
      <c r="D269" s="9" t="s">
        <v>539</v>
      </c>
      <c r="E269" s="12" t="n">
        <v>27</v>
      </c>
      <c r="F269" s="24" t="n">
        <f aca="false">Cost_Approach!$D$62</f>
        <v>27</v>
      </c>
      <c r="G269" s="46" t="n">
        <f aca="false">IFERROR(IF(ISNUMBER(F269),F269-E269,"n/a"),"n/a")</f>
        <v>0</v>
      </c>
      <c r="H269" s="47" t="n">
        <v>0.500000001</v>
      </c>
      <c r="I269" s="41" t="str">
        <f aca="false">IFERROR(IF(ISNUMBER(F269),IF(ABS(F269-E269)&lt;=H269,"PASS","FAIL"),"FAIL"),"FAIL")</f>
        <v>PASS</v>
      </c>
    </row>
    <row r="270" customFormat="false" ht="15" hidden="false" customHeight="false" outlineLevel="0" collapsed="false">
      <c r="B270" s="42" t="n">
        <v>261</v>
      </c>
      <c r="C270" s="9" t="s">
        <v>283</v>
      </c>
      <c r="D270" s="9" t="s">
        <v>540</v>
      </c>
      <c r="E270" s="16" t="n">
        <v>0.006</v>
      </c>
      <c r="F270" s="49" t="n">
        <f aca="false">Cost_Approach!$D$63</f>
        <v>0.00596045721852427</v>
      </c>
      <c r="G270" s="46" t="n">
        <f aca="false">IFERROR(IF(ISNUMBER(F270),F270-E270,"n/a"),"n/a")</f>
        <v>-3.95427814757331E-005</v>
      </c>
      <c r="H270" s="47" t="n">
        <v>5.0001E-005</v>
      </c>
      <c r="I270" s="41" t="str">
        <f aca="false">IFERROR(IF(ISNUMBER(F270),IF(ABS(F270-E270)&lt;=H270,"PASS","FAIL"),"FAIL"),"FAIL")</f>
        <v>PASS</v>
      </c>
    </row>
    <row r="271" customFormat="false" ht="15" hidden="false" customHeight="false" outlineLevel="0" collapsed="false">
      <c r="B271" s="42" t="n">
        <v>262</v>
      </c>
      <c r="C271" s="9" t="s">
        <v>283</v>
      </c>
      <c r="D271" s="9" t="s">
        <v>541</v>
      </c>
      <c r="E271" s="32" t="n">
        <v>0.238</v>
      </c>
      <c r="F271" s="50" t="n">
        <f aca="false">Cost_Approach!$C$64</f>
        <v>0.237633926479506</v>
      </c>
      <c r="G271" s="46" t="n">
        <f aca="false">IFERROR(IF(ISNUMBER(F271),F271-E271,"n/a"),"n/a")</f>
        <v>-0.000366073520493837</v>
      </c>
      <c r="H271" s="47" t="n">
        <v>0.000500001</v>
      </c>
      <c r="I271" s="41" t="str">
        <f aca="false">IFERROR(IF(ISNUMBER(F271),IF(ABS(F271-E271)&lt;=H271,"PASS","FAIL"),"FAIL"),"FAIL")</f>
        <v>PASS</v>
      </c>
    </row>
    <row r="272" customFormat="false" ht="15" hidden="false" customHeight="false" outlineLevel="0" collapsed="false">
      <c r="B272" s="42" t="n">
        <v>263</v>
      </c>
      <c r="C272" s="9" t="s">
        <v>286</v>
      </c>
      <c r="D272" s="9" t="s">
        <v>542</v>
      </c>
      <c r="E272" s="12" t="n">
        <v>84</v>
      </c>
      <c r="F272" s="24" t="n">
        <f aca="false">Highest_Best_Use!$C$6</f>
        <v>84</v>
      </c>
      <c r="G272" s="46" t="n">
        <f aca="false">IFERROR(IF(ISNUMBER(F272),F272-E272,"n/a"),"n/a")</f>
        <v>0</v>
      </c>
      <c r="H272" s="47" t="n">
        <v>0.500000001</v>
      </c>
      <c r="I272" s="41" t="str">
        <f aca="false">IFERROR(IF(ISNUMBER(F272),IF(ABS(F272-E272)&lt;=H272,"PASS","FAIL"),"FAIL"),"FAIL")</f>
        <v>PASS</v>
      </c>
    </row>
    <row r="273" customFormat="false" ht="15" hidden="false" customHeight="false" outlineLevel="0" collapsed="false">
      <c r="B273" s="42" t="n">
        <v>264</v>
      </c>
      <c r="C273" s="9" t="s">
        <v>286</v>
      </c>
      <c r="D273" s="9" t="s">
        <v>543</v>
      </c>
      <c r="E273" s="12" t="n">
        <v>190000</v>
      </c>
      <c r="F273" s="24" t="n">
        <f aca="false">Highest_Best_Use!$C$7</f>
        <v>190000</v>
      </c>
      <c r="G273" s="46" t="n">
        <f aca="false">IFERROR(IF(ISNUMBER(F273),F273-E273,"n/a"),"n/a")</f>
        <v>0</v>
      </c>
      <c r="H273" s="47" t="n">
        <v>0.500000001</v>
      </c>
      <c r="I273" s="41" t="str">
        <f aca="false">IFERROR(IF(ISNUMBER(F273),IF(ABS(F273-E273)&lt;=H273,"PASS","FAIL"),"FAIL"),"FAIL")</f>
        <v>PASS</v>
      </c>
    </row>
    <row r="274" customFormat="false" ht="15" hidden="false" customHeight="false" outlineLevel="0" collapsed="false">
      <c r="B274" s="42" t="n">
        <v>265</v>
      </c>
      <c r="C274" s="9" t="s">
        <v>286</v>
      </c>
      <c r="D274" s="9" t="s">
        <v>544</v>
      </c>
      <c r="E274" s="12" t="n">
        <v>15960000</v>
      </c>
      <c r="F274" s="24" t="n">
        <f aca="false">Highest_Best_Use!$C$8</f>
        <v>15960000</v>
      </c>
      <c r="G274" s="46" t="n">
        <f aca="false">IFERROR(IF(ISNUMBER(F274),F274-E274,"n/a"),"n/a")</f>
        <v>0</v>
      </c>
      <c r="H274" s="47" t="n">
        <v>0.500000001</v>
      </c>
      <c r="I274" s="41" t="str">
        <f aca="false">IFERROR(IF(ISNUMBER(F274),IF(ABS(F274-E274)&lt;=H274,"PASS","FAIL"),"FAIL"),"FAIL")</f>
        <v>PASS</v>
      </c>
    </row>
    <row r="275" customFormat="false" ht="15" hidden="false" customHeight="false" outlineLevel="0" collapsed="false">
      <c r="B275" s="42" t="n">
        <v>266</v>
      </c>
      <c r="C275" s="9" t="s">
        <v>286</v>
      </c>
      <c r="D275" s="9" t="s">
        <v>545</v>
      </c>
      <c r="E275" s="12" t="n">
        <v>17598000</v>
      </c>
      <c r="F275" s="24" t="n">
        <f aca="false">Highest_Best_Use!$C$9</f>
        <v>17598000</v>
      </c>
      <c r="G275" s="46" t="n">
        <f aca="false">IFERROR(IF(ISNUMBER(F275),F275-E275,"n/a"),"n/a")</f>
        <v>0</v>
      </c>
      <c r="H275" s="47" t="n">
        <v>0.500000001</v>
      </c>
      <c r="I275" s="41" t="str">
        <f aca="false">IFERROR(IF(ISNUMBER(F275),IF(ABS(F275-E275)&lt;=H275,"PASS","FAIL"),"FAIL"),"FAIL")</f>
        <v>PASS</v>
      </c>
    </row>
    <row r="276" customFormat="false" ht="15" hidden="false" customHeight="false" outlineLevel="0" collapsed="false">
      <c r="B276" s="42" t="n">
        <v>267</v>
      </c>
      <c r="C276" s="9" t="s">
        <v>286</v>
      </c>
      <c r="D276" s="9" t="s">
        <v>546</v>
      </c>
      <c r="E276" s="12" t="n">
        <v>12600</v>
      </c>
      <c r="F276" s="24" t="n">
        <f aca="false">Highest_Best_Use!$C$10</f>
        <v>12600</v>
      </c>
      <c r="G276" s="46" t="n">
        <f aca="false">IFERROR(IF(ISNUMBER(F276),F276-E276,"n/a"),"n/a")</f>
        <v>0</v>
      </c>
      <c r="H276" s="47" t="n">
        <v>0.500000001</v>
      </c>
      <c r="I276" s="41" t="str">
        <f aca="false">IFERROR(IF(ISNUMBER(F276),IF(ABS(F276-E276)&lt;=H276,"PASS","FAIL"),"FAIL"),"FAIL")</f>
        <v>PASS</v>
      </c>
    </row>
    <row r="277" customFormat="false" ht="15" hidden="false" customHeight="false" outlineLevel="0" collapsed="false">
      <c r="B277" s="42" t="n">
        <v>268</v>
      </c>
      <c r="C277" s="9" t="s">
        <v>286</v>
      </c>
      <c r="D277" s="9" t="s">
        <v>547</v>
      </c>
      <c r="E277" s="12" t="n">
        <v>1058400</v>
      </c>
      <c r="F277" s="24" t="n">
        <f aca="false">Highest_Best_Use!$C$11</f>
        <v>1058400</v>
      </c>
      <c r="G277" s="46" t="n">
        <f aca="false">IFERROR(IF(ISNUMBER(F277),F277-E277,"n/a"),"n/a")</f>
        <v>0</v>
      </c>
      <c r="H277" s="47" t="n">
        <v>0.500000001</v>
      </c>
      <c r="I277" s="41" t="str">
        <f aca="false">IFERROR(IF(ISNUMBER(F277),IF(ABS(F277-E277)&lt;=H277,"PASS","FAIL"),"FAIL"),"FAIL")</f>
        <v>PASS</v>
      </c>
    </row>
    <row r="278" customFormat="false" ht="15" hidden="false" customHeight="false" outlineLevel="0" collapsed="false">
      <c r="B278" s="42" t="n">
        <v>269</v>
      </c>
      <c r="C278" s="9" t="s">
        <v>286</v>
      </c>
      <c r="D278" s="9" t="s">
        <v>548</v>
      </c>
      <c r="E278" s="16" t="n">
        <v>0.0525</v>
      </c>
      <c r="F278" s="49" t="n">
        <f aca="false">Highest_Best_Use!$C$12</f>
        <v>0.0525</v>
      </c>
      <c r="G278" s="46" t="n">
        <f aca="false">IFERROR(IF(ISNUMBER(F278),F278-E278,"n/a"),"n/a")</f>
        <v>0</v>
      </c>
      <c r="H278" s="47" t="n">
        <v>5.0001E-005</v>
      </c>
      <c r="I278" s="41" t="str">
        <f aca="false">IFERROR(IF(ISNUMBER(F278),IF(ABS(F278-E278)&lt;=H278,"PASS","FAIL"),"FAIL"),"FAIL")</f>
        <v>PASS</v>
      </c>
    </row>
    <row r="279" customFormat="false" ht="15" hidden="false" customHeight="false" outlineLevel="0" collapsed="false">
      <c r="B279" s="42" t="n">
        <v>270</v>
      </c>
      <c r="C279" s="9" t="s">
        <v>286</v>
      </c>
      <c r="D279" s="9" t="s">
        <v>549</v>
      </c>
      <c r="E279" s="12" t="n">
        <v>20160000</v>
      </c>
      <c r="F279" s="24" t="n">
        <f aca="false">Highest_Best_Use!$C$13</f>
        <v>20160000</v>
      </c>
      <c r="G279" s="46" t="n">
        <f aca="false">IFERROR(IF(ISNUMBER(F279),F279-E279,"n/a"),"n/a")</f>
        <v>0</v>
      </c>
      <c r="H279" s="47" t="n">
        <v>0.500000001</v>
      </c>
      <c r="I279" s="41" t="str">
        <f aca="false">IFERROR(IF(ISNUMBER(F279),IF(ABS(F279-E279)&lt;=H279,"PASS","FAIL"),"FAIL"),"FAIL")</f>
        <v>PASS</v>
      </c>
    </row>
    <row r="280" customFormat="false" ht="15" hidden="false" customHeight="false" outlineLevel="0" collapsed="false">
      <c r="B280" s="42" t="n">
        <v>271</v>
      </c>
      <c r="C280" s="9" t="s">
        <v>286</v>
      </c>
      <c r="D280" s="9" t="s">
        <v>550</v>
      </c>
      <c r="E280" s="12" t="n">
        <v>240000</v>
      </c>
      <c r="F280" s="24" t="n">
        <f aca="false">Highest_Best_Use!$C$14</f>
        <v>240000</v>
      </c>
      <c r="G280" s="46" t="n">
        <f aca="false">IFERROR(IF(ISNUMBER(F280),F280-E280,"n/a"),"n/a")</f>
        <v>0</v>
      </c>
      <c r="H280" s="47" t="n">
        <v>0.500000001</v>
      </c>
      <c r="I280" s="41" t="str">
        <f aca="false">IFERROR(IF(ISNUMBER(F280),IF(ABS(F280-E280)&lt;=H280,"PASS","FAIL"),"FAIL"),"FAIL")</f>
        <v>PASS</v>
      </c>
    </row>
    <row r="281" customFormat="false" ht="15" hidden="false" customHeight="false" outlineLevel="0" collapsed="false">
      <c r="B281" s="42" t="n">
        <v>272</v>
      </c>
      <c r="C281" s="9" t="s">
        <v>286</v>
      </c>
      <c r="D281" s="9" t="s">
        <v>551</v>
      </c>
      <c r="E281" s="17" t="n">
        <v>0.12</v>
      </c>
      <c r="F281" s="37" t="n">
        <f aca="false">Highest_Best_Use!$C$15</f>
        <v>0.12</v>
      </c>
      <c r="G281" s="46" t="n">
        <f aca="false">IFERROR(IF(ISNUMBER(F281),F281-E281,"n/a"),"n/a")</f>
        <v>0</v>
      </c>
      <c r="H281" s="47" t="n">
        <v>0.005000001</v>
      </c>
      <c r="I281" s="41" t="str">
        <f aca="false">IFERROR(IF(ISNUMBER(F281),IF(ABS(F281-E281)&lt;=H281,"PASS","FAIL"),"FAIL"),"FAIL")</f>
        <v>PASS</v>
      </c>
    </row>
    <row r="282" customFormat="false" ht="15" hidden="false" customHeight="false" outlineLevel="0" collapsed="false">
      <c r="B282" s="42" t="n">
        <v>273</v>
      </c>
      <c r="C282" s="9" t="s">
        <v>286</v>
      </c>
      <c r="D282" s="9" t="s">
        <v>552</v>
      </c>
      <c r="E282" s="12" t="n">
        <v>19709760</v>
      </c>
      <c r="F282" s="24" t="n">
        <f aca="false">Highest_Best_Use!$C$16</f>
        <v>19709760</v>
      </c>
      <c r="G282" s="46" t="n">
        <f aca="false">IFERROR(IF(ISNUMBER(F282),F282-E282,"n/a"),"n/a")</f>
        <v>0</v>
      </c>
      <c r="H282" s="47" t="n">
        <v>0.500000001</v>
      </c>
      <c r="I282" s="41" t="str">
        <f aca="false">IFERROR(IF(ISNUMBER(F282),IF(ABS(F282-E282)&lt;=H282,"PASS","FAIL"),"FAIL"),"FAIL")</f>
        <v>PASS</v>
      </c>
    </row>
    <row r="283" customFormat="false" ht="15" hidden="false" customHeight="false" outlineLevel="0" collapsed="false">
      <c r="B283" s="42" t="n">
        <v>274</v>
      </c>
      <c r="C283" s="9" t="s">
        <v>286</v>
      </c>
      <c r="D283" s="9" t="s">
        <v>553</v>
      </c>
      <c r="E283" s="12" t="n">
        <v>450240</v>
      </c>
      <c r="F283" s="24" t="n">
        <f aca="false">Highest_Best_Use!$C$17</f>
        <v>450239.999999996</v>
      </c>
      <c r="G283" s="46" t="n">
        <f aca="false">IFERROR(IF(ISNUMBER(F283),F283-E283,"n/a"),"n/a")</f>
        <v>-3.72529029846191E-009</v>
      </c>
      <c r="H283" s="47" t="n">
        <v>0.500000001</v>
      </c>
      <c r="I283" s="41" t="str">
        <f aca="false">IFERROR(IF(ISNUMBER(F283),IF(ABS(F283-E283)&lt;=H283,"PASS","FAIL"),"FAIL"),"FAIL")</f>
        <v>PASS</v>
      </c>
    </row>
    <row r="284" customFormat="false" ht="15" hidden="false" customHeight="false" outlineLevel="0" collapsed="false">
      <c r="B284" s="42" t="n">
        <v>275</v>
      </c>
      <c r="C284" s="9" t="s">
        <v>286</v>
      </c>
      <c r="D284" s="9" t="s">
        <v>554</v>
      </c>
      <c r="E284" s="12" t="n">
        <v>2040000</v>
      </c>
      <c r="F284" s="24" t="n">
        <f aca="false">Highest_Best_Use!$C$18</f>
        <v>2040000</v>
      </c>
      <c r="G284" s="46" t="n">
        <f aca="false">IFERROR(IF(ISNUMBER(F284),F284-E284,"n/a"),"n/a")</f>
        <v>0</v>
      </c>
      <c r="H284" s="47" t="n">
        <v>0.500000001</v>
      </c>
      <c r="I284" s="41" t="str">
        <f aca="false">IFERROR(IF(ISNUMBER(F284),IF(ABS(F284-E284)&lt;=H284,"PASS","FAIL"),"FAIL"),"FAIL")</f>
        <v>PASS</v>
      </c>
    </row>
    <row r="285" customFormat="false" ht="15" hidden="false" customHeight="false" outlineLevel="0" collapsed="false">
      <c r="B285" s="42" t="n">
        <v>276</v>
      </c>
      <c r="C285" s="9" t="s">
        <v>286</v>
      </c>
      <c r="D285" s="9" t="s">
        <v>555</v>
      </c>
      <c r="E285" s="12" t="n">
        <v>24286</v>
      </c>
      <c r="F285" s="24" t="n">
        <f aca="false">Highest_Best_Use!$C$19</f>
        <v>24285.7142857143</v>
      </c>
      <c r="G285" s="46" t="n">
        <f aca="false">IFERROR(IF(ISNUMBER(F285),F285-E285,"n/a"),"n/a")</f>
        <v>-0.285714285713766</v>
      </c>
      <c r="H285" s="47" t="n">
        <v>0.500000001</v>
      </c>
      <c r="I285" s="41" t="str">
        <f aca="false">IFERROR(IF(ISNUMBER(F285),IF(ABS(F285-E285)&lt;=H285,"PASS","FAIL"),"FAIL"),"FAIL")</f>
        <v>PASS</v>
      </c>
    </row>
    <row r="286" customFormat="false" ht="15" hidden="false" customHeight="false" outlineLevel="0" collapsed="false">
      <c r="B286" s="42" t="n">
        <v>277</v>
      </c>
      <c r="C286" s="9" t="s">
        <v>286</v>
      </c>
      <c r="D286" s="9" t="s">
        <v>556</v>
      </c>
      <c r="E286" s="12" t="n">
        <v>4786</v>
      </c>
      <c r="F286" s="24" t="n">
        <f aca="false">Highest_Best_Use!$C$20</f>
        <v>4785.71428571429</v>
      </c>
      <c r="G286" s="46" t="n">
        <f aca="false">IFERROR(IF(ISNUMBER(F286),F286-E286,"n/a"),"n/a")</f>
        <v>-0.285714285713766</v>
      </c>
      <c r="H286" s="47" t="n">
        <v>0.500000001</v>
      </c>
      <c r="I286" s="41" t="str">
        <f aca="false">IFERROR(IF(ISNUMBER(F286),IF(ABS(F286-E286)&lt;=H286,"PASS","FAIL"),"FAIL"),"FAIL")</f>
        <v>PASS</v>
      </c>
    </row>
    <row r="287" customFormat="false" ht="15" hidden="false" customHeight="false" outlineLevel="0" collapsed="false">
      <c r="B287" s="42" t="n">
        <v>278</v>
      </c>
      <c r="C287" s="9" t="s">
        <v>286</v>
      </c>
      <c r="D287" s="9" t="s">
        <v>557</v>
      </c>
      <c r="E287" s="12" t="n">
        <v>350000</v>
      </c>
      <c r="F287" s="24" t="n">
        <f aca="false">Highest_Best_Use!$C$24</f>
        <v>350000</v>
      </c>
      <c r="G287" s="46" t="n">
        <f aca="false">IFERROR(IF(ISNUMBER(F287),F287-E287,"n/a"),"n/a")</f>
        <v>0</v>
      </c>
      <c r="H287" s="47" t="n">
        <v>0.500000001</v>
      </c>
      <c r="I287" s="41" t="str">
        <f aca="false">IFERROR(IF(ISNUMBER(F287),IF(ABS(F287-E287)&lt;=H287,"PASS","FAIL"),"FAIL"),"FAIL")</f>
        <v>PASS</v>
      </c>
    </row>
    <row r="288" customFormat="false" ht="15" hidden="false" customHeight="false" outlineLevel="0" collapsed="false">
      <c r="B288" s="42" t="n">
        <v>279</v>
      </c>
      <c r="C288" s="9" t="s">
        <v>286</v>
      </c>
      <c r="D288" s="9" t="s">
        <v>558</v>
      </c>
      <c r="E288" s="12" t="n">
        <v>1288000</v>
      </c>
      <c r="F288" s="24" t="n">
        <f aca="false">Highest_Best_Use!$C$25</f>
        <v>1288000</v>
      </c>
      <c r="G288" s="46" t="n">
        <f aca="false">IFERROR(IF(ISNUMBER(F288),F288-E288,"n/a"),"n/a")</f>
        <v>0</v>
      </c>
      <c r="H288" s="47" t="n">
        <v>0.500000001</v>
      </c>
      <c r="I288" s="41" t="str">
        <f aca="false">IFERROR(IF(ISNUMBER(F288),IF(ABS(F288-E288)&lt;=H288,"PASS","FAIL"),"FAIL"),"FAIL")</f>
        <v>PASS</v>
      </c>
    </row>
    <row r="289" customFormat="false" ht="15" hidden="false" customHeight="false" outlineLevel="0" collapsed="false">
      <c r="B289" s="42" t="n">
        <v>280</v>
      </c>
      <c r="C289" s="9" t="s">
        <v>286</v>
      </c>
      <c r="D289" s="9" t="s">
        <v>559</v>
      </c>
      <c r="E289" s="12" t="n">
        <v>10812000</v>
      </c>
      <c r="F289" s="24" t="n">
        <f aca="false">Highest_Best_Use!$C$26</f>
        <v>10812000</v>
      </c>
      <c r="G289" s="46" t="n">
        <f aca="false">IFERROR(IF(ISNUMBER(F289),F289-E289,"n/a"),"n/a")</f>
        <v>0</v>
      </c>
      <c r="H289" s="47" t="n">
        <v>0.500000001</v>
      </c>
      <c r="I289" s="41" t="str">
        <f aca="false">IFERROR(IF(ISNUMBER(F289),IF(ABS(F289-E289)&lt;=H289,"PASS","FAIL"),"FAIL"),"FAIL")</f>
        <v>PASS</v>
      </c>
    </row>
    <row r="290" customFormat="false" ht="15" hidden="false" customHeight="false" outlineLevel="0" collapsed="false">
      <c r="B290" s="42" t="n">
        <v>281</v>
      </c>
      <c r="C290" s="9" t="s">
        <v>286</v>
      </c>
      <c r="D290" s="9" t="s">
        <v>560</v>
      </c>
      <c r="E290" s="12" t="n">
        <v>7500</v>
      </c>
      <c r="F290" s="24" t="n">
        <f aca="false">Highest_Best_Use!$C$29</f>
        <v>7500</v>
      </c>
      <c r="G290" s="46" t="n">
        <f aca="false">IFERROR(IF(ISNUMBER(F290),F290-E290,"n/a"),"n/a")</f>
        <v>0</v>
      </c>
      <c r="H290" s="47" t="n">
        <v>0.500000001</v>
      </c>
      <c r="I290" s="41" t="str">
        <f aca="false">IFERROR(IF(ISNUMBER(F290),IF(ABS(F290-E290)&lt;=H290,"PASS","FAIL"),"FAIL"),"FAIL")</f>
        <v>PASS</v>
      </c>
    </row>
    <row r="291" customFormat="false" ht="15" hidden="false" customHeight="false" outlineLevel="0" collapsed="false">
      <c r="B291" s="42" t="n">
        <v>282</v>
      </c>
      <c r="C291" s="9" t="s">
        <v>286</v>
      </c>
      <c r="D291" s="9" t="s">
        <v>561</v>
      </c>
      <c r="E291" s="12" t="n">
        <v>65</v>
      </c>
      <c r="F291" s="24" t="n">
        <f aca="false">Highest_Best_Use!$C$30</f>
        <v>65</v>
      </c>
      <c r="G291" s="46" t="n">
        <f aca="false">IFERROR(IF(ISNUMBER(F291),F291-E291,"n/a"),"n/a")</f>
        <v>0</v>
      </c>
      <c r="H291" s="47" t="n">
        <v>0.500000001</v>
      </c>
      <c r="I291" s="41" t="str">
        <f aca="false">IFERROR(IF(ISNUMBER(F291),IF(ABS(F291-E291)&lt;=H291,"PASS","FAIL"),"FAIL"),"FAIL")</f>
        <v>PASS</v>
      </c>
    </row>
    <row r="292" customFormat="false" ht="15" hidden="false" customHeight="false" outlineLevel="0" collapsed="false">
      <c r="B292" s="42" t="n">
        <v>283</v>
      </c>
      <c r="C292" s="9" t="s">
        <v>286</v>
      </c>
      <c r="D292" s="9" t="s">
        <v>562</v>
      </c>
      <c r="E292" s="12" t="n">
        <v>540000</v>
      </c>
      <c r="F292" s="24" t="n">
        <f aca="false">Highest_Best_Use!$C$31</f>
        <v>540000</v>
      </c>
      <c r="G292" s="46" t="n">
        <f aca="false">IFERROR(IF(ISNUMBER(F292),F292-E292,"n/a"),"n/a")</f>
        <v>0</v>
      </c>
      <c r="H292" s="47" t="n">
        <v>0.500000001</v>
      </c>
      <c r="I292" s="41" t="str">
        <f aca="false">IFERROR(IF(ISNUMBER(F292),IF(ABS(F292-E292)&lt;=H292,"PASS","FAIL"),"FAIL"),"FAIL")</f>
        <v>PASS</v>
      </c>
    </row>
    <row r="293" customFormat="false" ht="15" hidden="false" customHeight="false" outlineLevel="0" collapsed="false">
      <c r="B293" s="42" t="n">
        <v>284</v>
      </c>
      <c r="C293" s="9" t="s">
        <v>286</v>
      </c>
      <c r="D293" s="9" t="s">
        <v>563</v>
      </c>
      <c r="E293" s="12" t="n">
        <v>56160</v>
      </c>
      <c r="F293" s="24" t="n">
        <f aca="false">Highest_Best_Use!$C$32</f>
        <v>56160</v>
      </c>
      <c r="G293" s="46" t="n">
        <f aca="false">IFERROR(IF(ISNUMBER(F293),F293-E293,"n/a"),"n/a")</f>
        <v>0</v>
      </c>
      <c r="H293" s="47" t="n">
        <v>0.500000001</v>
      </c>
      <c r="I293" s="41" t="str">
        <f aca="false">IFERROR(IF(ISNUMBER(F293),IF(ABS(F293-E293)&lt;=H293,"PASS","FAIL"),"FAIL"),"FAIL")</f>
        <v>PASS</v>
      </c>
    </row>
    <row r="294" customFormat="false" ht="15" hidden="false" customHeight="false" outlineLevel="0" collapsed="false">
      <c r="B294" s="42" t="n">
        <v>285</v>
      </c>
      <c r="C294" s="9" t="s">
        <v>286</v>
      </c>
      <c r="D294" s="9" t="s">
        <v>564</v>
      </c>
      <c r="E294" s="12" t="n">
        <v>976696</v>
      </c>
      <c r="F294" s="24" t="n">
        <f aca="false">Highest_Best_Use!$C$33</f>
        <v>976695.652173913</v>
      </c>
      <c r="G294" s="46" t="n">
        <f aca="false">IFERROR(IF(ISNUMBER(F294),F294-E294,"n/a"),"n/a")</f>
        <v>-0.347826087032445</v>
      </c>
      <c r="H294" s="47" t="n">
        <v>0.500000001</v>
      </c>
      <c r="I294" s="41" t="str">
        <f aca="false">IFERROR(IF(ISNUMBER(F294),IF(ABS(F294-E294)&lt;=H294,"PASS","FAIL"),"FAIL"),"FAIL")</f>
        <v>PASS</v>
      </c>
    </row>
    <row r="295" customFormat="false" ht="15" hidden="false" customHeight="false" outlineLevel="0" collapsed="false">
      <c r="B295" s="42" t="n">
        <v>286</v>
      </c>
      <c r="C295" s="9" t="s">
        <v>286</v>
      </c>
      <c r="D295" s="9" t="s">
        <v>565</v>
      </c>
      <c r="E295" s="12" t="n">
        <v>436696</v>
      </c>
      <c r="F295" s="24" t="n">
        <f aca="false">Highest_Best_Use!$C$34</f>
        <v>436695.652173913</v>
      </c>
      <c r="G295" s="46" t="n">
        <f aca="false">IFERROR(IF(ISNUMBER(F295),F295-E295,"n/a"),"n/a")</f>
        <v>-0.347826087032445</v>
      </c>
      <c r="H295" s="47" t="n">
        <v>0.500000001</v>
      </c>
      <c r="I295" s="41" t="str">
        <f aca="false">IFERROR(IF(ISNUMBER(F295),IF(ABS(F295-E295)&lt;=H295,"PASS","FAIL"),"FAIL"),"FAIL")</f>
        <v>PASS</v>
      </c>
    </row>
    <row r="296" customFormat="false" ht="15" hidden="false" customHeight="false" outlineLevel="0" collapsed="false">
      <c r="B296" s="42" t="n">
        <v>287</v>
      </c>
      <c r="C296" s="9" t="s">
        <v>286</v>
      </c>
      <c r="D296" s="9" t="s">
        <v>566</v>
      </c>
      <c r="E296" s="14" t="n">
        <v>1.81</v>
      </c>
      <c r="F296" s="48" t="n">
        <f aca="false">Highest_Best_Use!$C$35</f>
        <v>1.80869565217391</v>
      </c>
      <c r="G296" s="46" t="n">
        <f aca="false">IFERROR(IF(ISNUMBER(F296),F296-E296,"n/a"),"n/a")</f>
        <v>-0.00130434782608724</v>
      </c>
      <c r="H296" s="47" t="n">
        <v>0.005000001</v>
      </c>
      <c r="I296" s="41" t="str">
        <f aca="false">IFERROR(IF(ISNUMBER(F296),IF(ABS(F296-E296)&lt;=H296,"PASS","FAIL"),"FAIL"),"FAIL")</f>
        <v>PASS</v>
      </c>
    </row>
  </sheetData>
  <mergeCells count="1">
    <mergeCell ref="C7:D7"/>
  </mergeCells>
  <conditionalFormatting sqref="I10:I296">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conditionalFormatting sqref="E7">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2026-09-25T20:27:52Z</dcterms:created>
  <dc:creator>openpyxl</dc:creator>
  <dc:description/>
  <dc:language>en-US</dc:language>
  <cp:lastModifiedBy/>
  <dcterms:modified xsi:type="dcterms:W3CDTF">2026-09-25T20:27:52Z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