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Subject_and_Comps" sheetId="2" state="visible" r:id="rId4"/>
    <sheet name="Grid" sheetId="3" state="visible" r:id="rId5"/>
    <sheet name="Gap_and_Loan" sheetId="4" state="visible" r:id="rId6"/>
    <sheet name="Pairs"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<sst xmlns="http://schemas.openxmlformats.org/spreadsheetml/2006/main" count="356" uniqueCount="229">
  <si>
    <t xml:space="preserve">Residential_Grid_and_ROV.xlsx: the house at 41 Linden Grove</t>
  </si>
  <si>
    <t xml:space="preserve">Companion workbook to Real Estate Appraisal: Appraisal by the Numbers: The Three Approaches, Reconciliation, and Why the Appraised Value Differs from the Price, With the Models Supplied. By Julian R. Sterling. julianrsterling.com/appraisal</t>
  </si>
  <si>
    <t xml:space="preserve">What it is</t>
  </si>
  <si>
    <t xml:space="preserve">The classic residential grid on three comparables, the appraisal gap and the loan at 80 percent of the lesser of opinion and price, and the reconsideration of value with the listing agent's fourth comparable.</t>
  </si>
  <si>
    <t xml:space="preserve">Where it is in the book</t>
  </si>
  <si>
    <t xml:space="preserve">Chapter 20.</t>
  </si>
  <si>
    <t xml:space="preserve">Sheets</t>
  </si>
  <si>
    <t xml:space="preserve">Subject_and_Comps; Grid; Gap_and_Loan; Pairs; Checks.</t>
  </si>
  <si>
    <t xml:space="preserve">Conventions</t>
  </si>
  <si>
    <t xml:space="preserve">Yellow cells with blue type are inputs; grey cells are formulas. Change an input and every sheet follows. Money in US dollars, annual figures unless a label says a month. Rents are monthly per unit. A cap rate is NOI divided by price, with NOI on the appraiser's basis (market management fee and reserves). Commercial values are rounded to 50,000 and residential values to 1,000 only where the book rounds. No macros, no circular references, no external links, nothing locked, protected or hidden.</t>
  </si>
  <si>
    <t xml:space="preserve">Kestrel Park Apartments, Auberon, the Westlake submarket, every comparable, party and person are fictional. Every rent, expense, cap rate and cost figure is the book's assumption, not market data.</t>
  </si>
  <si>
    <t xml:space="preserve">Checks</t>
  </si>
  <si>
    <t xml:space="preserve">The last sheet, Checks, sets every figure the book prints from this workbook beside the live cell that computes it, with a tolerance of half a unit of the last printed digit, plus logic checks. Its global status reads PASS only if every check passes.</t>
  </si>
  <si>
    <t xml:space="preserve">The file is provided without warranty of any kind. It is a teaching model, not an appraisal, and not investment, legal or tax advice.</t>
  </si>
  <si>
    <t xml:space="preserve">41 Linden Grove: the house, the three comparables and the comparable the listing agent submitted</t>
  </si>
  <si>
    <t xml:space="preserve">A house under contract at $412,000 after six offers, appraised for the buyers' lender. The fourth comparable, 63 Linden Grove, arrives with the reconsideration of value.</t>
  </si>
  <si>
    <t xml:space="preserve">The subject</t>
  </si>
  <si>
    <t xml:space="preserve">Gross living area, square feet</t>
  </si>
  <si>
    <t xml:space="preserve">Bedrooms</t>
  </si>
  <si>
    <t xml:space="preserve">Baths</t>
  </si>
  <si>
    <t xml:space="preserve">Garage bays</t>
  </si>
  <si>
    <t xml:space="preserve">Year built</t>
  </si>
  <si>
    <t xml:space="preserve">Lot, acres</t>
  </si>
  <si>
    <t xml:space="preserve">Pool (yes or no)</t>
  </si>
  <si>
    <t xml:space="preserve">no</t>
  </si>
  <si>
    <t xml:space="preserve">List price</t>
  </si>
  <si>
    <t xml:space="preserve">Contract price</t>
  </si>
  <si>
    <t xml:space="preserve">Offers received</t>
  </si>
  <si>
    <t xml:space="preserve">Appraisal gap the buyers agreed to cover in the contract</t>
  </si>
  <si>
    <t xml:space="preserve">Contract over list, percent</t>
  </si>
  <si>
    <t xml:space="preserve">Contract price per square foot</t>
  </si>
  <si>
    <t xml:space="preserve">The comparables</t>
  </si>
  <si>
    <t xml:space="preserve">Line</t>
  </si>
  <si>
    <t xml:space="preserve">Comparable 1</t>
  </si>
  <si>
    <t xml:space="preserve">Comparable 2</t>
  </si>
  <si>
    <t xml:space="preserve">Comparable 3</t>
  </si>
  <si>
    <t xml:space="preserve">ROV comparable</t>
  </si>
  <si>
    <t xml:space="preserve">Address</t>
  </si>
  <si>
    <t xml:space="preserve">17 Linden Grove</t>
  </si>
  <si>
    <t xml:space="preserve">8 Sorrel Lane</t>
  </si>
  <si>
    <t xml:space="preserve">122 Alder Way</t>
  </si>
  <si>
    <t xml:space="preserve">63 Linden Grove</t>
  </si>
  <si>
    <t xml:space="preserve">yes</t>
  </si>
  <si>
    <t xml:space="preserve">Renovated kitchen and baths (yes or no)</t>
  </si>
  <si>
    <t xml:space="preserve">Months before the effective date</t>
  </si>
  <si>
    <t xml:space="preserve">Sale price</t>
  </si>
  <si>
    <t xml:space="preserve">Price per square foot</t>
  </si>
  <si>
    <t xml:space="preserve">The residential grid: adjustments in the model's order, the adjusted prices and the opinion</t>
  </si>
  <si>
    <t xml:space="preserve">Market conditions, living area, garage, baths, pool, condition. Adjustments are to the comparable, toward the subject: a comparable with more is adjusted down.</t>
  </si>
  <si>
    <t xml:space="preserve">Adjustment parameters (from the pairs and the appraiser's file)</t>
  </si>
  <si>
    <t xml:space="preserve">Market conditions adjustment a month</t>
  </si>
  <si>
    <t xml:space="preserve">Living area adjustment per square foot (living area pair)</t>
  </si>
  <si>
    <t xml:space="preserve">Garage adjustment per bay</t>
  </si>
  <si>
    <t xml:space="preserve">Half-bath adjustment</t>
  </si>
  <si>
    <t xml:space="preserve">Pool adjustment (pool pair)</t>
  </si>
  <si>
    <t xml:space="preserve">Condition adjustment for renovated kitchen and baths against the subject's original finishes</t>
  </si>
  <si>
    <t xml:space="preserve">The grid</t>
  </si>
  <si>
    <t xml:space="preserve">Market conditions</t>
  </si>
  <si>
    <t xml:space="preserve">Living area</t>
  </si>
  <si>
    <t xml:space="preserve">Garage</t>
  </si>
  <si>
    <t xml:space="preserve">Pool</t>
  </si>
  <si>
    <t xml:space="preserve">Condition</t>
  </si>
  <si>
    <t xml:space="preserve">Adjusted price</t>
  </si>
  <si>
    <t xml:space="preserve">Gross adjustments, dollars</t>
  </si>
  <si>
    <t xml:space="preserve">Gross adjustments, percent of price</t>
  </si>
  <si>
    <t xml:space="preserve">Net adjustment, dollars</t>
  </si>
  <si>
    <t xml:space="preserve">Net adjustment, percent of price</t>
  </si>
  <si>
    <t xml:space="preserve">The opinion (the three comparables of the report)</t>
  </si>
  <si>
    <t xml:space="preserve">Adjusted prices of the three comparables: lowest</t>
  </si>
  <si>
    <t xml:space="preserve">Adjusted prices: highest</t>
  </si>
  <si>
    <t xml:space="preserve">Adjusted prices: mean</t>
  </si>
  <si>
    <t xml:space="preserve">The appraiser's opinion of value (rounded to 1,000)</t>
  </si>
  <si>
    <t xml:space="preserve">The opinion sits inside the adjusted range</t>
  </si>
  <si>
    <t xml:space="preserve">Opinion per square foot</t>
  </si>
  <si>
    <t xml:space="preserve">The appraisal gap and the loan: at the first opinion and after the reconsideration of value</t>
  </si>
  <si>
    <t xml:space="preserve">The lender lends 80 percent of the lesser of the opinion and the contract price. What the loan does not cover, the buyers bring in cash; the gap clause says how much of that they agreed to in advance.</t>
  </si>
  <si>
    <t xml:space="preserve">Loan to value of the buyers' loan</t>
  </si>
  <si>
    <t xml:space="preserve">Contract price (Subject_and_Comps)</t>
  </si>
  <si>
    <t xml:space="preserve">Loan the buyers expected: LTV x contract price</t>
  </si>
  <si>
    <t xml:space="preserve">Down payment as planned</t>
  </si>
  <si>
    <t xml:space="preserve">First opinion</t>
  </si>
  <si>
    <t xml:space="preserve">After the reconsideration</t>
  </si>
  <si>
    <t xml:space="preserve">Opinion of value</t>
  </si>
  <si>
    <t xml:space="preserve">Appraisal gap: contract less opinion</t>
  </si>
  <si>
    <t xml:space="preserve">Gap in percent of the opinion</t>
  </si>
  <si>
    <t xml:space="preserve">Loan basis: the lesser of opinion and contract</t>
  </si>
  <si>
    <t xml:space="preserve">Loan: LTV x basis</t>
  </si>
  <si>
    <t xml:space="preserve">Extra cash the buyers must bring</t>
  </si>
  <si>
    <t xml:space="preserve">Down payment with that loan</t>
  </si>
  <si>
    <t xml:space="preserve">Gap clause agreed in the contract</t>
  </si>
  <si>
    <t xml:space="preserve">Gap beyond the clause</t>
  </si>
  <si>
    <t xml:space="preserve">Change from the reconsideration</t>
  </si>
  <si>
    <t xml:space="preserve">The residential pairs behind the adjustments: living area and the pool</t>
  </si>
  <si>
    <t xml:space="preserve">The same method as the commercial pairs: two sales that differ in one respect price that respect.</t>
  </si>
  <si>
    <t xml:space="preserve">Living area: Two houses on Marlow Street, same builder and month</t>
  </si>
  <si>
    <t xml:space="preserve">Smaller house, square feet</t>
  </si>
  <si>
    <t xml:space="preserve">Larger house, square feet</t>
  </si>
  <si>
    <t xml:space="preserve">Smaller house, price</t>
  </si>
  <si>
    <t xml:space="preserve">Larger house, price</t>
  </si>
  <si>
    <t xml:space="preserve">Price difference</t>
  </si>
  <si>
    <t xml:space="preserve">Square feet of difference</t>
  </si>
  <si>
    <t xml:space="preserve">Dollars per square foot (the living area adjustment)</t>
  </si>
  <si>
    <t xml:space="preserve">Pool: Two houses on Ferris Court</t>
  </si>
  <si>
    <t xml:space="preserve">With pool</t>
  </si>
  <si>
    <t xml:space="preserve">Without pool</t>
  </si>
  <si>
    <t xml:space="preserve">Difference (the pool adjustment)</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</si>
  <si>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</si>
  <si>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</si>
  <si>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</si>
  <si>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</si>
  <si>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</si>
  <si>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</si>
  <si>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</si>
  <si>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</si>
  <si>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</si>
  <si>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</si>
  <si>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</si>
  <si>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</si>
  <si>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</si>
  <si>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</si>
  <si>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Subject_and_Comps</t>
  </si>
  <si>
    <t xml:space="preserve">Every comparable sold within six months of the effective date</t>
  </si>
  <si>
    <t xml:space="preserve">holds</t>
  </si>
  <si>
    <t xml:space="preserve">Grid</t>
  </si>
  <si>
    <t xml:space="preserve">The opinion sits inside the adjusted range of the three comparables</t>
  </si>
  <si>
    <t xml:space="preserve">The opinion is a multiple of 1,000</t>
  </si>
  <si>
    <t xml:space="preserve">Gross adjustments stay below 10 percent on every comparable</t>
  </si>
  <si>
    <t xml:space="preserve">Gap_and_Loan</t>
  </si>
  <si>
    <t xml:space="preserve">The reconsideration narrows the gap without closing it</t>
  </si>
  <si>
    <t xml:space="preserve">Extra cash equals the LTV times the gap while the opinion binds</t>
  </si>
  <si>
    <t xml:space="preserve">H_GLA: Gross living area, square feet</t>
  </si>
  <si>
    <t xml:space="preserve">H_BUILT: Year built</t>
  </si>
  <si>
    <t xml:space="preserve">H_LOT: Lot, acres</t>
  </si>
  <si>
    <t xml:space="preserve">H_LIST: List price</t>
  </si>
  <si>
    <t xml:space="preserve">H_CONTRACT: Contract price</t>
  </si>
  <si>
    <t xml:space="preserve">H_OFFERS: Offers received</t>
  </si>
  <si>
    <t xml:space="preserve">H_GAP_CLAUSE: Appraisal gap the buyers agreed to cover in the contract</t>
  </si>
  <si>
    <t xml:space="preserve">H_OVER_LIST: Contract over list, percent</t>
  </si>
  <si>
    <t xml:space="preserve">H_CONTRACT_PSF: Contract price per square foot</t>
  </si>
  <si>
    <t xml:space="preserve">HC1_GLA: 17 Linden Grove: gla</t>
  </si>
  <si>
    <t xml:space="preserve">HC1_BUILT: 17 Linden Grove: built</t>
  </si>
  <si>
    <t xml:space="preserve">HC1_MONTHS: 17 Linden Grove: months</t>
  </si>
  <si>
    <t xml:space="preserve">HC1_PRICE: 17 Linden Grove: price</t>
  </si>
  <si>
    <t xml:space="preserve">HC1_PSF: 17 Linden Grove: psf</t>
  </si>
  <si>
    <t xml:space="preserve">HC2_GLA: 8 Sorrel Lane: gla</t>
  </si>
  <si>
    <t xml:space="preserve">HC2_BUILT: 8 Sorrel Lane: built</t>
  </si>
  <si>
    <t xml:space="preserve">HC2_MONTHS: 8 Sorrel Lane: months</t>
  </si>
  <si>
    <t xml:space="preserve">HC2_PRICE: 8 Sorrel Lane: price</t>
  </si>
  <si>
    <t xml:space="preserve">HC2_PSF: 8 Sorrel Lane: psf</t>
  </si>
  <si>
    <t xml:space="preserve">HC3_GLA: 122 Alder Way: gla</t>
  </si>
  <si>
    <t xml:space="preserve">HC3_BUILT: 122 Alder Way: built</t>
  </si>
  <si>
    <t xml:space="preserve">HC3_MONTHS: 122 Alder Way: months</t>
  </si>
  <si>
    <t xml:space="preserve">HC3_PRICE: 122 Alder Way: price</t>
  </si>
  <si>
    <t xml:space="preserve">HC3_PSF: 122 Alder Way: psf</t>
  </si>
  <si>
    <t xml:space="preserve">HROV_GLA: 63 Linden Grove: gla</t>
  </si>
  <si>
    <t xml:space="preserve">HROV_BUILT: 63 Linden Grove: built</t>
  </si>
  <si>
    <t xml:space="preserve">HROV_MONTHS: 63 Linden Grove: months</t>
  </si>
  <si>
    <t xml:space="preserve">HROV_PRICE: 63 Linden Grove: price</t>
  </si>
  <si>
    <t xml:space="preserve">HROV_PSF: 63 Linden Grove: psf</t>
  </si>
  <si>
    <t xml:space="preserve">Pairs</t>
  </si>
  <si>
    <t xml:space="preserve">H_PAIR_GLA_SMALL: Smaller house, price</t>
  </si>
  <si>
    <t xml:space="preserve">H_PAIR_GLA_LARGE: Larger house, price</t>
  </si>
  <si>
    <t xml:space="preserve">H_PAIR_GLA_DIFF: Price difference</t>
  </si>
  <si>
    <t xml:space="preserve">H_PAIR_GLA_SF: Square feet of difference</t>
  </si>
  <si>
    <t xml:space="preserve">H_PAIR_GLA_PSF: Dollars per square foot (the living area adjustment)</t>
  </si>
  <si>
    <t xml:space="preserve">H_PAIR_POOL_WITH: With pool</t>
  </si>
  <si>
    <t xml:space="preserve">H_PAIR_POOL_WITHOUT: Without pool</t>
  </si>
  <si>
    <t xml:space="preserve">H_PAIR_POOL_DIFF: Difference (the pool adjustment)</t>
  </si>
  <si>
    <t xml:space="preserve">H_TIME_MONTHLY: Market conditions adjustment a month</t>
  </si>
  <si>
    <t xml:space="preserve">H_GLA_PSF: Living area adjustment per square foot (living area pair)</t>
  </si>
  <si>
    <t xml:space="preserve">H_GARAGE_BAY: Garage adjustment per bay</t>
  </si>
  <si>
    <t xml:space="preserve">H_HALF_BATH: Half-bath adjustment</t>
  </si>
  <si>
    <t xml:space="preserve">H_POOL: Pool adjustment (pool pair)</t>
  </si>
  <si>
    <t xml:space="preserve">H_RENOVATED: Condition adjustment for renovated kitchen and baths against the subject's original finishes</t>
  </si>
  <si>
    <t xml:space="preserve">HC1_MARKET_CONDITIONS: HC1: market conditions</t>
  </si>
  <si>
    <t xml:space="preserve">HC1_LIVING_AREA: HC1: living area</t>
  </si>
  <si>
    <t xml:space="preserve">HC1_GARAGE: HC1: garage</t>
  </si>
  <si>
    <t xml:space="preserve">HC1_BATHS: HC1: baths</t>
  </si>
  <si>
    <t xml:space="preserve">HC1_POOL: HC1: pool</t>
  </si>
  <si>
    <t xml:space="preserve">HC1_CONDITION: HC1: condition</t>
  </si>
  <si>
    <t xml:space="preserve">HC1_ADJ: HC1: adj</t>
  </si>
  <si>
    <t xml:space="preserve">HC1_GROSS_PCT: HC1: gross pct</t>
  </si>
  <si>
    <t xml:space="preserve">HC1_NET_PCT: HC1: net pct</t>
  </si>
  <si>
    <t xml:space="preserve">HC2_MARKET_CONDITIONS: HC2: market conditions</t>
  </si>
  <si>
    <t xml:space="preserve">HC2_LIVING_AREA: HC2: living area</t>
  </si>
  <si>
    <t xml:space="preserve">HC2_GARAGE: HC2: garage</t>
  </si>
  <si>
    <t xml:space="preserve">HC2_BATHS: HC2: baths</t>
  </si>
  <si>
    <t xml:space="preserve">HC2_POOL: HC2: pool</t>
  </si>
  <si>
    <t xml:space="preserve">HC2_CONDITION: HC2: condition</t>
  </si>
  <si>
    <t xml:space="preserve">HC2_ADJ: HC2: adj</t>
  </si>
  <si>
    <t xml:space="preserve">HC2_GROSS_PCT: HC2: gross pct</t>
  </si>
  <si>
    <t xml:space="preserve">HC2_NET_PCT: HC2: net pct</t>
  </si>
  <si>
    <t xml:space="preserve">HC3_MARKET_CONDITIONS: HC3: market conditions</t>
  </si>
  <si>
    <t xml:space="preserve">HC3_LIVING_AREA: HC3: living area</t>
  </si>
  <si>
    <t xml:space="preserve">HC3_GARAGE: HC3: garage</t>
  </si>
  <si>
    <t xml:space="preserve">HC3_BATHS: HC3: baths</t>
  </si>
  <si>
    <t xml:space="preserve">HC3_POOL: HC3: pool</t>
  </si>
  <si>
    <t xml:space="preserve">HC3_CONDITION: HC3: condition</t>
  </si>
  <si>
    <t xml:space="preserve">HC3_ADJ: HC3: adj</t>
  </si>
  <si>
    <t xml:space="preserve">HC3_GROSS_PCT: HC3: gross pct</t>
  </si>
  <si>
    <t xml:space="preserve">HC3_NET_PCT: HC3: net pct</t>
  </si>
  <si>
    <t xml:space="preserve">HROV_MARKET_CONDITIONS: HROV: market conditions</t>
  </si>
  <si>
    <t xml:space="preserve">HROV_LIVING_AREA: HROV: living area</t>
  </si>
  <si>
    <t xml:space="preserve">HROV_GARAGE: HROV: garage</t>
  </si>
  <si>
    <t xml:space="preserve">HROV_BATHS: HROV: baths</t>
  </si>
  <si>
    <t xml:space="preserve">HROV_POOL: HROV: pool</t>
  </si>
  <si>
    <t xml:space="preserve">HROV_CONDITION: HROV: condition</t>
  </si>
  <si>
    <t xml:space="preserve">HROV_ADJ: HROV: adj</t>
  </si>
  <si>
    <t xml:space="preserve">HROV_GROSS_PCT: HROV: gross pct</t>
  </si>
  <si>
    <t xml:space="preserve">HROV_NET_PCT: HROV: net pct</t>
  </si>
  <si>
    <t xml:space="preserve">H_ADJ_MIN: Adjusted prices of the three comparables: lowest</t>
  </si>
  <si>
    <t xml:space="preserve">H_ADJ_MAX: Adjusted prices: highest</t>
  </si>
  <si>
    <t xml:space="preserve">H_ADJ_MEAN: Adjusted prices: mean</t>
  </si>
  <si>
    <t xml:space="preserve">H_OPINION: The appraiser's opinion of value (rounded to 1,000)</t>
  </si>
  <si>
    <t xml:space="preserve">H_OPINION_PSF: Opinion per square foot</t>
  </si>
  <si>
    <t xml:space="preserve">H_LTV: Loan to value of the buyers' loan</t>
  </si>
  <si>
    <t xml:space="preserve">H_LOAN_EXPECTED: Loan the buyers expected: LTV x contract price</t>
  </si>
  <si>
    <t xml:space="preserve">H_DOWN_EXPECTED: Down payment as planned</t>
  </si>
  <si>
    <t xml:space="preserve">H_GAP: appraisal gap: contract less opinion</t>
  </si>
  <si>
    <t xml:space="preserve">H_GAP_PCT: appraisal gap in percent of the opinion</t>
  </si>
  <si>
    <t xml:space="preserve">H_LOAN: loan at 80 percent of the opinion</t>
  </si>
  <si>
    <t xml:space="preserve">H_EXTRA_CASH: extra cash the buyers must bring at the first opinion</t>
  </si>
  <si>
    <t xml:space="preserve">H_DOWN_ACTUAL: down payment with the loan on the opinion</t>
  </si>
  <si>
    <t xml:space="preserve">H_GAP_BEYOND_CLAUSE: gap beyond the clause at the first opinion</t>
  </si>
  <si>
    <t xml:space="preserve">H_OPINION_ROV: revised opinion after the reconsideration of value</t>
  </si>
  <si>
    <t xml:space="preserve">H_GAP_ROV: gap after the reconsideration</t>
  </si>
  <si>
    <t xml:space="preserve">H_LOAN_ROV: loan after the reconsideration</t>
  </si>
  <si>
    <t xml:space="preserve">H_EXTRA_CASH_ROV: extra cash after the reconsideration</t>
  </si>
  <si>
    <t xml:space="preserve">H_ROV_CHANGE: Change from the reconsideration</t>
  </si>
</sst>
</file>

<file path=xl/styles.xml><?xml version="1.0" encoding="utf-8"?>
<styleSheet xmlns="http://schemas.openxmlformats.org/spreadsheetml/2006/main">
  <numFmts count="13">
    <numFmt numFmtId="164" formatCode="General"/>
    <numFmt numFmtId="165" formatCode="#,##0"/>
    <numFmt numFmtId="166" formatCode="0"/>
    <numFmt numFmtId="167" formatCode="#,##0.0"/>
    <numFmt numFmtId="168" formatCode="#,##0.00"/>
    <numFmt numFmtId="169" formatCode="\$#,##0;&quot;-$&quot;#,##0;\$0"/>
    <numFmt numFmtId="170" formatCode="0.0%"/>
    <numFmt numFmtId="171" formatCode="\$#,##0.00;&quot;-$&quot;#,##0.00;\$0.00"/>
    <numFmt numFmtId="172" formatCode="0%"/>
    <numFmt numFmtId="173" formatCode="0.000000"/>
    <numFmt numFmtId="174" formatCode="#,##0.0000"/>
    <numFmt numFmtId="175" formatCode="0.000%"/>
    <numFmt numFmtId="176" formatCode="0.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3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1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45" hidden="false" customHeight="true" outlineLevel="0" collapsed="false">
      <c r="B15" s="3" t="s">
        <v>12</v>
      </c>
    </row>
    <row r="16" customFormat="false" ht="15" hidden="false" customHeight="false" outlineLevel="0" collapsed="false">
      <c r="B16" s="3"/>
    </row>
    <row r="17" customFormat="false" ht="30"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6" min="3" style="0" width="17"/>
    <col collapsed="false" customWidth="true" hidden="false" outlineLevel="0" max="7" min="7"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row>
    <row r="6" customFormat="false" ht="15" hidden="false" customHeight="false" outlineLevel="0" collapsed="false">
      <c r="B6" s="9" t="s">
        <v>17</v>
      </c>
      <c r="C6" s="10" t="n">
        <v>1850</v>
      </c>
    </row>
    <row r="7" customFormat="false" ht="15" hidden="false" customHeight="false" outlineLevel="0" collapsed="false">
      <c r="B7" s="9" t="s">
        <v>18</v>
      </c>
      <c r="C7" s="11" t="n">
        <v>3</v>
      </c>
    </row>
    <row r="8" customFormat="false" ht="15" hidden="false" customHeight="false" outlineLevel="0" collapsed="false">
      <c r="B8" s="9" t="s">
        <v>19</v>
      </c>
      <c r="C8" s="12" t="n">
        <v>2</v>
      </c>
    </row>
    <row r="9" customFormat="false" ht="15" hidden="false" customHeight="false" outlineLevel="0" collapsed="false">
      <c r="B9" s="9" t="s">
        <v>20</v>
      </c>
      <c r="C9" s="11" t="n">
        <v>2</v>
      </c>
    </row>
    <row r="10" customFormat="false" ht="15" hidden="false" customHeight="false" outlineLevel="0" collapsed="false">
      <c r="B10" s="9" t="s">
        <v>21</v>
      </c>
      <c r="C10" s="11" t="n">
        <v>2004</v>
      </c>
    </row>
    <row r="11" customFormat="false" ht="15" hidden="false" customHeight="false" outlineLevel="0" collapsed="false">
      <c r="B11" s="9" t="s">
        <v>22</v>
      </c>
      <c r="C11" s="13" t="n">
        <v>0.22</v>
      </c>
    </row>
    <row r="12" customFormat="false" ht="15" hidden="false" customHeight="false" outlineLevel="0" collapsed="false">
      <c r="B12" s="9" t="s">
        <v>23</v>
      </c>
      <c r="C12" s="14" t="s">
        <v>24</v>
      </c>
    </row>
    <row r="13" customFormat="false" ht="15" hidden="false" customHeight="false" outlineLevel="0" collapsed="false">
      <c r="B13" s="9" t="s">
        <v>25</v>
      </c>
      <c r="C13" s="15" t="n">
        <v>389000</v>
      </c>
    </row>
    <row r="14" customFormat="false" ht="15" hidden="false" customHeight="false" outlineLevel="0" collapsed="false">
      <c r="B14" s="9" t="s">
        <v>26</v>
      </c>
      <c r="C14" s="15" t="n">
        <v>412000</v>
      </c>
    </row>
    <row r="15" customFormat="false" ht="15" hidden="false" customHeight="false" outlineLevel="0" collapsed="false">
      <c r="B15" s="9" t="s">
        <v>27</v>
      </c>
      <c r="C15" s="11" t="n">
        <v>6</v>
      </c>
    </row>
    <row r="16" customFormat="false" ht="15" hidden="false" customHeight="false" outlineLevel="0" collapsed="false">
      <c r="B16" s="9" t="s">
        <v>28</v>
      </c>
      <c r="C16" s="15" t="n">
        <v>10000</v>
      </c>
    </row>
    <row r="17" customFormat="false" ht="15" hidden="false" customHeight="false" outlineLevel="0" collapsed="false">
      <c r="B17" s="9" t="s">
        <v>29</v>
      </c>
      <c r="C17" s="16" t="n">
        <f aca="false">$C$14/$C$13-1</f>
        <v>0.0591259640102828</v>
      </c>
    </row>
    <row r="18" customFormat="false" ht="15" hidden="false" customHeight="false" outlineLevel="0" collapsed="false">
      <c r="B18" s="9" t="s">
        <v>30</v>
      </c>
      <c r="C18" s="17" t="n">
        <f aca="false">$C$14/$C$6</f>
        <v>222.702702702703</v>
      </c>
    </row>
    <row r="20" customFormat="false" ht="15" hidden="false" customHeight="false" outlineLevel="0" collapsed="false">
      <c r="B20" s="7" t="s">
        <v>31</v>
      </c>
      <c r="C20" s="8"/>
      <c r="D20" s="8"/>
      <c r="E20" s="8"/>
      <c r="F20" s="8"/>
    </row>
    <row r="21" customFormat="false" ht="21.75" hidden="false" customHeight="true" outlineLevel="0" collapsed="false">
      <c r="B21" s="18" t="s">
        <v>32</v>
      </c>
      <c r="C21" s="19" t="s">
        <v>33</v>
      </c>
      <c r="D21" s="19" t="s">
        <v>34</v>
      </c>
      <c r="E21" s="19" t="s">
        <v>35</v>
      </c>
      <c r="F21" s="19" t="s">
        <v>36</v>
      </c>
    </row>
    <row r="22" customFormat="false" ht="15" hidden="false" customHeight="false" outlineLevel="0" collapsed="false">
      <c r="B22" s="9" t="s">
        <v>37</v>
      </c>
      <c r="C22" s="20" t="s">
        <v>38</v>
      </c>
      <c r="D22" s="20" t="s">
        <v>39</v>
      </c>
      <c r="E22" s="20" t="s">
        <v>40</v>
      </c>
      <c r="F22" s="20" t="s">
        <v>41</v>
      </c>
    </row>
    <row r="23" customFormat="false" ht="15" hidden="false" customHeight="false" outlineLevel="0" collapsed="false">
      <c r="B23" s="9" t="s">
        <v>17</v>
      </c>
      <c r="C23" s="10" t="n">
        <v>1790</v>
      </c>
      <c r="D23" s="10" t="n">
        <v>1960</v>
      </c>
      <c r="E23" s="10" t="n">
        <v>1720</v>
      </c>
      <c r="F23" s="10" t="n">
        <v>1900</v>
      </c>
    </row>
    <row r="24" customFormat="false" ht="15" hidden="false" customHeight="false" outlineLevel="0" collapsed="false">
      <c r="B24" s="9" t="s">
        <v>18</v>
      </c>
      <c r="C24" s="11" t="n">
        <v>3</v>
      </c>
      <c r="D24" s="11" t="n">
        <v>4</v>
      </c>
      <c r="E24" s="11" t="n">
        <v>3</v>
      </c>
      <c r="F24" s="11" t="n">
        <v>3</v>
      </c>
    </row>
    <row r="25" customFormat="false" ht="15" hidden="false" customHeight="false" outlineLevel="0" collapsed="false">
      <c r="B25" s="9" t="s">
        <v>19</v>
      </c>
      <c r="C25" s="12" t="n">
        <v>2</v>
      </c>
      <c r="D25" s="12" t="n">
        <v>2.5</v>
      </c>
      <c r="E25" s="12" t="n">
        <v>2</v>
      </c>
      <c r="F25" s="12" t="n">
        <v>2</v>
      </c>
    </row>
    <row r="26" customFormat="false" ht="15" hidden="false" customHeight="false" outlineLevel="0" collapsed="false">
      <c r="B26" s="9" t="s">
        <v>20</v>
      </c>
      <c r="C26" s="11" t="n">
        <v>2</v>
      </c>
      <c r="D26" s="11" t="n">
        <v>2</v>
      </c>
      <c r="E26" s="11" t="n">
        <v>1</v>
      </c>
      <c r="F26" s="11" t="n">
        <v>2</v>
      </c>
    </row>
    <row r="27" customFormat="false" ht="15" hidden="false" customHeight="false" outlineLevel="0" collapsed="false">
      <c r="B27" s="9" t="s">
        <v>21</v>
      </c>
      <c r="C27" s="11" t="n">
        <v>2003</v>
      </c>
      <c r="D27" s="11" t="n">
        <v>2006</v>
      </c>
      <c r="E27" s="11" t="n">
        <v>2001</v>
      </c>
      <c r="F27" s="11" t="n">
        <v>2005</v>
      </c>
    </row>
    <row r="28" customFormat="false" ht="15" hidden="false" customHeight="false" outlineLevel="0" collapsed="false">
      <c r="B28" s="9" t="s">
        <v>22</v>
      </c>
      <c r="C28" s="13" t="n">
        <v>0.2</v>
      </c>
      <c r="D28" s="13" t="n">
        <v>0.24</v>
      </c>
      <c r="E28" s="13" t="n">
        <v>0.21</v>
      </c>
      <c r="F28" s="13" t="n">
        <v>0.22</v>
      </c>
    </row>
    <row r="29" customFormat="false" ht="15" hidden="false" customHeight="false" outlineLevel="0" collapsed="false">
      <c r="B29" s="9" t="s">
        <v>23</v>
      </c>
      <c r="C29" s="14" t="s">
        <v>24</v>
      </c>
      <c r="D29" s="14" t="s">
        <v>42</v>
      </c>
      <c r="E29" s="14" t="s">
        <v>24</v>
      </c>
      <c r="F29" s="14" t="s">
        <v>24</v>
      </c>
    </row>
    <row r="30" customFormat="false" ht="15" hidden="false" customHeight="false" outlineLevel="0" collapsed="false">
      <c r="B30" s="9" t="s">
        <v>43</v>
      </c>
      <c r="C30" s="14" t="s">
        <v>24</v>
      </c>
      <c r="D30" s="14" t="s">
        <v>24</v>
      </c>
      <c r="E30" s="14" t="s">
        <v>24</v>
      </c>
      <c r="F30" s="14" t="s">
        <v>42</v>
      </c>
    </row>
    <row r="31" customFormat="false" ht="15" hidden="false" customHeight="false" outlineLevel="0" collapsed="false">
      <c r="B31" s="9" t="s">
        <v>44</v>
      </c>
      <c r="C31" s="11" t="n">
        <v>2</v>
      </c>
      <c r="D31" s="11" t="n">
        <v>4</v>
      </c>
      <c r="E31" s="11" t="n">
        <v>3</v>
      </c>
      <c r="F31" s="11" t="n">
        <v>1</v>
      </c>
    </row>
    <row r="32" customFormat="false" ht="15" hidden="false" customHeight="false" outlineLevel="0" collapsed="false">
      <c r="B32" s="21" t="s">
        <v>45</v>
      </c>
      <c r="C32" s="22" t="n">
        <v>398000</v>
      </c>
      <c r="D32" s="22" t="n">
        <v>415000</v>
      </c>
      <c r="E32" s="22" t="n">
        <v>381500</v>
      </c>
      <c r="F32" s="22" t="n">
        <v>419000</v>
      </c>
    </row>
    <row r="33" customFormat="false" ht="15" hidden="false" customHeight="false" outlineLevel="0" collapsed="false">
      <c r="B33" s="9" t="s">
        <v>46</v>
      </c>
      <c r="C33" s="17" t="n">
        <f aca="false">C32/C23</f>
        <v>222.346368715084</v>
      </c>
      <c r="D33" s="17" t="n">
        <f aca="false">D32/D23</f>
        <v>211.734693877551</v>
      </c>
      <c r="E33" s="17" t="n">
        <f aca="false">E32/E23</f>
        <v>221.802325581395</v>
      </c>
      <c r="F33" s="17" t="n">
        <f aca="false">F32/F23</f>
        <v>220.526315789474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6" min="3" style="0" width="17"/>
    <col collapsed="false" customWidth="true" hidden="false" outlineLevel="0" max="7" min="7" style="0" width="30"/>
  </cols>
  <sheetData>
    <row r="1" customFormat="false" ht="6" hidden="false" customHeight="true" outlineLevel="0" collapsed="false"/>
    <row r="2" customFormat="false" ht="17.35" hidden="false" customHeight="false" outlineLevel="0" collapsed="false">
      <c r="B2" s="5" t="s">
        <v>47</v>
      </c>
    </row>
    <row r="3" customFormat="false" ht="15" hidden="false" customHeight="false" outlineLevel="0" collapsed="false">
      <c r="B3" s="6" t="s">
        <v>48</v>
      </c>
    </row>
    <row r="5" customFormat="false" ht="15" hidden="false" customHeight="false" outlineLevel="0" collapsed="false">
      <c r="B5" s="7" t="s">
        <v>49</v>
      </c>
      <c r="C5" s="8"/>
      <c r="D5" s="8"/>
    </row>
    <row r="6" customFormat="false" ht="15" hidden="false" customHeight="false" outlineLevel="0" collapsed="false">
      <c r="B6" s="9" t="s">
        <v>50</v>
      </c>
      <c r="C6" s="23" t="n">
        <v>0.004</v>
      </c>
    </row>
    <row r="7" customFormat="false" ht="15" hidden="false" customHeight="false" outlineLevel="0" collapsed="false">
      <c r="B7" s="9" t="s">
        <v>51</v>
      </c>
      <c r="C7" s="24" t="n">
        <f aca="false">Pairs!$C$12</f>
        <v>45</v>
      </c>
    </row>
    <row r="8" customFormat="false" ht="15" hidden="false" customHeight="false" outlineLevel="0" collapsed="false">
      <c r="B8" s="9" t="s">
        <v>52</v>
      </c>
      <c r="C8" s="15" t="n">
        <v>8000</v>
      </c>
    </row>
    <row r="9" customFormat="false" ht="15" hidden="false" customHeight="false" outlineLevel="0" collapsed="false">
      <c r="B9" s="9" t="s">
        <v>53</v>
      </c>
      <c r="C9" s="15" t="n">
        <v>3500</v>
      </c>
    </row>
    <row r="10" customFormat="false" ht="15" hidden="false" customHeight="false" outlineLevel="0" collapsed="false">
      <c r="B10" s="9" t="s">
        <v>54</v>
      </c>
      <c r="C10" s="24" t="n">
        <f aca="false">Pairs!$C$17</f>
        <v>15000</v>
      </c>
    </row>
    <row r="11" customFormat="false" ht="15" hidden="false" customHeight="false" outlineLevel="0" collapsed="false">
      <c r="B11" s="9" t="s">
        <v>55</v>
      </c>
      <c r="C11" s="15" t="n">
        <v>-12000</v>
      </c>
    </row>
    <row r="13" customFormat="false" ht="15" hidden="false" customHeight="false" outlineLevel="0" collapsed="false">
      <c r="B13" s="7" t="s">
        <v>56</v>
      </c>
      <c r="C13" s="8"/>
      <c r="D13" s="8"/>
      <c r="E13" s="8"/>
      <c r="F13" s="8"/>
    </row>
    <row r="14" customFormat="false" ht="21.75" hidden="false" customHeight="true" outlineLevel="0" collapsed="false">
      <c r="B14" s="18" t="s">
        <v>32</v>
      </c>
      <c r="C14" s="19" t="s">
        <v>33</v>
      </c>
      <c r="D14" s="19" t="s">
        <v>34</v>
      </c>
      <c r="E14" s="19" t="s">
        <v>35</v>
      </c>
      <c r="F14" s="19" t="s">
        <v>36</v>
      </c>
    </row>
    <row r="15" customFormat="false" ht="15" hidden="false" customHeight="false" outlineLevel="0" collapsed="false">
      <c r="B15" s="21" t="s">
        <v>45</v>
      </c>
      <c r="C15" s="25" t="n">
        <f aca="false">Subject_and_Comps!$C$32</f>
        <v>398000</v>
      </c>
      <c r="D15" s="25" t="n">
        <f aca="false">Subject_and_Comps!$D$32</f>
        <v>415000</v>
      </c>
      <c r="E15" s="25" t="n">
        <f aca="false">Subject_and_Comps!$E$32</f>
        <v>381500</v>
      </c>
      <c r="F15" s="25" t="n">
        <f aca="false">Subject_and_Comps!$F$32</f>
        <v>419000</v>
      </c>
    </row>
    <row r="16" customFormat="false" ht="15" hidden="false" customHeight="false" outlineLevel="0" collapsed="false">
      <c r="B16" s="9" t="s">
        <v>57</v>
      </c>
      <c r="C16" s="24" t="n">
        <f aca="false">C15*$C$6*Subject_and_Comps!$C$31</f>
        <v>3184</v>
      </c>
      <c r="D16" s="24" t="n">
        <f aca="false">D15*$C$6*Subject_and_Comps!$D$31</f>
        <v>6640</v>
      </c>
      <c r="E16" s="24" t="n">
        <f aca="false">E15*$C$6*Subject_and_Comps!$E$31</f>
        <v>4578</v>
      </c>
      <c r="F16" s="24" t="n">
        <f aca="false">F15*$C$6*Subject_and_Comps!$F$31</f>
        <v>1676</v>
      </c>
    </row>
    <row r="17" customFormat="false" ht="15" hidden="false" customHeight="false" outlineLevel="0" collapsed="false">
      <c r="B17" s="9" t="s">
        <v>58</v>
      </c>
      <c r="C17" s="24" t="n">
        <f aca="false">(Subject_and_Comps!$C$6-Subject_and_Comps!$C$23)*$C$7</f>
        <v>2700</v>
      </c>
      <c r="D17" s="24" t="n">
        <f aca="false">(Subject_and_Comps!$C$6-Subject_and_Comps!$D$23)*$C$7</f>
        <v>-4950</v>
      </c>
      <c r="E17" s="24" t="n">
        <f aca="false">(Subject_and_Comps!$C$6-Subject_and_Comps!$E$23)*$C$7</f>
        <v>5850</v>
      </c>
      <c r="F17" s="24" t="n">
        <f aca="false">(Subject_and_Comps!$C$6-Subject_and_Comps!$F$23)*$C$7</f>
        <v>-2250</v>
      </c>
    </row>
    <row r="18" customFormat="false" ht="15" hidden="false" customHeight="false" outlineLevel="0" collapsed="false">
      <c r="B18" s="9" t="s">
        <v>59</v>
      </c>
      <c r="C18" s="24" t="n">
        <f aca="false">(Subject_and_Comps!$C$9-Subject_and_Comps!$C$26)*$C$8</f>
        <v>0</v>
      </c>
      <c r="D18" s="24" t="n">
        <f aca="false">(Subject_and_Comps!$C$9-Subject_and_Comps!$D$26)*$C$8</f>
        <v>0</v>
      </c>
      <c r="E18" s="24" t="n">
        <f aca="false">(Subject_and_Comps!$C$9-Subject_and_Comps!$E$26)*$C$8</f>
        <v>8000</v>
      </c>
      <c r="F18" s="24" t="n">
        <f aca="false">(Subject_and_Comps!$C$9-Subject_and_Comps!$F$26)*$C$8</f>
        <v>0</v>
      </c>
    </row>
    <row r="19" customFormat="false" ht="15" hidden="false" customHeight="false" outlineLevel="0" collapsed="false">
      <c r="B19" s="9" t="s">
        <v>19</v>
      </c>
      <c r="C19" s="24" t="n">
        <f aca="false">(Subject_and_Comps!$C$8-Subject_and_Comps!$C$25)/0.5*$C$9</f>
        <v>0</v>
      </c>
      <c r="D19" s="24" t="n">
        <f aca="false">(Subject_and_Comps!$C$8-Subject_and_Comps!$D$25)/0.5*$C$9</f>
        <v>-3500</v>
      </c>
      <c r="E19" s="24" t="n">
        <f aca="false">(Subject_and_Comps!$C$8-Subject_and_Comps!$E$25)/0.5*$C$9</f>
        <v>0</v>
      </c>
      <c r="F19" s="24" t="n">
        <f aca="false">(Subject_and_Comps!$C$8-Subject_and_Comps!$F$25)/0.5*$C$9</f>
        <v>0</v>
      </c>
    </row>
    <row r="20" customFormat="false" ht="15" hidden="false" customHeight="false" outlineLevel="0" collapsed="false">
      <c r="B20" s="9" t="s">
        <v>60</v>
      </c>
      <c r="C20" s="24" t="n">
        <f aca="false">(IF(Subject_and_Comps!$C$12="yes",1,0)-IF(Subject_and_Comps!$C$29="yes",1,0))*$C$10</f>
        <v>0</v>
      </c>
      <c r="D20" s="24" t="n">
        <f aca="false">(IF(Subject_and_Comps!$C$12="yes",1,0)-IF(Subject_and_Comps!$D$29="yes",1,0))*$C$10</f>
        <v>-15000</v>
      </c>
      <c r="E20" s="24" t="n">
        <f aca="false">(IF(Subject_and_Comps!$C$12="yes",1,0)-IF(Subject_and_Comps!$E$29="yes",1,0))*$C$10</f>
        <v>0</v>
      </c>
      <c r="F20" s="24" t="n">
        <f aca="false">(IF(Subject_and_Comps!$C$12="yes",1,0)-IF(Subject_and_Comps!$F$29="yes",1,0))*$C$10</f>
        <v>0</v>
      </c>
    </row>
    <row r="21" customFormat="false" ht="15" hidden="false" customHeight="false" outlineLevel="0" collapsed="false">
      <c r="B21" s="9" t="s">
        <v>61</v>
      </c>
      <c r="C21" s="24" t="n">
        <f aca="false">IF(Subject_and_Comps!$C$30="yes",$C$11,0)</f>
        <v>0</v>
      </c>
      <c r="D21" s="24" t="n">
        <f aca="false">IF(Subject_and_Comps!$D$30="yes",$C$11,0)</f>
        <v>0</v>
      </c>
      <c r="E21" s="24" t="n">
        <f aca="false">IF(Subject_and_Comps!$E$30="yes",$C$11,0)</f>
        <v>0</v>
      </c>
      <c r="F21" s="24" t="n">
        <f aca="false">IF(Subject_and_Comps!$F$30="yes",$C$11,0)</f>
        <v>-12000</v>
      </c>
    </row>
    <row r="22" customFormat="false" ht="15" hidden="false" customHeight="false" outlineLevel="0" collapsed="false">
      <c r="B22" s="21" t="s">
        <v>62</v>
      </c>
      <c r="C22" s="25" t="n">
        <f aca="false">C15+C16+C17+C18+C19+C20+C21</f>
        <v>403884</v>
      </c>
      <c r="D22" s="25" t="n">
        <f aca="false">D15+D16+D17+D18+D19+D20+D21</f>
        <v>398190</v>
      </c>
      <c r="E22" s="25" t="n">
        <f aca="false">E15+E16+E17+E18+E19+E20+E21</f>
        <v>399928</v>
      </c>
      <c r="F22" s="25" t="n">
        <f aca="false">F15+F16+F17+F18+F19+F20+F21</f>
        <v>406426</v>
      </c>
    </row>
    <row r="23" customFormat="false" ht="15" hidden="false" customHeight="false" outlineLevel="0" collapsed="false">
      <c r="B23" s="9" t="s">
        <v>63</v>
      </c>
      <c r="C23" s="24" t="n">
        <f aca="false">ABS(C16)+ABS(C17)+ABS(C18)+ABS(C19)+ABS(C20)+ABS(C21)</f>
        <v>5884</v>
      </c>
      <c r="D23" s="24" t="n">
        <f aca="false">ABS(D16)+ABS(D17)+ABS(D18)+ABS(D19)+ABS(D20)+ABS(D21)</f>
        <v>30090</v>
      </c>
      <c r="E23" s="24" t="n">
        <f aca="false">ABS(E16)+ABS(E17)+ABS(E18)+ABS(E19)+ABS(E20)+ABS(E21)</f>
        <v>18428</v>
      </c>
      <c r="F23" s="24" t="n">
        <f aca="false">ABS(F16)+ABS(F17)+ABS(F18)+ABS(F19)+ABS(F20)+ABS(F21)</f>
        <v>15926</v>
      </c>
    </row>
    <row r="24" customFormat="false" ht="15" hidden="false" customHeight="false" outlineLevel="0" collapsed="false">
      <c r="B24" s="9" t="s">
        <v>64</v>
      </c>
      <c r="C24" s="16" t="n">
        <f aca="false">C23/C15</f>
        <v>0.01478391959799</v>
      </c>
      <c r="D24" s="16" t="n">
        <f aca="false">D23/D15</f>
        <v>0.0725060240963855</v>
      </c>
      <c r="E24" s="16" t="n">
        <f aca="false">E23/E15</f>
        <v>0.0483040629095675</v>
      </c>
      <c r="F24" s="16" t="n">
        <f aca="false">F23/F15</f>
        <v>0.0380095465393795</v>
      </c>
    </row>
    <row r="25" customFormat="false" ht="15" hidden="false" customHeight="false" outlineLevel="0" collapsed="false">
      <c r="B25" s="9" t="s">
        <v>65</v>
      </c>
      <c r="C25" s="24" t="n">
        <f aca="false">C22-C15</f>
        <v>5884</v>
      </c>
      <c r="D25" s="24" t="n">
        <f aca="false">D22-D15</f>
        <v>-16810</v>
      </c>
      <c r="E25" s="24" t="n">
        <f aca="false">E22-E15</f>
        <v>18428</v>
      </c>
      <c r="F25" s="24" t="n">
        <f aca="false">F22-F15</f>
        <v>-12574</v>
      </c>
    </row>
    <row r="26" customFormat="false" ht="15" hidden="false" customHeight="false" outlineLevel="0" collapsed="false">
      <c r="B26" s="9" t="s">
        <v>66</v>
      </c>
      <c r="C26" s="16" t="n">
        <f aca="false">C25/C15</f>
        <v>0.01478391959799</v>
      </c>
      <c r="D26" s="16" t="n">
        <f aca="false">D25/D15</f>
        <v>-0.0405060240963855</v>
      </c>
      <c r="E26" s="16" t="n">
        <f aca="false">E25/E15</f>
        <v>0.0483040629095675</v>
      </c>
      <c r="F26" s="16" t="n">
        <f aca="false">F25/F15</f>
        <v>-0.0300095465393795</v>
      </c>
    </row>
    <row r="28" customFormat="false" ht="15" hidden="false" customHeight="false" outlineLevel="0" collapsed="false">
      <c r="B28" s="7" t="s">
        <v>67</v>
      </c>
      <c r="C28" s="8"/>
      <c r="D28" s="8"/>
    </row>
    <row r="29" customFormat="false" ht="15" hidden="false" customHeight="false" outlineLevel="0" collapsed="false">
      <c r="B29" s="9" t="s">
        <v>68</v>
      </c>
      <c r="C29" s="24" t="n">
        <f aca="false">MIN(C22:E22)</f>
        <v>398190</v>
      </c>
    </row>
    <row r="30" customFormat="false" ht="15" hidden="false" customHeight="false" outlineLevel="0" collapsed="false">
      <c r="B30" s="9" t="s">
        <v>69</v>
      </c>
      <c r="C30" s="24" t="n">
        <f aca="false">MAX(C22:E22)</f>
        <v>403884</v>
      </c>
    </row>
    <row r="31" customFormat="false" ht="15" hidden="false" customHeight="false" outlineLevel="0" collapsed="false">
      <c r="B31" s="9" t="s">
        <v>70</v>
      </c>
      <c r="C31" s="24" t="n">
        <f aca="false">AVERAGE(C22:E22)</f>
        <v>400667.333333333</v>
      </c>
    </row>
    <row r="32" customFormat="false" ht="15" hidden="false" customHeight="false" outlineLevel="0" collapsed="false">
      <c r="B32" s="9" t="s">
        <v>71</v>
      </c>
      <c r="C32" s="15" t="n">
        <v>402000</v>
      </c>
    </row>
    <row r="33" customFormat="false" ht="15" hidden="false" customHeight="false" outlineLevel="0" collapsed="false">
      <c r="B33" s="9" t="s">
        <v>72</v>
      </c>
      <c r="C33" s="26" t="str">
        <f aca="false">IF(AND($C$32&gt;=$C$29,$C$32&lt;=$C$30),"yes","no")</f>
        <v>yes</v>
      </c>
    </row>
    <row r="34" customFormat="false" ht="15" hidden="false" customHeight="false" outlineLevel="0" collapsed="false">
      <c r="B34" s="9" t="s">
        <v>73</v>
      </c>
      <c r="C34" s="17" t="n">
        <f aca="false">$C$32/Subject_and_Comps!$C$6</f>
        <v>217.297297297297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7"/>
    <col collapsed="false" customWidth="true" hidden="false" outlineLevel="0" max="5" min="5" style="0" width="30"/>
  </cols>
  <sheetData>
    <row r="1" customFormat="false" ht="6" hidden="false" customHeight="true" outlineLevel="0" collapsed="false"/>
    <row r="2" customFormat="false" ht="17.35" hidden="false" customHeight="false" outlineLevel="0" collapsed="false">
      <c r="B2" s="5" t="s">
        <v>74</v>
      </c>
    </row>
    <row r="3" customFormat="false" ht="15" hidden="false" customHeight="false" outlineLevel="0" collapsed="false">
      <c r="B3" s="6" t="s">
        <v>75</v>
      </c>
    </row>
    <row r="5" customFormat="false" ht="15" hidden="false" customHeight="false" outlineLevel="0" collapsed="false">
      <c r="B5" s="9" t="s">
        <v>76</v>
      </c>
      <c r="C5" s="27" t="n">
        <v>0.8</v>
      </c>
    </row>
    <row r="6" customFormat="false" ht="15" hidden="false" customHeight="false" outlineLevel="0" collapsed="false">
      <c r="B6" s="9" t="s">
        <v>77</v>
      </c>
      <c r="C6" s="24" t="n">
        <f aca="false">Subject_and_Comps!$C$14</f>
        <v>412000</v>
      </c>
    </row>
    <row r="7" customFormat="false" ht="15" hidden="false" customHeight="false" outlineLevel="0" collapsed="false">
      <c r="B7" s="9" t="s">
        <v>78</v>
      </c>
      <c r="C7" s="24" t="n">
        <f aca="false">$C$5*$C$6</f>
        <v>329600</v>
      </c>
    </row>
    <row r="8" customFormat="false" ht="15" hidden="false" customHeight="false" outlineLevel="0" collapsed="false">
      <c r="B8" s="9" t="s">
        <v>79</v>
      </c>
      <c r="C8" s="24" t="n">
        <f aca="false">$C$6-$C$7</f>
        <v>82400</v>
      </c>
    </row>
    <row r="10" customFormat="false" ht="21.75" hidden="false" customHeight="true" outlineLevel="0" collapsed="false">
      <c r="B10" s="18" t="s">
        <v>32</v>
      </c>
      <c r="C10" s="19" t="s">
        <v>80</v>
      </c>
      <c r="D10" s="19" t="s">
        <v>81</v>
      </c>
    </row>
    <row r="11" customFormat="false" ht="15" hidden="false" customHeight="false" outlineLevel="0" collapsed="false">
      <c r="B11" s="9" t="s">
        <v>82</v>
      </c>
      <c r="C11" s="24" t="n">
        <f aca="false">Grid!$C$32</f>
        <v>402000</v>
      </c>
      <c r="D11" s="22" t="n">
        <v>404000</v>
      </c>
    </row>
    <row r="12" customFormat="false" ht="15" hidden="false" customHeight="false" outlineLevel="0" collapsed="false">
      <c r="B12" s="21" t="s">
        <v>83</v>
      </c>
      <c r="C12" s="25" t="n">
        <f aca="false">$C$6-C11</f>
        <v>10000</v>
      </c>
      <c r="D12" s="25" t="n">
        <f aca="false">$C$6-D11</f>
        <v>8000</v>
      </c>
    </row>
    <row r="13" customFormat="false" ht="15" hidden="false" customHeight="false" outlineLevel="0" collapsed="false">
      <c r="B13" s="9" t="s">
        <v>84</v>
      </c>
      <c r="C13" s="16" t="n">
        <f aca="false">C12/C11</f>
        <v>0.0248756218905473</v>
      </c>
      <c r="D13" s="16" t="n">
        <f aca="false">D12/D11</f>
        <v>0.0198019801980198</v>
      </c>
    </row>
    <row r="14" customFormat="false" ht="15" hidden="false" customHeight="false" outlineLevel="0" collapsed="false">
      <c r="B14" s="9" t="s">
        <v>85</v>
      </c>
      <c r="C14" s="24" t="n">
        <f aca="false">MIN(C11,$C$6)</f>
        <v>402000</v>
      </c>
      <c r="D14" s="24" t="n">
        <f aca="false">MIN(D11,$C$6)</f>
        <v>404000</v>
      </c>
    </row>
    <row r="15" customFormat="false" ht="15" hidden="false" customHeight="false" outlineLevel="0" collapsed="false">
      <c r="B15" s="9" t="s">
        <v>86</v>
      </c>
      <c r="C15" s="24" t="n">
        <f aca="false">$C$5*C14</f>
        <v>321600</v>
      </c>
      <c r="D15" s="24" t="n">
        <f aca="false">$C$5*D14</f>
        <v>323200</v>
      </c>
    </row>
    <row r="16" customFormat="false" ht="15" hidden="false" customHeight="false" outlineLevel="0" collapsed="false">
      <c r="B16" s="21" t="s">
        <v>87</v>
      </c>
      <c r="C16" s="25" t="n">
        <f aca="false">$C$7-C15</f>
        <v>8000</v>
      </c>
      <c r="D16" s="25" t="n">
        <f aca="false">$C$7-D15</f>
        <v>6400</v>
      </c>
    </row>
    <row r="17" customFormat="false" ht="15" hidden="false" customHeight="false" outlineLevel="0" collapsed="false">
      <c r="B17" s="9" t="s">
        <v>88</v>
      </c>
      <c r="C17" s="24" t="n">
        <f aca="false">$C$6-C15</f>
        <v>90400</v>
      </c>
      <c r="D17" s="24" t="n">
        <f aca="false">$C$6-D15</f>
        <v>88800</v>
      </c>
    </row>
    <row r="18" customFormat="false" ht="15" hidden="false" customHeight="false" outlineLevel="0" collapsed="false">
      <c r="B18" s="9" t="s">
        <v>89</v>
      </c>
      <c r="C18" s="24" t="n">
        <f aca="false">Subject_and_Comps!$C$16</f>
        <v>10000</v>
      </c>
      <c r="D18" s="24" t="n">
        <f aca="false">Subject_and_Comps!$C$16</f>
        <v>10000</v>
      </c>
    </row>
    <row r="19" customFormat="false" ht="15" hidden="false" customHeight="false" outlineLevel="0" collapsed="false">
      <c r="B19" s="9" t="s">
        <v>90</v>
      </c>
      <c r="C19" s="24" t="n">
        <f aca="false">C12-C18</f>
        <v>0</v>
      </c>
      <c r="D19" s="24" t="n">
        <f aca="false">D12-D18</f>
        <v>-2000</v>
      </c>
    </row>
    <row r="21" customFormat="false" ht="15" hidden="false" customHeight="false" outlineLevel="0" collapsed="false">
      <c r="B21" s="9" t="s">
        <v>91</v>
      </c>
      <c r="C21" s="24" t="n">
        <f aca="false">$D$11-Grid!$C$32</f>
        <v>2000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6"/>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92</v>
      </c>
    </row>
    <row r="3" customFormat="false" ht="15" hidden="false" customHeight="false" outlineLevel="0" collapsed="false">
      <c r="B3" s="6" t="s">
        <v>93</v>
      </c>
    </row>
    <row r="5" customFormat="false" ht="15" hidden="false" customHeight="false" outlineLevel="0" collapsed="false">
      <c r="B5" s="7" t="s">
        <v>94</v>
      </c>
      <c r="C5" s="8"/>
      <c r="D5" s="8"/>
    </row>
    <row r="6" customFormat="false" ht="15" hidden="false" customHeight="false" outlineLevel="0" collapsed="false">
      <c r="B6" s="9" t="s">
        <v>95</v>
      </c>
      <c r="C6" s="10" t="n">
        <v>1700</v>
      </c>
    </row>
    <row r="7" customFormat="false" ht="15" hidden="false" customHeight="false" outlineLevel="0" collapsed="false">
      <c r="B7" s="9" t="s">
        <v>96</v>
      </c>
      <c r="C7" s="10" t="n">
        <v>1900</v>
      </c>
    </row>
    <row r="8" customFormat="false" ht="15" hidden="false" customHeight="false" outlineLevel="0" collapsed="false">
      <c r="B8" s="9" t="s">
        <v>97</v>
      </c>
      <c r="C8" s="15" t="n">
        <v>383000</v>
      </c>
    </row>
    <row r="9" customFormat="false" ht="15" hidden="false" customHeight="false" outlineLevel="0" collapsed="false">
      <c r="B9" s="9" t="s">
        <v>98</v>
      </c>
      <c r="C9" s="15" t="n">
        <v>392000</v>
      </c>
    </row>
    <row r="10" customFormat="false" ht="15" hidden="false" customHeight="false" outlineLevel="0" collapsed="false">
      <c r="B10" s="9" t="s">
        <v>99</v>
      </c>
      <c r="C10" s="24" t="n">
        <f aca="false">$C$9-$C$8</f>
        <v>9000</v>
      </c>
    </row>
    <row r="11" customFormat="false" ht="15" hidden="false" customHeight="false" outlineLevel="0" collapsed="false">
      <c r="B11" s="9" t="s">
        <v>100</v>
      </c>
      <c r="C11" s="28" t="n">
        <f aca="false">$C$7-$C$6</f>
        <v>200</v>
      </c>
    </row>
    <row r="12" customFormat="false" ht="15" hidden="false" customHeight="false" outlineLevel="0" collapsed="false">
      <c r="B12" s="21" t="s">
        <v>101</v>
      </c>
      <c r="C12" s="25" t="n">
        <f aca="false">$C$10/$C$11</f>
        <v>45</v>
      </c>
    </row>
    <row r="14" customFormat="false" ht="15" hidden="false" customHeight="false" outlineLevel="0" collapsed="false">
      <c r="B14" s="7" t="s">
        <v>102</v>
      </c>
      <c r="C14" s="8"/>
      <c r="D14" s="8"/>
    </row>
    <row r="15" customFormat="false" ht="15" hidden="false" customHeight="false" outlineLevel="0" collapsed="false">
      <c r="B15" s="9" t="s">
        <v>103</v>
      </c>
      <c r="C15" s="15" t="n">
        <v>406000</v>
      </c>
    </row>
    <row r="16" customFormat="false" ht="15" hidden="false" customHeight="false" outlineLevel="0" collapsed="false">
      <c r="B16" s="9" t="s">
        <v>104</v>
      </c>
      <c r="C16" s="15" t="n">
        <v>391000</v>
      </c>
    </row>
    <row r="17" customFormat="false" ht="15" hidden="false" customHeight="false" outlineLevel="0" collapsed="false">
      <c r="B17" s="21" t="s">
        <v>105</v>
      </c>
      <c r="C17" s="25" t="n">
        <f aca="false">$C$15-$C$16</f>
        <v>15000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106</v>
      </c>
    </row>
    <row r="3" customFormat="false" ht="15" hidden="false" customHeight="false" outlineLevel="0" collapsed="false">
      <c r="B3" s="6" t="s">
        <v>107</v>
      </c>
    </row>
    <row r="4" customFormat="false" ht="15" hidden="false" customHeight="false" outlineLevel="0" collapsed="false">
      <c r="C4" s="21" t="s">
        <v>108</v>
      </c>
      <c r="E4" s="29" t="n">
        <f aca="false">ROWS(I10:I113)</f>
        <v>104</v>
      </c>
    </row>
    <row r="5" customFormat="false" ht="15" hidden="false" customHeight="false" outlineLevel="0" collapsed="false">
      <c r="C5" s="21" t="s">
        <v>109</v>
      </c>
      <c r="E5" s="29" t="n">
        <f aca="false">COUNTIF(I10:I113,"PASS")</f>
        <v>104</v>
      </c>
    </row>
    <row r="6" customFormat="false" ht="15" hidden="false" customHeight="false" outlineLevel="0" collapsed="false">
      <c r="C6" s="21" t="s">
        <v>110</v>
      </c>
      <c r="E6" s="29" t="n">
        <f aca="false">COUNTIF(I10:I113,"FAIL")</f>
        <v>0</v>
      </c>
    </row>
    <row r="7" customFormat="false" ht="15" hidden="false" customHeight="false" outlineLevel="0" collapsed="false">
      <c r="C7" s="21" t="s">
        <v>111</v>
      </c>
      <c r="D7" s="21"/>
      <c r="E7" s="30" t="str">
        <f aca="false">IFERROR(IF(AND(E5=E4,E6=0,SUMPRODUCT(--ISERROR(F10:F113))=0),"PASS","FAIL"),"FAIL")</f>
        <v>PASS</v>
      </c>
    </row>
    <row r="9" customFormat="false" ht="21.75" hidden="false" customHeight="true" outlineLevel="0" collapsed="false">
      <c r="B9" s="18" t="s">
        <v>112</v>
      </c>
      <c r="C9" s="19" t="s">
        <v>113</v>
      </c>
      <c r="D9" s="19" t="s">
        <v>114</v>
      </c>
      <c r="E9" s="19" t="s">
        <v>115</v>
      </c>
      <c r="F9" s="19" t="s">
        <v>116</v>
      </c>
      <c r="G9" s="19" t="s">
        <v>117</v>
      </c>
      <c r="H9" s="19" t="s">
        <v>118</v>
      </c>
      <c r="I9" s="19" t="s">
        <v>119</v>
      </c>
    </row>
    <row r="10" customFormat="false" ht="15" hidden="false" customHeight="true" outlineLevel="0" collapsed="false">
      <c r="B10" s="31" t="n">
        <v>1</v>
      </c>
      <c r="C10" s="9" t="s">
        <v>120</v>
      </c>
      <c r="D10" s="32" t="s">
        <v>121</v>
      </c>
      <c r="E10" s="33" t="s">
        <v>122</v>
      </c>
      <c r="F10" s="34" t="str">
        <f aca="false">IFERROR(IF(AND(Subject_and_Comps!$C$31&lt;=6,Subject_and_Comps!$D$31&lt;=6,Subject_and_Comps!$E$31&lt;=6,Subject_and_Comps!$F$31&lt;=6),"holds","does not hold"),"error")</f>
        <v>holds</v>
      </c>
      <c r="G10" s="9"/>
      <c r="H10" s="9"/>
      <c r="I10" s="30" t="str">
        <f aca="false">IFERROR(IF(AND(Subject_and_Comps!$C$31&lt;=6,Subject_and_Comps!$D$31&lt;=6,Subject_and_Comps!$E$31&lt;=6,Subject_and_Comps!$F$31&lt;=6),"PASS","FAIL"),"FAIL")</f>
        <v>PASS</v>
      </c>
    </row>
    <row r="11" customFormat="false" ht="15" hidden="false" customHeight="true" outlineLevel="0" collapsed="false">
      <c r="B11" s="31" t="n">
        <v>2</v>
      </c>
      <c r="C11" s="9" t="s">
        <v>123</v>
      </c>
      <c r="D11" s="32" t="s">
        <v>124</v>
      </c>
      <c r="E11" s="33" t="s">
        <v>122</v>
      </c>
      <c r="F11" s="34" t="str">
        <f aca="false">IFERROR(IF(AND(Grid!$C$32&gt;=Grid!$C$29,Grid!$C$32&lt;=Grid!$C$30),"holds","does not hold"),"error")</f>
        <v>holds</v>
      </c>
      <c r="G11" s="9"/>
      <c r="H11" s="9"/>
      <c r="I11" s="30" t="str">
        <f aca="false">IFERROR(IF(AND(Grid!$C$32&gt;=Grid!$C$29,Grid!$C$32&lt;=Grid!$C$30),"PASS","FAIL"),"FAIL")</f>
        <v>PASS</v>
      </c>
    </row>
    <row r="12" customFormat="false" ht="15" hidden="false" customHeight="true" outlineLevel="0" collapsed="false">
      <c r="B12" s="31" t="n">
        <v>3</v>
      </c>
      <c r="C12" s="9" t="s">
        <v>123</v>
      </c>
      <c r="D12" s="32" t="s">
        <v>125</v>
      </c>
      <c r="E12" s="33" t="s">
        <v>122</v>
      </c>
      <c r="F12" s="34" t="str">
        <f aca="false">IFERROR(IF(MOD(Grid!$C$32,1000)=0,"holds","does not hold"),"error")</f>
        <v>holds</v>
      </c>
      <c r="G12" s="9"/>
      <c r="H12" s="9"/>
      <c r="I12" s="30" t="str">
        <f aca="false">IFERROR(IF(MOD(Grid!$C$32,1000)=0,"PASS","FAIL"),"FAIL")</f>
        <v>PASS</v>
      </c>
    </row>
    <row r="13" customFormat="false" ht="15" hidden="false" customHeight="true" outlineLevel="0" collapsed="false">
      <c r="B13" s="31" t="n">
        <v>4</v>
      </c>
      <c r="C13" s="9" t="s">
        <v>123</v>
      </c>
      <c r="D13" s="32" t="s">
        <v>126</v>
      </c>
      <c r="E13" s="33" t="s">
        <v>122</v>
      </c>
      <c r="F13" s="34" t="str">
        <f aca="false">IFERROR(IF(AND(Grid!$C$24&lt;0.1,Grid!$D$24&lt;0.1,Grid!$E$24&lt;0.1,Grid!$F$24&lt;0.1),"holds","does not hold"),"error")</f>
        <v>holds</v>
      </c>
      <c r="G13" s="9"/>
      <c r="H13" s="9"/>
      <c r="I13" s="30" t="str">
        <f aca="false">IFERROR(IF(AND(Grid!$C$24&lt;0.1,Grid!$D$24&lt;0.1,Grid!$E$24&lt;0.1,Grid!$F$24&lt;0.1),"PASS","FAIL"),"FAIL")</f>
        <v>PASS</v>
      </c>
    </row>
    <row r="14" customFormat="false" ht="15" hidden="false" customHeight="true" outlineLevel="0" collapsed="false">
      <c r="B14" s="31" t="n">
        <v>5</v>
      </c>
      <c r="C14" s="9" t="s">
        <v>127</v>
      </c>
      <c r="D14" s="32" t="s">
        <v>128</v>
      </c>
      <c r="E14" s="33" t="s">
        <v>122</v>
      </c>
      <c r="F14" s="34" t="str">
        <f aca="false">IFERROR(IF(AND(Gap_and_Loan!$D$12&lt;Gap_and_Loan!$C$12,Gap_and_Loan!$D$12&gt;0),"holds","does not hold"),"error")</f>
        <v>holds</v>
      </c>
      <c r="G14" s="9"/>
      <c r="H14" s="9"/>
      <c r="I14" s="30" t="str">
        <f aca="false">IFERROR(IF(AND(Gap_and_Loan!$D$12&lt;Gap_and_Loan!$C$12,Gap_and_Loan!$D$12&gt;0),"PASS","FAIL"),"FAIL")</f>
        <v>PASS</v>
      </c>
    </row>
    <row r="15" customFormat="false" ht="15" hidden="false" customHeight="true" outlineLevel="0" collapsed="false">
      <c r="B15" s="31" t="n">
        <v>6</v>
      </c>
      <c r="C15" s="9" t="s">
        <v>127</v>
      </c>
      <c r="D15" s="32" t="s">
        <v>129</v>
      </c>
      <c r="E15" s="33" t="s">
        <v>122</v>
      </c>
      <c r="F15" s="34" t="str">
        <f aca="false">IFERROR(IF(ABS(Gap_and_Loan!$C$16-Gap_and_Loan!$C$5*Gap_and_Loan!$C$12)&lt;0.005,"holds","does not hold"),"error")</f>
        <v>holds</v>
      </c>
      <c r="G15" s="9"/>
      <c r="H15" s="9"/>
      <c r="I15" s="30" t="str">
        <f aca="false">IFERROR(IF(ABS(Gap_and_Loan!$C$16-Gap_and_Loan!$C$5*Gap_and_Loan!$C$12)&lt;0.005,"PASS","FAIL"),"FAIL")</f>
        <v>PASS</v>
      </c>
    </row>
    <row r="16" customFormat="false" ht="15" hidden="false" customHeight="false" outlineLevel="0" collapsed="false">
      <c r="B16" s="31" t="n">
        <v>7</v>
      </c>
      <c r="C16" s="9" t="s">
        <v>120</v>
      </c>
      <c r="D16" s="9" t="s">
        <v>130</v>
      </c>
      <c r="E16" s="10" t="n">
        <v>1850</v>
      </c>
      <c r="F16" s="35" t="n">
        <f aca="false">Subject_and_Comps!$C$6</f>
        <v>1850</v>
      </c>
      <c r="G16" s="36" t="n">
        <f aca="false">IFERROR(IF(ISNUMBER(F16),F16-E16,"n/a"),"n/a")</f>
        <v>0</v>
      </c>
      <c r="H16" s="37" t="n">
        <v>0.500000001</v>
      </c>
      <c r="I16" s="30" t="str">
        <f aca="false">IFERROR(IF(ISNUMBER(F16),IF(ABS(F16-E16)&lt;=H16,"PASS","FAIL"),"FAIL"),"FAIL")</f>
        <v>PASS</v>
      </c>
    </row>
    <row r="17" customFormat="false" ht="15" hidden="false" customHeight="false" outlineLevel="0" collapsed="false">
      <c r="B17" s="31" t="n">
        <v>8</v>
      </c>
      <c r="C17" s="9" t="s">
        <v>120</v>
      </c>
      <c r="D17" s="9" t="s">
        <v>131</v>
      </c>
      <c r="E17" s="10" t="n">
        <v>2004</v>
      </c>
      <c r="F17" s="35" t="n">
        <f aca="false">Subject_and_Comps!$C$10</f>
        <v>2004</v>
      </c>
      <c r="G17" s="36" t="n">
        <f aca="false">IFERROR(IF(ISNUMBER(F17),F17-E17,"n/a"),"n/a")</f>
        <v>0</v>
      </c>
      <c r="H17" s="37" t="n">
        <v>0.500000001</v>
      </c>
      <c r="I17" s="30" t="str">
        <f aca="false">IFERROR(IF(ISNUMBER(F17),IF(ABS(F17-E17)&lt;=H17,"PASS","FAIL"),"FAIL"),"FAIL")</f>
        <v>PASS</v>
      </c>
    </row>
    <row r="18" customFormat="false" ht="15" hidden="false" customHeight="false" outlineLevel="0" collapsed="false">
      <c r="B18" s="31" t="n">
        <v>9</v>
      </c>
      <c r="C18" s="9" t="s">
        <v>120</v>
      </c>
      <c r="D18" s="9" t="s">
        <v>132</v>
      </c>
      <c r="E18" s="13" t="n">
        <v>0.22</v>
      </c>
      <c r="F18" s="38" t="n">
        <f aca="false">Subject_and_Comps!$C$11</f>
        <v>0.22</v>
      </c>
      <c r="G18" s="36" t="n">
        <f aca="false">IFERROR(IF(ISNUMBER(F18),F18-E18,"n/a"),"n/a")</f>
        <v>0</v>
      </c>
      <c r="H18" s="37" t="n">
        <v>0.005000001</v>
      </c>
      <c r="I18" s="30" t="str">
        <f aca="false">IFERROR(IF(ISNUMBER(F18),IF(ABS(F18-E18)&lt;=H18,"PASS","FAIL"),"FAIL"),"FAIL")</f>
        <v>PASS</v>
      </c>
    </row>
    <row r="19" customFormat="false" ht="15" hidden="false" customHeight="false" outlineLevel="0" collapsed="false">
      <c r="B19" s="31" t="n">
        <v>10</v>
      </c>
      <c r="C19" s="9" t="s">
        <v>120</v>
      </c>
      <c r="D19" s="9" t="s">
        <v>133</v>
      </c>
      <c r="E19" s="10" t="n">
        <v>389000</v>
      </c>
      <c r="F19" s="35" t="n">
        <f aca="false">Subject_and_Comps!$C$13</f>
        <v>389000</v>
      </c>
      <c r="G19" s="36" t="n">
        <f aca="false">IFERROR(IF(ISNUMBER(F19),F19-E19,"n/a"),"n/a")</f>
        <v>0</v>
      </c>
      <c r="H19" s="37" t="n">
        <v>0.500000001</v>
      </c>
      <c r="I19" s="30" t="str">
        <f aca="false">IFERROR(IF(ISNUMBER(F19),IF(ABS(F19-E19)&lt;=H19,"PASS","FAIL"),"FAIL"),"FAIL")</f>
        <v>PASS</v>
      </c>
    </row>
    <row r="20" customFormat="false" ht="15" hidden="false" customHeight="false" outlineLevel="0" collapsed="false">
      <c r="B20" s="31" t="n">
        <v>11</v>
      </c>
      <c r="C20" s="9" t="s">
        <v>120</v>
      </c>
      <c r="D20" s="9" t="s">
        <v>134</v>
      </c>
      <c r="E20" s="10" t="n">
        <v>412000</v>
      </c>
      <c r="F20" s="35" t="n">
        <f aca="false">Subject_and_Comps!$C$14</f>
        <v>412000</v>
      </c>
      <c r="G20" s="36" t="n">
        <f aca="false">IFERROR(IF(ISNUMBER(F20),F20-E20,"n/a"),"n/a")</f>
        <v>0</v>
      </c>
      <c r="H20" s="37" t="n">
        <v>0.500000001</v>
      </c>
      <c r="I20" s="30" t="str">
        <f aca="false">IFERROR(IF(ISNUMBER(F20),IF(ABS(F20-E20)&lt;=H20,"PASS","FAIL"),"FAIL"),"FAIL")</f>
        <v>PASS</v>
      </c>
    </row>
    <row r="21" customFormat="false" ht="15" hidden="false" customHeight="false" outlineLevel="0" collapsed="false">
      <c r="B21" s="31" t="n">
        <v>12</v>
      </c>
      <c r="C21" s="9" t="s">
        <v>120</v>
      </c>
      <c r="D21" s="9" t="s">
        <v>135</v>
      </c>
      <c r="E21" s="10" t="n">
        <v>6</v>
      </c>
      <c r="F21" s="35" t="n">
        <f aca="false">Subject_and_Comps!$C$15</f>
        <v>6</v>
      </c>
      <c r="G21" s="36" t="n">
        <f aca="false">IFERROR(IF(ISNUMBER(F21),F21-E21,"n/a"),"n/a")</f>
        <v>0</v>
      </c>
      <c r="H21" s="37" t="n">
        <v>0.500000001</v>
      </c>
      <c r="I21" s="30" t="str">
        <f aca="false">IFERROR(IF(ISNUMBER(F21),IF(ABS(F21-E21)&lt;=H21,"PASS","FAIL"),"FAIL"),"FAIL")</f>
        <v>PASS</v>
      </c>
    </row>
    <row r="22" customFormat="false" ht="15" hidden="false" customHeight="false" outlineLevel="0" collapsed="false">
      <c r="B22" s="31" t="n">
        <v>13</v>
      </c>
      <c r="C22" s="9" t="s">
        <v>120</v>
      </c>
      <c r="D22" s="9" t="s">
        <v>136</v>
      </c>
      <c r="E22" s="10" t="n">
        <v>10000</v>
      </c>
      <c r="F22" s="35" t="n">
        <f aca="false">Subject_and_Comps!$C$16</f>
        <v>10000</v>
      </c>
      <c r="G22" s="36" t="n">
        <f aca="false">IFERROR(IF(ISNUMBER(F22),F22-E22,"n/a"),"n/a")</f>
        <v>0</v>
      </c>
      <c r="H22" s="37" t="n">
        <v>0.500000001</v>
      </c>
      <c r="I22" s="30" t="str">
        <f aca="false">IFERROR(IF(ISNUMBER(F22),IF(ABS(F22-E22)&lt;=H22,"PASS","FAIL"),"FAIL"),"FAIL")</f>
        <v>PASS</v>
      </c>
    </row>
    <row r="23" customFormat="false" ht="15" hidden="false" customHeight="false" outlineLevel="0" collapsed="false">
      <c r="B23" s="31" t="n">
        <v>14</v>
      </c>
      <c r="C23" s="9" t="s">
        <v>120</v>
      </c>
      <c r="D23" s="9" t="s">
        <v>137</v>
      </c>
      <c r="E23" s="23" t="n">
        <v>0.059</v>
      </c>
      <c r="F23" s="39" t="n">
        <f aca="false">Subject_and_Comps!$C$17</f>
        <v>0.0591259640102828</v>
      </c>
      <c r="G23" s="36" t="n">
        <f aca="false">IFERROR(IF(ISNUMBER(F23),F23-E23,"n/a"),"n/a")</f>
        <v>0.000125964010282809</v>
      </c>
      <c r="H23" s="37" t="n">
        <v>0.000500001</v>
      </c>
      <c r="I23" s="30" t="str">
        <f aca="false">IFERROR(IF(ISNUMBER(F23),IF(ABS(F23-E23)&lt;=H23,"PASS","FAIL"),"FAIL"),"FAIL")</f>
        <v>PASS</v>
      </c>
    </row>
    <row r="24" customFormat="false" ht="15" hidden="false" customHeight="false" outlineLevel="0" collapsed="false">
      <c r="B24" s="31" t="n">
        <v>15</v>
      </c>
      <c r="C24" s="9" t="s">
        <v>120</v>
      </c>
      <c r="D24" s="9" t="s">
        <v>138</v>
      </c>
      <c r="E24" s="13" t="n">
        <v>222.7</v>
      </c>
      <c r="F24" s="38" t="n">
        <f aca="false">Subject_and_Comps!$C$18</f>
        <v>222.702702702703</v>
      </c>
      <c r="G24" s="36" t="n">
        <f aca="false">IFERROR(IF(ISNUMBER(F24),F24-E24,"n/a"),"n/a")</f>
        <v>0.00270270270272022</v>
      </c>
      <c r="H24" s="37" t="n">
        <v>0.005000001</v>
      </c>
      <c r="I24" s="30" t="str">
        <f aca="false">IFERROR(IF(ISNUMBER(F24),IF(ABS(F24-E24)&lt;=H24,"PASS","FAIL"),"FAIL"),"FAIL")</f>
        <v>PASS</v>
      </c>
    </row>
    <row r="25" customFormat="false" ht="15" hidden="false" customHeight="false" outlineLevel="0" collapsed="false">
      <c r="B25" s="31" t="n">
        <v>16</v>
      </c>
      <c r="C25" s="9" t="s">
        <v>120</v>
      </c>
      <c r="D25" s="9" t="s">
        <v>139</v>
      </c>
      <c r="E25" s="10" t="n">
        <v>1790</v>
      </c>
      <c r="F25" s="35" t="n">
        <f aca="false">Subject_and_Comps!$C$23</f>
        <v>1790</v>
      </c>
      <c r="G25" s="36" t="n">
        <f aca="false">IFERROR(IF(ISNUMBER(F25),F25-E25,"n/a"),"n/a")</f>
        <v>0</v>
      </c>
      <c r="H25" s="37" t="n">
        <v>0.500000001</v>
      </c>
      <c r="I25" s="30" t="str">
        <f aca="false">IFERROR(IF(ISNUMBER(F25),IF(ABS(F25-E25)&lt;=H25,"PASS","FAIL"),"FAIL"),"FAIL")</f>
        <v>PASS</v>
      </c>
    </row>
    <row r="26" customFormat="false" ht="15" hidden="false" customHeight="false" outlineLevel="0" collapsed="false">
      <c r="B26" s="31" t="n">
        <v>17</v>
      </c>
      <c r="C26" s="9" t="s">
        <v>120</v>
      </c>
      <c r="D26" s="9" t="s">
        <v>140</v>
      </c>
      <c r="E26" s="10" t="n">
        <v>2003</v>
      </c>
      <c r="F26" s="35" t="n">
        <f aca="false">Subject_and_Comps!$C$27</f>
        <v>2003</v>
      </c>
      <c r="G26" s="36" t="n">
        <f aca="false">IFERROR(IF(ISNUMBER(F26),F26-E26,"n/a"),"n/a")</f>
        <v>0</v>
      </c>
      <c r="H26" s="37" t="n">
        <v>0.500000001</v>
      </c>
      <c r="I26" s="30" t="str">
        <f aca="false">IFERROR(IF(ISNUMBER(F26),IF(ABS(F26-E26)&lt;=H26,"PASS","FAIL"),"FAIL"),"FAIL")</f>
        <v>PASS</v>
      </c>
    </row>
    <row r="27" customFormat="false" ht="15" hidden="false" customHeight="false" outlineLevel="0" collapsed="false">
      <c r="B27" s="31" t="n">
        <v>18</v>
      </c>
      <c r="C27" s="9" t="s">
        <v>120</v>
      </c>
      <c r="D27" s="9" t="s">
        <v>141</v>
      </c>
      <c r="E27" s="10" t="n">
        <v>2</v>
      </c>
      <c r="F27" s="35" t="n">
        <f aca="false">Subject_and_Comps!$C$31</f>
        <v>2</v>
      </c>
      <c r="G27" s="36" t="n">
        <f aca="false">IFERROR(IF(ISNUMBER(F27),F27-E27,"n/a"),"n/a")</f>
        <v>0</v>
      </c>
      <c r="H27" s="37" t="n">
        <v>0.500000001</v>
      </c>
      <c r="I27" s="30" t="str">
        <f aca="false">IFERROR(IF(ISNUMBER(F27),IF(ABS(F27-E27)&lt;=H27,"PASS","FAIL"),"FAIL"),"FAIL")</f>
        <v>PASS</v>
      </c>
    </row>
    <row r="28" customFormat="false" ht="15" hidden="false" customHeight="false" outlineLevel="0" collapsed="false">
      <c r="B28" s="31" t="n">
        <v>19</v>
      </c>
      <c r="C28" s="9" t="s">
        <v>120</v>
      </c>
      <c r="D28" s="9" t="s">
        <v>142</v>
      </c>
      <c r="E28" s="10" t="n">
        <v>398000</v>
      </c>
      <c r="F28" s="35" t="n">
        <f aca="false">Subject_and_Comps!$C$32</f>
        <v>398000</v>
      </c>
      <c r="G28" s="36" t="n">
        <f aca="false">IFERROR(IF(ISNUMBER(F28),F28-E28,"n/a"),"n/a")</f>
        <v>0</v>
      </c>
      <c r="H28" s="37" t="n">
        <v>0.500000001</v>
      </c>
      <c r="I28" s="30" t="str">
        <f aca="false">IFERROR(IF(ISNUMBER(F28),IF(ABS(F28-E28)&lt;=H28,"PASS","FAIL"),"FAIL"),"FAIL")</f>
        <v>PASS</v>
      </c>
    </row>
    <row r="29" customFormat="false" ht="15" hidden="false" customHeight="false" outlineLevel="0" collapsed="false">
      <c r="B29" s="31" t="n">
        <v>20</v>
      </c>
      <c r="C29" s="9" t="s">
        <v>120</v>
      </c>
      <c r="D29" s="9" t="s">
        <v>143</v>
      </c>
      <c r="E29" s="13" t="n">
        <v>222.35</v>
      </c>
      <c r="F29" s="38" t="n">
        <f aca="false">Subject_and_Comps!$C$33</f>
        <v>222.346368715084</v>
      </c>
      <c r="G29" s="36" t="n">
        <f aca="false">IFERROR(IF(ISNUMBER(F29),F29-E29,"n/a"),"n/a")</f>
        <v>-0.00363128491619591</v>
      </c>
      <c r="H29" s="37" t="n">
        <v>0.005000001</v>
      </c>
      <c r="I29" s="30" t="str">
        <f aca="false">IFERROR(IF(ISNUMBER(F29),IF(ABS(F29-E29)&lt;=H29,"PASS","FAIL"),"FAIL"),"FAIL")</f>
        <v>PASS</v>
      </c>
    </row>
    <row r="30" customFormat="false" ht="15" hidden="false" customHeight="false" outlineLevel="0" collapsed="false">
      <c r="B30" s="31" t="n">
        <v>21</v>
      </c>
      <c r="C30" s="9" t="s">
        <v>120</v>
      </c>
      <c r="D30" s="9" t="s">
        <v>144</v>
      </c>
      <c r="E30" s="10" t="n">
        <v>1960</v>
      </c>
      <c r="F30" s="35" t="n">
        <f aca="false">Subject_and_Comps!$D$23</f>
        <v>1960</v>
      </c>
      <c r="G30" s="36" t="n">
        <f aca="false">IFERROR(IF(ISNUMBER(F30),F30-E30,"n/a"),"n/a")</f>
        <v>0</v>
      </c>
      <c r="H30" s="37" t="n">
        <v>0.500000001</v>
      </c>
      <c r="I30" s="30" t="str">
        <f aca="false">IFERROR(IF(ISNUMBER(F30),IF(ABS(F30-E30)&lt;=H30,"PASS","FAIL"),"FAIL"),"FAIL")</f>
        <v>PASS</v>
      </c>
    </row>
    <row r="31" customFormat="false" ht="15" hidden="false" customHeight="false" outlineLevel="0" collapsed="false">
      <c r="B31" s="31" t="n">
        <v>22</v>
      </c>
      <c r="C31" s="9" t="s">
        <v>120</v>
      </c>
      <c r="D31" s="9" t="s">
        <v>145</v>
      </c>
      <c r="E31" s="10" t="n">
        <v>2006</v>
      </c>
      <c r="F31" s="35" t="n">
        <f aca="false">Subject_and_Comps!$D$27</f>
        <v>2006</v>
      </c>
      <c r="G31" s="36" t="n">
        <f aca="false">IFERROR(IF(ISNUMBER(F31),F31-E31,"n/a"),"n/a")</f>
        <v>0</v>
      </c>
      <c r="H31" s="37" t="n">
        <v>0.500000001</v>
      </c>
      <c r="I31" s="30" t="str">
        <f aca="false">IFERROR(IF(ISNUMBER(F31),IF(ABS(F31-E31)&lt;=H31,"PASS","FAIL"),"FAIL"),"FAIL")</f>
        <v>PASS</v>
      </c>
    </row>
    <row r="32" customFormat="false" ht="15" hidden="false" customHeight="false" outlineLevel="0" collapsed="false">
      <c r="B32" s="31" t="n">
        <v>23</v>
      </c>
      <c r="C32" s="9" t="s">
        <v>120</v>
      </c>
      <c r="D32" s="9" t="s">
        <v>146</v>
      </c>
      <c r="E32" s="10" t="n">
        <v>4</v>
      </c>
      <c r="F32" s="35" t="n">
        <f aca="false">Subject_and_Comps!$D$31</f>
        <v>4</v>
      </c>
      <c r="G32" s="36" t="n">
        <f aca="false">IFERROR(IF(ISNUMBER(F32),F32-E32,"n/a"),"n/a")</f>
        <v>0</v>
      </c>
      <c r="H32" s="37" t="n">
        <v>0.500000001</v>
      </c>
      <c r="I32" s="30" t="str">
        <f aca="false">IFERROR(IF(ISNUMBER(F32),IF(ABS(F32-E32)&lt;=H32,"PASS","FAIL"),"FAIL"),"FAIL")</f>
        <v>PASS</v>
      </c>
    </row>
    <row r="33" customFormat="false" ht="15" hidden="false" customHeight="false" outlineLevel="0" collapsed="false">
      <c r="B33" s="31" t="n">
        <v>24</v>
      </c>
      <c r="C33" s="9" t="s">
        <v>120</v>
      </c>
      <c r="D33" s="9" t="s">
        <v>147</v>
      </c>
      <c r="E33" s="10" t="n">
        <v>415000</v>
      </c>
      <c r="F33" s="35" t="n">
        <f aca="false">Subject_and_Comps!$D$32</f>
        <v>415000</v>
      </c>
      <c r="G33" s="36" t="n">
        <f aca="false">IFERROR(IF(ISNUMBER(F33),F33-E33,"n/a"),"n/a")</f>
        <v>0</v>
      </c>
      <c r="H33" s="37" t="n">
        <v>0.500000001</v>
      </c>
      <c r="I33" s="30" t="str">
        <f aca="false">IFERROR(IF(ISNUMBER(F33),IF(ABS(F33-E33)&lt;=H33,"PASS","FAIL"),"FAIL"),"FAIL")</f>
        <v>PASS</v>
      </c>
    </row>
    <row r="34" customFormat="false" ht="15" hidden="false" customHeight="false" outlineLevel="0" collapsed="false">
      <c r="B34" s="31" t="n">
        <v>25</v>
      </c>
      <c r="C34" s="9" t="s">
        <v>120</v>
      </c>
      <c r="D34" s="9" t="s">
        <v>148</v>
      </c>
      <c r="E34" s="13" t="n">
        <v>211.73</v>
      </c>
      <c r="F34" s="38" t="n">
        <f aca="false">Subject_and_Comps!$D$33</f>
        <v>211.734693877551</v>
      </c>
      <c r="G34" s="36" t="n">
        <f aca="false">IFERROR(IF(ISNUMBER(F34),F34-E34,"n/a"),"n/a")</f>
        <v>0.00469387755103412</v>
      </c>
      <c r="H34" s="37" t="n">
        <v>0.005000001</v>
      </c>
      <c r="I34" s="30" t="str">
        <f aca="false">IFERROR(IF(ISNUMBER(F34),IF(ABS(F34-E34)&lt;=H34,"PASS","FAIL"),"FAIL"),"FAIL")</f>
        <v>PASS</v>
      </c>
    </row>
    <row r="35" customFormat="false" ht="15" hidden="false" customHeight="false" outlineLevel="0" collapsed="false">
      <c r="B35" s="31" t="n">
        <v>26</v>
      </c>
      <c r="C35" s="9" t="s">
        <v>120</v>
      </c>
      <c r="D35" s="9" t="s">
        <v>149</v>
      </c>
      <c r="E35" s="10" t="n">
        <v>1720</v>
      </c>
      <c r="F35" s="35" t="n">
        <f aca="false">Subject_and_Comps!$E$23</f>
        <v>1720</v>
      </c>
      <c r="G35" s="36" t="n">
        <f aca="false">IFERROR(IF(ISNUMBER(F35),F35-E35,"n/a"),"n/a")</f>
        <v>0</v>
      </c>
      <c r="H35" s="37" t="n">
        <v>0.500000001</v>
      </c>
      <c r="I35" s="30" t="str">
        <f aca="false">IFERROR(IF(ISNUMBER(F35),IF(ABS(F35-E35)&lt;=H35,"PASS","FAIL"),"FAIL"),"FAIL")</f>
        <v>PASS</v>
      </c>
    </row>
    <row r="36" customFormat="false" ht="15" hidden="false" customHeight="false" outlineLevel="0" collapsed="false">
      <c r="B36" s="31" t="n">
        <v>27</v>
      </c>
      <c r="C36" s="9" t="s">
        <v>120</v>
      </c>
      <c r="D36" s="9" t="s">
        <v>150</v>
      </c>
      <c r="E36" s="10" t="n">
        <v>2001</v>
      </c>
      <c r="F36" s="35" t="n">
        <f aca="false">Subject_and_Comps!$E$27</f>
        <v>2001</v>
      </c>
      <c r="G36" s="36" t="n">
        <f aca="false">IFERROR(IF(ISNUMBER(F36),F36-E36,"n/a"),"n/a")</f>
        <v>0</v>
      </c>
      <c r="H36" s="37" t="n">
        <v>0.500000001</v>
      </c>
      <c r="I36" s="30" t="str">
        <f aca="false">IFERROR(IF(ISNUMBER(F36),IF(ABS(F36-E36)&lt;=H36,"PASS","FAIL"),"FAIL"),"FAIL")</f>
        <v>PASS</v>
      </c>
    </row>
    <row r="37" customFormat="false" ht="15" hidden="false" customHeight="false" outlineLevel="0" collapsed="false">
      <c r="B37" s="31" t="n">
        <v>28</v>
      </c>
      <c r="C37" s="9" t="s">
        <v>120</v>
      </c>
      <c r="D37" s="9" t="s">
        <v>151</v>
      </c>
      <c r="E37" s="10" t="n">
        <v>3</v>
      </c>
      <c r="F37" s="35" t="n">
        <f aca="false">Subject_and_Comps!$E$31</f>
        <v>3</v>
      </c>
      <c r="G37" s="36" t="n">
        <f aca="false">IFERROR(IF(ISNUMBER(F37),F37-E37,"n/a"),"n/a")</f>
        <v>0</v>
      </c>
      <c r="H37" s="37" t="n">
        <v>0.500000001</v>
      </c>
      <c r="I37" s="30" t="str">
        <f aca="false">IFERROR(IF(ISNUMBER(F37),IF(ABS(F37-E37)&lt;=H37,"PASS","FAIL"),"FAIL"),"FAIL")</f>
        <v>PASS</v>
      </c>
    </row>
    <row r="38" customFormat="false" ht="15" hidden="false" customHeight="false" outlineLevel="0" collapsed="false">
      <c r="B38" s="31" t="n">
        <v>29</v>
      </c>
      <c r="C38" s="9" t="s">
        <v>120</v>
      </c>
      <c r="D38" s="9" t="s">
        <v>152</v>
      </c>
      <c r="E38" s="10" t="n">
        <v>381500</v>
      </c>
      <c r="F38" s="35" t="n">
        <f aca="false">Subject_and_Comps!$E$32</f>
        <v>381500</v>
      </c>
      <c r="G38" s="36" t="n">
        <f aca="false">IFERROR(IF(ISNUMBER(F38),F38-E38,"n/a"),"n/a")</f>
        <v>0</v>
      </c>
      <c r="H38" s="37" t="n">
        <v>0.500000001</v>
      </c>
      <c r="I38" s="30" t="str">
        <f aca="false">IFERROR(IF(ISNUMBER(F38),IF(ABS(F38-E38)&lt;=H38,"PASS","FAIL"),"FAIL"),"FAIL")</f>
        <v>PASS</v>
      </c>
    </row>
    <row r="39" customFormat="false" ht="15" hidden="false" customHeight="false" outlineLevel="0" collapsed="false">
      <c r="B39" s="31" t="n">
        <v>30</v>
      </c>
      <c r="C39" s="9" t="s">
        <v>120</v>
      </c>
      <c r="D39" s="9" t="s">
        <v>153</v>
      </c>
      <c r="E39" s="13" t="n">
        <v>221.8</v>
      </c>
      <c r="F39" s="38" t="n">
        <f aca="false">Subject_and_Comps!$E$33</f>
        <v>221.802325581395</v>
      </c>
      <c r="G39" s="36" t="n">
        <f aca="false">IFERROR(IF(ISNUMBER(F39),F39-E39,"n/a"),"n/a")</f>
        <v>0.00232558139532557</v>
      </c>
      <c r="H39" s="37" t="n">
        <v>0.005000001</v>
      </c>
      <c r="I39" s="30" t="str">
        <f aca="false">IFERROR(IF(ISNUMBER(F39),IF(ABS(F39-E39)&lt;=H39,"PASS","FAIL"),"FAIL"),"FAIL")</f>
        <v>PASS</v>
      </c>
    </row>
    <row r="40" customFormat="false" ht="15" hidden="false" customHeight="false" outlineLevel="0" collapsed="false">
      <c r="B40" s="31" t="n">
        <v>31</v>
      </c>
      <c r="C40" s="9" t="s">
        <v>120</v>
      </c>
      <c r="D40" s="9" t="s">
        <v>154</v>
      </c>
      <c r="E40" s="10" t="n">
        <v>1900</v>
      </c>
      <c r="F40" s="35" t="n">
        <f aca="false">Subject_and_Comps!$F$23</f>
        <v>1900</v>
      </c>
      <c r="G40" s="36" t="n">
        <f aca="false">IFERROR(IF(ISNUMBER(F40),F40-E40,"n/a"),"n/a")</f>
        <v>0</v>
      </c>
      <c r="H40" s="37" t="n">
        <v>0.500000001</v>
      </c>
      <c r="I40" s="30" t="str">
        <f aca="false">IFERROR(IF(ISNUMBER(F40),IF(ABS(F40-E40)&lt;=H40,"PASS","FAIL"),"FAIL"),"FAIL")</f>
        <v>PASS</v>
      </c>
    </row>
    <row r="41" customFormat="false" ht="15" hidden="false" customHeight="false" outlineLevel="0" collapsed="false">
      <c r="B41" s="31" t="n">
        <v>32</v>
      </c>
      <c r="C41" s="9" t="s">
        <v>120</v>
      </c>
      <c r="D41" s="9" t="s">
        <v>155</v>
      </c>
      <c r="E41" s="10" t="n">
        <v>2005</v>
      </c>
      <c r="F41" s="35" t="n">
        <f aca="false">Subject_and_Comps!$F$27</f>
        <v>2005</v>
      </c>
      <c r="G41" s="36" t="n">
        <f aca="false">IFERROR(IF(ISNUMBER(F41),F41-E41,"n/a"),"n/a")</f>
        <v>0</v>
      </c>
      <c r="H41" s="37" t="n">
        <v>0.500000001</v>
      </c>
      <c r="I41" s="30" t="str">
        <f aca="false">IFERROR(IF(ISNUMBER(F41),IF(ABS(F41-E41)&lt;=H41,"PASS","FAIL"),"FAIL"),"FAIL")</f>
        <v>PASS</v>
      </c>
    </row>
    <row r="42" customFormat="false" ht="15" hidden="false" customHeight="false" outlineLevel="0" collapsed="false">
      <c r="B42" s="31" t="n">
        <v>33</v>
      </c>
      <c r="C42" s="9" t="s">
        <v>120</v>
      </c>
      <c r="D42" s="9" t="s">
        <v>156</v>
      </c>
      <c r="E42" s="10" t="n">
        <v>1</v>
      </c>
      <c r="F42" s="35" t="n">
        <f aca="false">Subject_and_Comps!$F$31</f>
        <v>1</v>
      </c>
      <c r="G42" s="36" t="n">
        <f aca="false">IFERROR(IF(ISNUMBER(F42),F42-E42,"n/a"),"n/a")</f>
        <v>0</v>
      </c>
      <c r="H42" s="37" t="n">
        <v>0.500000001</v>
      </c>
      <c r="I42" s="30" t="str">
        <f aca="false">IFERROR(IF(ISNUMBER(F42),IF(ABS(F42-E42)&lt;=H42,"PASS","FAIL"),"FAIL"),"FAIL")</f>
        <v>PASS</v>
      </c>
    </row>
    <row r="43" customFormat="false" ht="15" hidden="false" customHeight="false" outlineLevel="0" collapsed="false">
      <c r="B43" s="31" t="n">
        <v>34</v>
      </c>
      <c r="C43" s="9" t="s">
        <v>120</v>
      </c>
      <c r="D43" s="9" t="s">
        <v>157</v>
      </c>
      <c r="E43" s="10" t="n">
        <v>419000</v>
      </c>
      <c r="F43" s="35" t="n">
        <f aca="false">Subject_and_Comps!$F$32</f>
        <v>419000</v>
      </c>
      <c r="G43" s="36" t="n">
        <f aca="false">IFERROR(IF(ISNUMBER(F43),F43-E43,"n/a"),"n/a")</f>
        <v>0</v>
      </c>
      <c r="H43" s="37" t="n">
        <v>0.500000001</v>
      </c>
      <c r="I43" s="30" t="str">
        <f aca="false">IFERROR(IF(ISNUMBER(F43),IF(ABS(F43-E43)&lt;=H43,"PASS","FAIL"),"FAIL"),"FAIL")</f>
        <v>PASS</v>
      </c>
    </row>
    <row r="44" customFormat="false" ht="15" hidden="false" customHeight="false" outlineLevel="0" collapsed="false">
      <c r="B44" s="31" t="n">
        <v>35</v>
      </c>
      <c r="C44" s="9" t="s">
        <v>120</v>
      </c>
      <c r="D44" s="9" t="s">
        <v>158</v>
      </c>
      <c r="E44" s="13" t="n">
        <v>220.53</v>
      </c>
      <c r="F44" s="38" t="n">
        <f aca="false">Subject_and_Comps!$F$33</f>
        <v>220.526315789474</v>
      </c>
      <c r="G44" s="36" t="n">
        <f aca="false">IFERROR(IF(ISNUMBER(F44),F44-E44,"n/a"),"n/a")</f>
        <v>-0.00368421052633039</v>
      </c>
      <c r="H44" s="37" t="n">
        <v>0.005000001</v>
      </c>
      <c r="I44" s="30" t="str">
        <f aca="false">IFERROR(IF(ISNUMBER(F44),IF(ABS(F44-E44)&lt;=H44,"PASS","FAIL"),"FAIL"),"FAIL")</f>
        <v>PASS</v>
      </c>
    </row>
    <row r="45" customFormat="false" ht="15" hidden="false" customHeight="false" outlineLevel="0" collapsed="false">
      <c r="B45" s="31" t="n">
        <v>36</v>
      </c>
      <c r="C45" s="9" t="s">
        <v>159</v>
      </c>
      <c r="D45" s="9" t="s">
        <v>160</v>
      </c>
      <c r="E45" s="10" t="n">
        <v>383000</v>
      </c>
      <c r="F45" s="35" t="n">
        <f aca="false">Pairs!$C$8</f>
        <v>383000</v>
      </c>
      <c r="G45" s="36" t="n">
        <f aca="false">IFERROR(IF(ISNUMBER(F45),F45-E45,"n/a"),"n/a")</f>
        <v>0</v>
      </c>
      <c r="H45" s="37" t="n">
        <v>0.500000001</v>
      </c>
      <c r="I45" s="30" t="str">
        <f aca="false">IFERROR(IF(ISNUMBER(F45),IF(ABS(F45-E45)&lt;=H45,"PASS","FAIL"),"FAIL"),"FAIL")</f>
        <v>PASS</v>
      </c>
    </row>
    <row r="46" customFormat="false" ht="15" hidden="false" customHeight="false" outlineLevel="0" collapsed="false">
      <c r="B46" s="31" t="n">
        <v>37</v>
      </c>
      <c r="C46" s="9" t="s">
        <v>159</v>
      </c>
      <c r="D46" s="9" t="s">
        <v>161</v>
      </c>
      <c r="E46" s="10" t="n">
        <v>392000</v>
      </c>
      <c r="F46" s="35" t="n">
        <f aca="false">Pairs!$C$9</f>
        <v>392000</v>
      </c>
      <c r="G46" s="36" t="n">
        <f aca="false">IFERROR(IF(ISNUMBER(F46),F46-E46,"n/a"),"n/a")</f>
        <v>0</v>
      </c>
      <c r="H46" s="37" t="n">
        <v>0.500000001</v>
      </c>
      <c r="I46" s="30" t="str">
        <f aca="false">IFERROR(IF(ISNUMBER(F46),IF(ABS(F46-E46)&lt;=H46,"PASS","FAIL"),"FAIL"),"FAIL")</f>
        <v>PASS</v>
      </c>
    </row>
    <row r="47" customFormat="false" ht="15" hidden="false" customHeight="false" outlineLevel="0" collapsed="false">
      <c r="B47" s="31" t="n">
        <v>38</v>
      </c>
      <c r="C47" s="9" t="s">
        <v>159</v>
      </c>
      <c r="D47" s="9" t="s">
        <v>162</v>
      </c>
      <c r="E47" s="10" t="n">
        <v>9000</v>
      </c>
      <c r="F47" s="35" t="n">
        <f aca="false">Pairs!$C$10</f>
        <v>9000</v>
      </c>
      <c r="G47" s="36" t="n">
        <f aca="false">IFERROR(IF(ISNUMBER(F47),F47-E47,"n/a"),"n/a")</f>
        <v>0</v>
      </c>
      <c r="H47" s="37" t="n">
        <v>0.500000001</v>
      </c>
      <c r="I47" s="30" t="str">
        <f aca="false">IFERROR(IF(ISNUMBER(F47),IF(ABS(F47-E47)&lt;=H47,"PASS","FAIL"),"FAIL"),"FAIL")</f>
        <v>PASS</v>
      </c>
    </row>
    <row r="48" customFormat="false" ht="15" hidden="false" customHeight="false" outlineLevel="0" collapsed="false">
      <c r="B48" s="31" t="n">
        <v>39</v>
      </c>
      <c r="C48" s="9" t="s">
        <v>159</v>
      </c>
      <c r="D48" s="9" t="s">
        <v>163</v>
      </c>
      <c r="E48" s="10" t="n">
        <v>200</v>
      </c>
      <c r="F48" s="35" t="n">
        <f aca="false">Pairs!$C$11</f>
        <v>200</v>
      </c>
      <c r="G48" s="36" t="n">
        <f aca="false">IFERROR(IF(ISNUMBER(F48),F48-E48,"n/a"),"n/a")</f>
        <v>0</v>
      </c>
      <c r="H48" s="37" t="n">
        <v>0.500000001</v>
      </c>
      <c r="I48" s="30" t="str">
        <f aca="false">IFERROR(IF(ISNUMBER(F48),IF(ABS(F48-E48)&lt;=H48,"PASS","FAIL"),"FAIL"),"FAIL")</f>
        <v>PASS</v>
      </c>
    </row>
    <row r="49" customFormat="false" ht="15" hidden="false" customHeight="false" outlineLevel="0" collapsed="false">
      <c r="B49" s="31" t="n">
        <v>40</v>
      </c>
      <c r="C49" s="9" t="s">
        <v>159</v>
      </c>
      <c r="D49" s="9" t="s">
        <v>164</v>
      </c>
      <c r="E49" s="10" t="n">
        <v>45</v>
      </c>
      <c r="F49" s="35" t="n">
        <f aca="false">Pairs!$C$12</f>
        <v>45</v>
      </c>
      <c r="G49" s="36" t="n">
        <f aca="false">IFERROR(IF(ISNUMBER(F49),F49-E49,"n/a"),"n/a")</f>
        <v>0</v>
      </c>
      <c r="H49" s="37" t="n">
        <v>0.500000001</v>
      </c>
      <c r="I49" s="30" t="str">
        <f aca="false">IFERROR(IF(ISNUMBER(F49),IF(ABS(F49-E49)&lt;=H49,"PASS","FAIL"),"FAIL"),"FAIL")</f>
        <v>PASS</v>
      </c>
    </row>
    <row r="50" customFormat="false" ht="15" hidden="false" customHeight="false" outlineLevel="0" collapsed="false">
      <c r="B50" s="31" t="n">
        <v>41</v>
      </c>
      <c r="C50" s="9" t="s">
        <v>159</v>
      </c>
      <c r="D50" s="9" t="s">
        <v>165</v>
      </c>
      <c r="E50" s="10" t="n">
        <v>406000</v>
      </c>
      <c r="F50" s="35" t="n">
        <f aca="false">Pairs!$C$15</f>
        <v>406000</v>
      </c>
      <c r="G50" s="36" t="n">
        <f aca="false">IFERROR(IF(ISNUMBER(F50),F50-E50,"n/a"),"n/a")</f>
        <v>0</v>
      </c>
      <c r="H50" s="37" t="n">
        <v>0.500000001</v>
      </c>
      <c r="I50" s="30" t="str">
        <f aca="false">IFERROR(IF(ISNUMBER(F50),IF(ABS(F50-E50)&lt;=H50,"PASS","FAIL"),"FAIL"),"FAIL")</f>
        <v>PASS</v>
      </c>
    </row>
    <row r="51" customFormat="false" ht="15" hidden="false" customHeight="false" outlineLevel="0" collapsed="false">
      <c r="B51" s="31" t="n">
        <v>42</v>
      </c>
      <c r="C51" s="9" t="s">
        <v>159</v>
      </c>
      <c r="D51" s="9" t="s">
        <v>166</v>
      </c>
      <c r="E51" s="10" t="n">
        <v>391000</v>
      </c>
      <c r="F51" s="35" t="n">
        <f aca="false">Pairs!$C$16</f>
        <v>391000</v>
      </c>
      <c r="G51" s="36" t="n">
        <f aca="false">IFERROR(IF(ISNUMBER(F51),F51-E51,"n/a"),"n/a")</f>
        <v>0</v>
      </c>
      <c r="H51" s="37" t="n">
        <v>0.500000001</v>
      </c>
      <c r="I51" s="30" t="str">
        <f aca="false">IFERROR(IF(ISNUMBER(F51),IF(ABS(F51-E51)&lt;=H51,"PASS","FAIL"),"FAIL"),"FAIL")</f>
        <v>PASS</v>
      </c>
    </row>
    <row r="52" customFormat="false" ht="15" hidden="false" customHeight="false" outlineLevel="0" collapsed="false">
      <c r="B52" s="31" t="n">
        <v>43</v>
      </c>
      <c r="C52" s="9" t="s">
        <v>159</v>
      </c>
      <c r="D52" s="9" t="s">
        <v>167</v>
      </c>
      <c r="E52" s="10" t="n">
        <v>15000</v>
      </c>
      <c r="F52" s="35" t="n">
        <f aca="false">Pairs!$C$17</f>
        <v>15000</v>
      </c>
      <c r="G52" s="36" t="n">
        <f aca="false">IFERROR(IF(ISNUMBER(F52),F52-E52,"n/a"),"n/a")</f>
        <v>0</v>
      </c>
      <c r="H52" s="37" t="n">
        <v>0.500000001</v>
      </c>
      <c r="I52" s="30" t="str">
        <f aca="false">IFERROR(IF(ISNUMBER(F52),IF(ABS(F52-E52)&lt;=H52,"PASS","FAIL"),"FAIL"),"FAIL")</f>
        <v>PASS</v>
      </c>
    </row>
    <row r="53" customFormat="false" ht="15" hidden="false" customHeight="false" outlineLevel="0" collapsed="false">
      <c r="B53" s="31" t="n">
        <v>44</v>
      </c>
      <c r="C53" s="9" t="s">
        <v>123</v>
      </c>
      <c r="D53" s="9" t="s">
        <v>168</v>
      </c>
      <c r="E53" s="23" t="n">
        <v>0.004</v>
      </c>
      <c r="F53" s="39" t="n">
        <f aca="false">Grid!$C$6</f>
        <v>0.004</v>
      </c>
      <c r="G53" s="36" t="n">
        <f aca="false">IFERROR(IF(ISNUMBER(F53),F53-E53,"n/a"),"n/a")</f>
        <v>0</v>
      </c>
      <c r="H53" s="37" t="n">
        <v>0.000500001</v>
      </c>
      <c r="I53" s="30" t="str">
        <f aca="false">IFERROR(IF(ISNUMBER(F53),IF(ABS(F53-E53)&lt;=H53,"PASS","FAIL"),"FAIL"),"FAIL")</f>
        <v>PASS</v>
      </c>
    </row>
    <row r="54" customFormat="false" ht="15" hidden="false" customHeight="false" outlineLevel="0" collapsed="false">
      <c r="B54" s="31" t="n">
        <v>45</v>
      </c>
      <c r="C54" s="9" t="s">
        <v>123</v>
      </c>
      <c r="D54" s="9" t="s">
        <v>169</v>
      </c>
      <c r="E54" s="10" t="n">
        <v>45</v>
      </c>
      <c r="F54" s="35" t="n">
        <f aca="false">Grid!$C$7</f>
        <v>45</v>
      </c>
      <c r="G54" s="36" t="n">
        <f aca="false">IFERROR(IF(ISNUMBER(F54),F54-E54,"n/a"),"n/a")</f>
        <v>0</v>
      </c>
      <c r="H54" s="37" t="n">
        <v>0.500000001</v>
      </c>
      <c r="I54" s="30" t="str">
        <f aca="false">IFERROR(IF(ISNUMBER(F54),IF(ABS(F54-E54)&lt;=H54,"PASS","FAIL"),"FAIL"),"FAIL")</f>
        <v>PASS</v>
      </c>
    </row>
    <row r="55" customFormat="false" ht="15" hidden="false" customHeight="false" outlineLevel="0" collapsed="false">
      <c r="B55" s="31" t="n">
        <v>46</v>
      </c>
      <c r="C55" s="9" t="s">
        <v>123</v>
      </c>
      <c r="D55" s="9" t="s">
        <v>170</v>
      </c>
      <c r="E55" s="10" t="n">
        <v>8000</v>
      </c>
      <c r="F55" s="35" t="n">
        <f aca="false">Grid!$C$8</f>
        <v>8000</v>
      </c>
      <c r="G55" s="36" t="n">
        <f aca="false">IFERROR(IF(ISNUMBER(F55),F55-E55,"n/a"),"n/a")</f>
        <v>0</v>
      </c>
      <c r="H55" s="37" t="n">
        <v>0.500000001</v>
      </c>
      <c r="I55" s="30" t="str">
        <f aca="false">IFERROR(IF(ISNUMBER(F55),IF(ABS(F55-E55)&lt;=H55,"PASS","FAIL"),"FAIL"),"FAIL")</f>
        <v>PASS</v>
      </c>
    </row>
    <row r="56" customFormat="false" ht="15" hidden="false" customHeight="false" outlineLevel="0" collapsed="false">
      <c r="B56" s="31" t="n">
        <v>47</v>
      </c>
      <c r="C56" s="9" t="s">
        <v>123</v>
      </c>
      <c r="D56" s="9" t="s">
        <v>171</v>
      </c>
      <c r="E56" s="10" t="n">
        <v>3500</v>
      </c>
      <c r="F56" s="35" t="n">
        <f aca="false">Grid!$C$9</f>
        <v>3500</v>
      </c>
      <c r="G56" s="36" t="n">
        <f aca="false">IFERROR(IF(ISNUMBER(F56),F56-E56,"n/a"),"n/a")</f>
        <v>0</v>
      </c>
      <c r="H56" s="37" t="n">
        <v>0.500000001</v>
      </c>
      <c r="I56" s="30" t="str">
        <f aca="false">IFERROR(IF(ISNUMBER(F56),IF(ABS(F56-E56)&lt;=H56,"PASS","FAIL"),"FAIL"),"FAIL")</f>
        <v>PASS</v>
      </c>
    </row>
    <row r="57" customFormat="false" ht="15" hidden="false" customHeight="false" outlineLevel="0" collapsed="false">
      <c r="B57" s="31" t="n">
        <v>48</v>
      </c>
      <c r="C57" s="9" t="s">
        <v>123</v>
      </c>
      <c r="D57" s="9" t="s">
        <v>172</v>
      </c>
      <c r="E57" s="10" t="n">
        <v>15000</v>
      </c>
      <c r="F57" s="35" t="n">
        <f aca="false">Grid!$C$10</f>
        <v>15000</v>
      </c>
      <c r="G57" s="36" t="n">
        <f aca="false">IFERROR(IF(ISNUMBER(F57),F57-E57,"n/a"),"n/a")</f>
        <v>0</v>
      </c>
      <c r="H57" s="37" t="n">
        <v>0.500000001</v>
      </c>
      <c r="I57" s="30" t="str">
        <f aca="false">IFERROR(IF(ISNUMBER(F57),IF(ABS(F57-E57)&lt;=H57,"PASS","FAIL"),"FAIL"),"FAIL")</f>
        <v>PASS</v>
      </c>
    </row>
    <row r="58" customFormat="false" ht="15" hidden="false" customHeight="false" outlineLevel="0" collapsed="false">
      <c r="B58" s="31" t="n">
        <v>49</v>
      </c>
      <c r="C58" s="9" t="s">
        <v>123</v>
      </c>
      <c r="D58" s="9" t="s">
        <v>173</v>
      </c>
      <c r="E58" s="10" t="n">
        <v>-12000</v>
      </c>
      <c r="F58" s="35" t="n">
        <f aca="false">Grid!$C$11</f>
        <v>-12000</v>
      </c>
      <c r="G58" s="36" t="n">
        <f aca="false">IFERROR(IF(ISNUMBER(F58),F58-E58,"n/a"),"n/a")</f>
        <v>0</v>
      </c>
      <c r="H58" s="37" t="n">
        <v>0.500000001</v>
      </c>
      <c r="I58" s="30" t="str">
        <f aca="false">IFERROR(IF(ISNUMBER(F58),IF(ABS(F58-E58)&lt;=H58,"PASS","FAIL"),"FAIL"),"FAIL")</f>
        <v>PASS</v>
      </c>
    </row>
    <row r="59" customFormat="false" ht="15" hidden="false" customHeight="false" outlineLevel="0" collapsed="false">
      <c r="B59" s="31" t="n">
        <v>50</v>
      </c>
      <c r="C59" s="9" t="s">
        <v>123</v>
      </c>
      <c r="D59" s="9" t="s">
        <v>174</v>
      </c>
      <c r="E59" s="10" t="n">
        <v>3184</v>
      </c>
      <c r="F59" s="35" t="n">
        <f aca="false">Grid!$C$16</f>
        <v>3184</v>
      </c>
      <c r="G59" s="36" t="n">
        <f aca="false">IFERROR(IF(ISNUMBER(F59),F59-E59,"n/a"),"n/a")</f>
        <v>0</v>
      </c>
      <c r="H59" s="37" t="n">
        <v>0.500000001</v>
      </c>
      <c r="I59" s="30" t="str">
        <f aca="false">IFERROR(IF(ISNUMBER(F59),IF(ABS(F59-E59)&lt;=H59,"PASS","FAIL"),"FAIL"),"FAIL")</f>
        <v>PASS</v>
      </c>
    </row>
    <row r="60" customFormat="false" ht="15" hidden="false" customHeight="false" outlineLevel="0" collapsed="false">
      <c r="B60" s="31" t="n">
        <v>51</v>
      </c>
      <c r="C60" s="9" t="s">
        <v>123</v>
      </c>
      <c r="D60" s="9" t="s">
        <v>175</v>
      </c>
      <c r="E60" s="10" t="n">
        <v>2700</v>
      </c>
      <c r="F60" s="35" t="n">
        <f aca="false">Grid!$C$17</f>
        <v>2700</v>
      </c>
      <c r="G60" s="36" t="n">
        <f aca="false">IFERROR(IF(ISNUMBER(F60),F60-E60,"n/a"),"n/a")</f>
        <v>0</v>
      </c>
      <c r="H60" s="37" t="n">
        <v>0.500000001</v>
      </c>
      <c r="I60" s="30" t="str">
        <f aca="false">IFERROR(IF(ISNUMBER(F60),IF(ABS(F60-E60)&lt;=H60,"PASS","FAIL"),"FAIL"),"FAIL")</f>
        <v>PASS</v>
      </c>
    </row>
    <row r="61" customFormat="false" ht="15" hidden="false" customHeight="false" outlineLevel="0" collapsed="false">
      <c r="B61" s="31" t="n">
        <v>52</v>
      </c>
      <c r="C61" s="9" t="s">
        <v>123</v>
      </c>
      <c r="D61" s="9" t="s">
        <v>176</v>
      </c>
      <c r="E61" s="10" t="n">
        <v>0</v>
      </c>
      <c r="F61" s="35" t="n">
        <f aca="false">Grid!$C$18</f>
        <v>0</v>
      </c>
      <c r="G61" s="36" t="n">
        <f aca="false">IFERROR(IF(ISNUMBER(F61),F61-E61,"n/a"),"n/a")</f>
        <v>0</v>
      </c>
      <c r="H61" s="37" t="n">
        <v>0.500000001</v>
      </c>
      <c r="I61" s="30" t="str">
        <f aca="false">IFERROR(IF(ISNUMBER(F61),IF(ABS(F61-E61)&lt;=H61,"PASS","FAIL"),"FAIL"),"FAIL")</f>
        <v>PASS</v>
      </c>
    </row>
    <row r="62" customFormat="false" ht="15" hidden="false" customHeight="false" outlineLevel="0" collapsed="false">
      <c r="B62" s="31" t="n">
        <v>53</v>
      </c>
      <c r="C62" s="9" t="s">
        <v>123</v>
      </c>
      <c r="D62" s="9" t="s">
        <v>177</v>
      </c>
      <c r="E62" s="10" t="n">
        <v>0</v>
      </c>
      <c r="F62" s="35" t="n">
        <f aca="false">Grid!$C$19</f>
        <v>0</v>
      </c>
      <c r="G62" s="36" t="n">
        <f aca="false">IFERROR(IF(ISNUMBER(F62),F62-E62,"n/a"),"n/a")</f>
        <v>0</v>
      </c>
      <c r="H62" s="37" t="n">
        <v>0.500000001</v>
      </c>
      <c r="I62" s="30" t="str">
        <f aca="false">IFERROR(IF(ISNUMBER(F62),IF(ABS(F62-E62)&lt;=H62,"PASS","FAIL"),"FAIL"),"FAIL")</f>
        <v>PASS</v>
      </c>
    </row>
    <row r="63" customFormat="false" ht="15" hidden="false" customHeight="false" outlineLevel="0" collapsed="false">
      <c r="B63" s="31" t="n">
        <v>54</v>
      </c>
      <c r="C63" s="9" t="s">
        <v>123</v>
      </c>
      <c r="D63" s="9" t="s">
        <v>178</v>
      </c>
      <c r="E63" s="10" t="n">
        <v>0</v>
      </c>
      <c r="F63" s="35" t="n">
        <f aca="false">Grid!$C$20</f>
        <v>0</v>
      </c>
      <c r="G63" s="36" t="n">
        <f aca="false">IFERROR(IF(ISNUMBER(F63),F63-E63,"n/a"),"n/a")</f>
        <v>0</v>
      </c>
      <c r="H63" s="37" t="n">
        <v>0.500000001</v>
      </c>
      <c r="I63" s="30" t="str">
        <f aca="false">IFERROR(IF(ISNUMBER(F63),IF(ABS(F63-E63)&lt;=H63,"PASS","FAIL"),"FAIL"),"FAIL")</f>
        <v>PASS</v>
      </c>
    </row>
    <row r="64" customFormat="false" ht="15" hidden="false" customHeight="false" outlineLevel="0" collapsed="false">
      <c r="B64" s="31" t="n">
        <v>55</v>
      </c>
      <c r="C64" s="9" t="s">
        <v>123</v>
      </c>
      <c r="D64" s="9" t="s">
        <v>179</v>
      </c>
      <c r="E64" s="10" t="n">
        <v>0</v>
      </c>
      <c r="F64" s="35" t="n">
        <f aca="false">Grid!$C$21</f>
        <v>0</v>
      </c>
      <c r="G64" s="36" t="n">
        <f aca="false">IFERROR(IF(ISNUMBER(F64),F64-E64,"n/a"),"n/a")</f>
        <v>0</v>
      </c>
      <c r="H64" s="37" t="n">
        <v>0.500000001</v>
      </c>
      <c r="I64" s="30" t="str">
        <f aca="false">IFERROR(IF(ISNUMBER(F64),IF(ABS(F64-E64)&lt;=H64,"PASS","FAIL"),"FAIL"),"FAIL")</f>
        <v>PASS</v>
      </c>
    </row>
    <row r="65" customFormat="false" ht="15" hidden="false" customHeight="false" outlineLevel="0" collapsed="false">
      <c r="B65" s="31" t="n">
        <v>56</v>
      </c>
      <c r="C65" s="9" t="s">
        <v>123</v>
      </c>
      <c r="D65" s="9" t="s">
        <v>180</v>
      </c>
      <c r="E65" s="10" t="n">
        <v>403884</v>
      </c>
      <c r="F65" s="35" t="n">
        <f aca="false">Grid!$C$22</f>
        <v>403884</v>
      </c>
      <c r="G65" s="36" t="n">
        <f aca="false">IFERROR(IF(ISNUMBER(F65),F65-E65,"n/a"),"n/a")</f>
        <v>0</v>
      </c>
      <c r="H65" s="37" t="n">
        <v>0.500000001</v>
      </c>
      <c r="I65" s="30" t="str">
        <f aca="false">IFERROR(IF(ISNUMBER(F65),IF(ABS(F65-E65)&lt;=H65,"PASS","FAIL"),"FAIL"),"FAIL")</f>
        <v>PASS</v>
      </c>
    </row>
    <row r="66" customFormat="false" ht="15" hidden="false" customHeight="false" outlineLevel="0" collapsed="false">
      <c r="B66" s="31" t="n">
        <v>57</v>
      </c>
      <c r="C66" s="9" t="s">
        <v>123</v>
      </c>
      <c r="D66" s="9" t="s">
        <v>181</v>
      </c>
      <c r="E66" s="23" t="n">
        <v>0.015</v>
      </c>
      <c r="F66" s="39" t="n">
        <f aca="false">Grid!$C$24</f>
        <v>0.01478391959799</v>
      </c>
      <c r="G66" s="36" t="n">
        <f aca="false">IFERROR(IF(ISNUMBER(F66),F66-E66,"n/a"),"n/a")</f>
        <v>-0.000216080402010049</v>
      </c>
      <c r="H66" s="37" t="n">
        <v>0.000500001</v>
      </c>
      <c r="I66" s="30" t="str">
        <f aca="false">IFERROR(IF(ISNUMBER(F66),IF(ABS(F66-E66)&lt;=H66,"PASS","FAIL"),"FAIL"),"FAIL")</f>
        <v>PASS</v>
      </c>
    </row>
    <row r="67" customFormat="false" ht="15" hidden="false" customHeight="false" outlineLevel="0" collapsed="false">
      <c r="B67" s="31" t="n">
        <v>58</v>
      </c>
      <c r="C67" s="9" t="s">
        <v>123</v>
      </c>
      <c r="D67" s="9" t="s">
        <v>182</v>
      </c>
      <c r="E67" s="23" t="n">
        <v>0.015</v>
      </c>
      <c r="F67" s="39" t="n">
        <f aca="false">Grid!$C$26</f>
        <v>0.01478391959799</v>
      </c>
      <c r="G67" s="36" t="n">
        <f aca="false">IFERROR(IF(ISNUMBER(F67),F67-E67,"n/a"),"n/a")</f>
        <v>-0.000216080402010049</v>
      </c>
      <c r="H67" s="37" t="n">
        <v>0.000500001</v>
      </c>
      <c r="I67" s="30" t="str">
        <f aca="false">IFERROR(IF(ISNUMBER(F67),IF(ABS(F67-E67)&lt;=H67,"PASS","FAIL"),"FAIL"),"FAIL")</f>
        <v>PASS</v>
      </c>
    </row>
    <row r="68" customFormat="false" ht="15" hidden="false" customHeight="false" outlineLevel="0" collapsed="false">
      <c r="B68" s="31" t="n">
        <v>59</v>
      </c>
      <c r="C68" s="9" t="s">
        <v>123</v>
      </c>
      <c r="D68" s="9" t="s">
        <v>183</v>
      </c>
      <c r="E68" s="10" t="n">
        <v>6640</v>
      </c>
      <c r="F68" s="35" t="n">
        <f aca="false">Grid!$D$16</f>
        <v>6640</v>
      </c>
      <c r="G68" s="36" t="n">
        <f aca="false">IFERROR(IF(ISNUMBER(F68),F68-E68,"n/a"),"n/a")</f>
        <v>0</v>
      </c>
      <c r="H68" s="37" t="n">
        <v>0.500000001</v>
      </c>
      <c r="I68" s="30" t="str">
        <f aca="false">IFERROR(IF(ISNUMBER(F68),IF(ABS(F68-E68)&lt;=H68,"PASS","FAIL"),"FAIL"),"FAIL")</f>
        <v>PASS</v>
      </c>
    </row>
    <row r="69" customFormat="false" ht="15" hidden="false" customHeight="false" outlineLevel="0" collapsed="false">
      <c r="B69" s="31" t="n">
        <v>60</v>
      </c>
      <c r="C69" s="9" t="s">
        <v>123</v>
      </c>
      <c r="D69" s="9" t="s">
        <v>184</v>
      </c>
      <c r="E69" s="10" t="n">
        <v>-4950</v>
      </c>
      <c r="F69" s="35" t="n">
        <f aca="false">Grid!$D$17</f>
        <v>-4950</v>
      </c>
      <c r="G69" s="36" t="n">
        <f aca="false">IFERROR(IF(ISNUMBER(F69),F69-E69,"n/a"),"n/a")</f>
        <v>0</v>
      </c>
      <c r="H69" s="37" t="n">
        <v>0.500000001</v>
      </c>
      <c r="I69" s="30" t="str">
        <f aca="false">IFERROR(IF(ISNUMBER(F69),IF(ABS(F69-E69)&lt;=H69,"PASS","FAIL"),"FAIL"),"FAIL")</f>
        <v>PASS</v>
      </c>
    </row>
    <row r="70" customFormat="false" ht="15" hidden="false" customHeight="false" outlineLevel="0" collapsed="false">
      <c r="B70" s="31" t="n">
        <v>61</v>
      </c>
      <c r="C70" s="9" t="s">
        <v>123</v>
      </c>
      <c r="D70" s="9" t="s">
        <v>185</v>
      </c>
      <c r="E70" s="10" t="n">
        <v>0</v>
      </c>
      <c r="F70" s="35" t="n">
        <f aca="false">Grid!$D$18</f>
        <v>0</v>
      </c>
      <c r="G70" s="36" t="n">
        <f aca="false">IFERROR(IF(ISNUMBER(F70),F70-E70,"n/a"),"n/a")</f>
        <v>0</v>
      </c>
      <c r="H70" s="37" t="n">
        <v>0.500000001</v>
      </c>
      <c r="I70" s="30" t="str">
        <f aca="false">IFERROR(IF(ISNUMBER(F70),IF(ABS(F70-E70)&lt;=H70,"PASS","FAIL"),"FAIL"),"FAIL")</f>
        <v>PASS</v>
      </c>
    </row>
    <row r="71" customFormat="false" ht="15" hidden="false" customHeight="false" outlineLevel="0" collapsed="false">
      <c r="B71" s="31" t="n">
        <v>62</v>
      </c>
      <c r="C71" s="9" t="s">
        <v>123</v>
      </c>
      <c r="D71" s="9" t="s">
        <v>186</v>
      </c>
      <c r="E71" s="10" t="n">
        <v>-3500</v>
      </c>
      <c r="F71" s="35" t="n">
        <f aca="false">Grid!$D$19</f>
        <v>-3500</v>
      </c>
      <c r="G71" s="36" t="n">
        <f aca="false">IFERROR(IF(ISNUMBER(F71),F71-E71,"n/a"),"n/a")</f>
        <v>0</v>
      </c>
      <c r="H71" s="37" t="n">
        <v>0.500000001</v>
      </c>
      <c r="I71" s="30" t="str">
        <f aca="false">IFERROR(IF(ISNUMBER(F71),IF(ABS(F71-E71)&lt;=H71,"PASS","FAIL"),"FAIL"),"FAIL")</f>
        <v>PASS</v>
      </c>
    </row>
    <row r="72" customFormat="false" ht="15" hidden="false" customHeight="false" outlineLevel="0" collapsed="false">
      <c r="B72" s="31" t="n">
        <v>63</v>
      </c>
      <c r="C72" s="9" t="s">
        <v>123</v>
      </c>
      <c r="D72" s="9" t="s">
        <v>187</v>
      </c>
      <c r="E72" s="10" t="n">
        <v>-15000</v>
      </c>
      <c r="F72" s="35" t="n">
        <f aca="false">Grid!$D$20</f>
        <v>-15000</v>
      </c>
      <c r="G72" s="36" t="n">
        <f aca="false">IFERROR(IF(ISNUMBER(F72),F72-E72,"n/a"),"n/a")</f>
        <v>0</v>
      </c>
      <c r="H72" s="37" t="n">
        <v>0.500000001</v>
      </c>
      <c r="I72" s="30" t="str">
        <f aca="false">IFERROR(IF(ISNUMBER(F72),IF(ABS(F72-E72)&lt;=H72,"PASS","FAIL"),"FAIL"),"FAIL")</f>
        <v>PASS</v>
      </c>
    </row>
    <row r="73" customFormat="false" ht="15" hidden="false" customHeight="false" outlineLevel="0" collapsed="false">
      <c r="B73" s="31" t="n">
        <v>64</v>
      </c>
      <c r="C73" s="9" t="s">
        <v>123</v>
      </c>
      <c r="D73" s="9" t="s">
        <v>188</v>
      </c>
      <c r="E73" s="10" t="n">
        <v>0</v>
      </c>
      <c r="F73" s="35" t="n">
        <f aca="false">Grid!$D$21</f>
        <v>0</v>
      </c>
      <c r="G73" s="36" t="n">
        <f aca="false">IFERROR(IF(ISNUMBER(F73),F73-E73,"n/a"),"n/a")</f>
        <v>0</v>
      </c>
      <c r="H73" s="37" t="n">
        <v>0.500000001</v>
      </c>
      <c r="I73" s="30" t="str">
        <f aca="false">IFERROR(IF(ISNUMBER(F73),IF(ABS(F73-E73)&lt;=H73,"PASS","FAIL"),"FAIL"),"FAIL")</f>
        <v>PASS</v>
      </c>
    </row>
    <row r="74" customFormat="false" ht="15" hidden="false" customHeight="false" outlineLevel="0" collapsed="false">
      <c r="B74" s="31" t="n">
        <v>65</v>
      </c>
      <c r="C74" s="9" t="s">
        <v>123</v>
      </c>
      <c r="D74" s="9" t="s">
        <v>189</v>
      </c>
      <c r="E74" s="10" t="n">
        <v>398190</v>
      </c>
      <c r="F74" s="35" t="n">
        <f aca="false">Grid!$D$22</f>
        <v>398190</v>
      </c>
      <c r="G74" s="36" t="n">
        <f aca="false">IFERROR(IF(ISNUMBER(F74),F74-E74,"n/a"),"n/a")</f>
        <v>0</v>
      </c>
      <c r="H74" s="37" t="n">
        <v>0.500000001</v>
      </c>
      <c r="I74" s="30" t="str">
        <f aca="false">IFERROR(IF(ISNUMBER(F74),IF(ABS(F74-E74)&lt;=H74,"PASS","FAIL"),"FAIL"),"FAIL")</f>
        <v>PASS</v>
      </c>
    </row>
    <row r="75" customFormat="false" ht="15" hidden="false" customHeight="false" outlineLevel="0" collapsed="false">
      <c r="B75" s="31" t="n">
        <v>66</v>
      </c>
      <c r="C75" s="9" t="s">
        <v>123</v>
      </c>
      <c r="D75" s="9" t="s">
        <v>190</v>
      </c>
      <c r="E75" s="23" t="n">
        <v>0.073</v>
      </c>
      <c r="F75" s="39" t="n">
        <f aca="false">Grid!$D$24</f>
        <v>0.0725060240963855</v>
      </c>
      <c r="G75" s="36" t="n">
        <f aca="false">IFERROR(IF(ISNUMBER(F75),F75-E75,"n/a"),"n/a")</f>
        <v>-0.000493975903614455</v>
      </c>
      <c r="H75" s="37" t="n">
        <v>0.000500001</v>
      </c>
      <c r="I75" s="30" t="str">
        <f aca="false">IFERROR(IF(ISNUMBER(F75),IF(ABS(F75-E75)&lt;=H75,"PASS","FAIL"),"FAIL"),"FAIL")</f>
        <v>PASS</v>
      </c>
    </row>
    <row r="76" customFormat="false" ht="15" hidden="false" customHeight="false" outlineLevel="0" collapsed="false">
      <c r="B76" s="31" t="n">
        <v>67</v>
      </c>
      <c r="C76" s="9" t="s">
        <v>123</v>
      </c>
      <c r="D76" s="9" t="s">
        <v>191</v>
      </c>
      <c r="E76" s="23" t="n">
        <v>-0.041</v>
      </c>
      <c r="F76" s="39" t="n">
        <f aca="false">Grid!$D$26</f>
        <v>-0.0405060240963855</v>
      </c>
      <c r="G76" s="36" t="n">
        <f aca="false">IFERROR(IF(ISNUMBER(F76),F76-E76,"n/a"),"n/a")</f>
        <v>0.000493975903614448</v>
      </c>
      <c r="H76" s="37" t="n">
        <v>0.000500001</v>
      </c>
      <c r="I76" s="30" t="str">
        <f aca="false">IFERROR(IF(ISNUMBER(F76),IF(ABS(F76-E76)&lt;=H76,"PASS","FAIL"),"FAIL"),"FAIL")</f>
        <v>PASS</v>
      </c>
    </row>
    <row r="77" customFormat="false" ht="15" hidden="false" customHeight="false" outlineLevel="0" collapsed="false">
      <c r="B77" s="31" t="n">
        <v>68</v>
      </c>
      <c r="C77" s="9" t="s">
        <v>123</v>
      </c>
      <c r="D77" s="9" t="s">
        <v>192</v>
      </c>
      <c r="E77" s="10" t="n">
        <v>4578</v>
      </c>
      <c r="F77" s="35" t="n">
        <f aca="false">Grid!$E$16</f>
        <v>4578</v>
      </c>
      <c r="G77" s="36" t="n">
        <f aca="false">IFERROR(IF(ISNUMBER(F77),F77-E77,"n/a"),"n/a")</f>
        <v>0</v>
      </c>
      <c r="H77" s="37" t="n">
        <v>0.500000001</v>
      </c>
      <c r="I77" s="30" t="str">
        <f aca="false">IFERROR(IF(ISNUMBER(F77),IF(ABS(F77-E77)&lt;=H77,"PASS","FAIL"),"FAIL"),"FAIL")</f>
        <v>PASS</v>
      </c>
    </row>
    <row r="78" customFormat="false" ht="15" hidden="false" customHeight="false" outlineLevel="0" collapsed="false">
      <c r="B78" s="31" t="n">
        <v>69</v>
      </c>
      <c r="C78" s="9" t="s">
        <v>123</v>
      </c>
      <c r="D78" s="9" t="s">
        <v>193</v>
      </c>
      <c r="E78" s="10" t="n">
        <v>5850</v>
      </c>
      <c r="F78" s="35" t="n">
        <f aca="false">Grid!$E$17</f>
        <v>5850</v>
      </c>
      <c r="G78" s="36" t="n">
        <f aca="false">IFERROR(IF(ISNUMBER(F78),F78-E78,"n/a"),"n/a")</f>
        <v>0</v>
      </c>
      <c r="H78" s="37" t="n">
        <v>0.500000001</v>
      </c>
      <c r="I78" s="30" t="str">
        <f aca="false">IFERROR(IF(ISNUMBER(F78),IF(ABS(F78-E78)&lt;=H78,"PASS","FAIL"),"FAIL"),"FAIL")</f>
        <v>PASS</v>
      </c>
    </row>
    <row r="79" customFormat="false" ht="15" hidden="false" customHeight="false" outlineLevel="0" collapsed="false">
      <c r="B79" s="31" t="n">
        <v>70</v>
      </c>
      <c r="C79" s="9" t="s">
        <v>123</v>
      </c>
      <c r="D79" s="9" t="s">
        <v>194</v>
      </c>
      <c r="E79" s="10" t="n">
        <v>8000</v>
      </c>
      <c r="F79" s="35" t="n">
        <f aca="false">Grid!$E$18</f>
        <v>8000</v>
      </c>
      <c r="G79" s="36" t="n">
        <f aca="false">IFERROR(IF(ISNUMBER(F79),F79-E79,"n/a"),"n/a")</f>
        <v>0</v>
      </c>
      <c r="H79" s="37" t="n">
        <v>0.500000001</v>
      </c>
      <c r="I79" s="30" t="str">
        <f aca="false">IFERROR(IF(ISNUMBER(F79),IF(ABS(F79-E79)&lt;=H79,"PASS","FAIL"),"FAIL"),"FAIL")</f>
        <v>PASS</v>
      </c>
    </row>
    <row r="80" customFormat="false" ht="15" hidden="false" customHeight="false" outlineLevel="0" collapsed="false">
      <c r="B80" s="31" t="n">
        <v>71</v>
      </c>
      <c r="C80" s="9" t="s">
        <v>123</v>
      </c>
      <c r="D80" s="9" t="s">
        <v>195</v>
      </c>
      <c r="E80" s="10" t="n">
        <v>0</v>
      </c>
      <c r="F80" s="35" t="n">
        <f aca="false">Grid!$E$19</f>
        <v>0</v>
      </c>
      <c r="G80" s="36" t="n">
        <f aca="false">IFERROR(IF(ISNUMBER(F80),F80-E80,"n/a"),"n/a")</f>
        <v>0</v>
      </c>
      <c r="H80" s="37" t="n">
        <v>0.500000001</v>
      </c>
      <c r="I80" s="30" t="str">
        <f aca="false">IFERROR(IF(ISNUMBER(F80),IF(ABS(F80-E80)&lt;=H80,"PASS","FAIL"),"FAIL"),"FAIL")</f>
        <v>PASS</v>
      </c>
    </row>
    <row r="81" customFormat="false" ht="15" hidden="false" customHeight="false" outlineLevel="0" collapsed="false">
      <c r="B81" s="31" t="n">
        <v>72</v>
      </c>
      <c r="C81" s="9" t="s">
        <v>123</v>
      </c>
      <c r="D81" s="9" t="s">
        <v>196</v>
      </c>
      <c r="E81" s="10" t="n">
        <v>0</v>
      </c>
      <c r="F81" s="35" t="n">
        <f aca="false">Grid!$E$20</f>
        <v>0</v>
      </c>
      <c r="G81" s="36" t="n">
        <f aca="false">IFERROR(IF(ISNUMBER(F81),F81-E81,"n/a"),"n/a")</f>
        <v>0</v>
      </c>
      <c r="H81" s="37" t="n">
        <v>0.500000001</v>
      </c>
      <c r="I81" s="30" t="str">
        <f aca="false">IFERROR(IF(ISNUMBER(F81),IF(ABS(F81-E81)&lt;=H81,"PASS","FAIL"),"FAIL"),"FAIL")</f>
        <v>PASS</v>
      </c>
    </row>
    <row r="82" customFormat="false" ht="15" hidden="false" customHeight="false" outlineLevel="0" collapsed="false">
      <c r="B82" s="31" t="n">
        <v>73</v>
      </c>
      <c r="C82" s="9" t="s">
        <v>123</v>
      </c>
      <c r="D82" s="9" t="s">
        <v>197</v>
      </c>
      <c r="E82" s="10" t="n">
        <v>0</v>
      </c>
      <c r="F82" s="35" t="n">
        <f aca="false">Grid!$E$21</f>
        <v>0</v>
      </c>
      <c r="G82" s="36" t="n">
        <f aca="false">IFERROR(IF(ISNUMBER(F82),F82-E82,"n/a"),"n/a")</f>
        <v>0</v>
      </c>
      <c r="H82" s="37" t="n">
        <v>0.500000001</v>
      </c>
      <c r="I82" s="30" t="str">
        <f aca="false">IFERROR(IF(ISNUMBER(F82),IF(ABS(F82-E82)&lt;=H82,"PASS","FAIL"),"FAIL"),"FAIL")</f>
        <v>PASS</v>
      </c>
    </row>
    <row r="83" customFormat="false" ht="15" hidden="false" customHeight="false" outlineLevel="0" collapsed="false">
      <c r="B83" s="31" t="n">
        <v>74</v>
      </c>
      <c r="C83" s="9" t="s">
        <v>123</v>
      </c>
      <c r="D83" s="9" t="s">
        <v>198</v>
      </c>
      <c r="E83" s="10" t="n">
        <v>399928</v>
      </c>
      <c r="F83" s="35" t="n">
        <f aca="false">Grid!$E$22</f>
        <v>399928</v>
      </c>
      <c r="G83" s="36" t="n">
        <f aca="false">IFERROR(IF(ISNUMBER(F83),F83-E83,"n/a"),"n/a")</f>
        <v>0</v>
      </c>
      <c r="H83" s="37" t="n">
        <v>0.500000001</v>
      </c>
      <c r="I83" s="30" t="str">
        <f aca="false">IFERROR(IF(ISNUMBER(F83),IF(ABS(F83-E83)&lt;=H83,"PASS","FAIL"),"FAIL"),"FAIL")</f>
        <v>PASS</v>
      </c>
    </row>
    <row r="84" customFormat="false" ht="15" hidden="false" customHeight="false" outlineLevel="0" collapsed="false">
      <c r="B84" s="31" t="n">
        <v>75</v>
      </c>
      <c r="C84" s="9" t="s">
        <v>123</v>
      </c>
      <c r="D84" s="9" t="s">
        <v>199</v>
      </c>
      <c r="E84" s="23" t="n">
        <v>0.048</v>
      </c>
      <c r="F84" s="39" t="n">
        <f aca="false">Grid!$E$24</f>
        <v>0.0483040629095675</v>
      </c>
      <c r="G84" s="36" t="n">
        <f aca="false">IFERROR(IF(ISNUMBER(F84),F84-E84,"n/a"),"n/a")</f>
        <v>0.000304062909567499</v>
      </c>
      <c r="H84" s="37" t="n">
        <v>0.000500001</v>
      </c>
      <c r="I84" s="30" t="str">
        <f aca="false">IFERROR(IF(ISNUMBER(F84),IF(ABS(F84-E84)&lt;=H84,"PASS","FAIL"),"FAIL"),"FAIL")</f>
        <v>PASS</v>
      </c>
    </row>
    <row r="85" customFormat="false" ht="15" hidden="false" customHeight="false" outlineLevel="0" collapsed="false">
      <c r="B85" s="31" t="n">
        <v>76</v>
      </c>
      <c r="C85" s="9" t="s">
        <v>123</v>
      </c>
      <c r="D85" s="9" t="s">
        <v>200</v>
      </c>
      <c r="E85" s="23" t="n">
        <v>0.048</v>
      </c>
      <c r="F85" s="39" t="n">
        <f aca="false">Grid!$E$26</f>
        <v>0.0483040629095675</v>
      </c>
      <c r="G85" s="36" t="n">
        <f aca="false">IFERROR(IF(ISNUMBER(F85),F85-E85,"n/a"),"n/a")</f>
        <v>0.000304062909567499</v>
      </c>
      <c r="H85" s="37" t="n">
        <v>0.000500001</v>
      </c>
      <c r="I85" s="30" t="str">
        <f aca="false">IFERROR(IF(ISNUMBER(F85),IF(ABS(F85-E85)&lt;=H85,"PASS","FAIL"),"FAIL"),"FAIL")</f>
        <v>PASS</v>
      </c>
    </row>
    <row r="86" customFormat="false" ht="15" hidden="false" customHeight="false" outlineLevel="0" collapsed="false">
      <c r="B86" s="31" t="n">
        <v>77</v>
      </c>
      <c r="C86" s="9" t="s">
        <v>123</v>
      </c>
      <c r="D86" s="9" t="s">
        <v>201</v>
      </c>
      <c r="E86" s="10" t="n">
        <v>1676</v>
      </c>
      <c r="F86" s="35" t="n">
        <f aca="false">Grid!$F$16</f>
        <v>1676</v>
      </c>
      <c r="G86" s="36" t="n">
        <f aca="false">IFERROR(IF(ISNUMBER(F86),F86-E86,"n/a"),"n/a")</f>
        <v>0</v>
      </c>
      <c r="H86" s="37" t="n">
        <v>0.500000001</v>
      </c>
      <c r="I86" s="30" t="str">
        <f aca="false">IFERROR(IF(ISNUMBER(F86),IF(ABS(F86-E86)&lt;=H86,"PASS","FAIL"),"FAIL"),"FAIL")</f>
        <v>PASS</v>
      </c>
    </row>
    <row r="87" customFormat="false" ht="15" hidden="false" customHeight="false" outlineLevel="0" collapsed="false">
      <c r="B87" s="31" t="n">
        <v>78</v>
      </c>
      <c r="C87" s="9" t="s">
        <v>123</v>
      </c>
      <c r="D87" s="9" t="s">
        <v>202</v>
      </c>
      <c r="E87" s="10" t="n">
        <v>-2250</v>
      </c>
      <c r="F87" s="35" t="n">
        <f aca="false">Grid!$F$17</f>
        <v>-2250</v>
      </c>
      <c r="G87" s="36" t="n">
        <f aca="false">IFERROR(IF(ISNUMBER(F87),F87-E87,"n/a"),"n/a")</f>
        <v>0</v>
      </c>
      <c r="H87" s="37" t="n">
        <v>0.500000001</v>
      </c>
      <c r="I87" s="30" t="str">
        <f aca="false">IFERROR(IF(ISNUMBER(F87),IF(ABS(F87-E87)&lt;=H87,"PASS","FAIL"),"FAIL"),"FAIL")</f>
        <v>PASS</v>
      </c>
    </row>
    <row r="88" customFormat="false" ht="15" hidden="false" customHeight="false" outlineLevel="0" collapsed="false">
      <c r="B88" s="31" t="n">
        <v>79</v>
      </c>
      <c r="C88" s="9" t="s">
        <v>123</v>
      </c>
      <c r="D88" s="9" t="s">
        <v>203</v>
      </c>
      <c r="E88" s="10" t="n">
        <v>0</v>
      </c>
      <c r="F88" s="35" t="n">
        <f aca="false">Grid!$F$18</f>
        <v>0</v>
      </c>
      <c r="G88" s="36" t="n">
        <f aca="false">IFERROR(IF(ISNUMBER(F88),F88-E88,"n/a"),"n/a")</f>
        <v>0</v>
      </c>
      <c r="H88" s="37" t="n">
        <v>0.500000001</v>
      </c>
      <c r="I88" s="30" t="str">
        <f aca="false">IFERROR(IF(ISNUMBER(F88),IF(ABS(F88-E88)&lt;=H88,"PASS","FAIL"),"FAIL"),"FAIL")</f>
        <v>PASS</v>
      </c>
    </row>
    <row r="89" customFormat="false" ht="15" hidden="false" customHeight="false" outlineLevel="0" collapsed="false">
      <c r="B89" s="31" t="n">
        <v>80</v>
      </c>
      <c r="C89" s="9" t="s">
        <v>123</v>
      </c>
      <c r="D89" s="9" t="s">
        <v>204</v>
      </c>
      <c r="E89" s="10" t="n">
        <v>0</v>
      </c>
      <c r="F89" s="35" t="n">
        <f aca="false">Grid!$F$19</f>
        <v>0</v>
      </c>
      <c r="G89" s="36" t="n">
        <f aca="false">IFERROR(IF(ISNUMBER(F89),F89-E89,"n/a"),"n/a")</f>
        <v>0</v>
      </c>
      <c r="H89" s="37" t="n">
        <v>0.500000001</v>
      </c>
      <c r="I89" s="30" t="str">
        <f aca="false">IFERROR(IF(ISNUMBER(F89),IF(ABS(F89-E89)&lt;=H89,"PASS","FAIL"),"FAIL"),"FAIL")</f>
        <v>PASS</v>
      </c>
    </row>
    <row r="90" customFormat="false" ht="15" hidden="false" customHeight="false" outlineLevel="0" collapsed="false">
      <c r="B90" s="31" t="n">
        <v>81</v>
      </c>
      <c r="C90" s="9" t="s">
        <v>123</v>
      </c>
      <c r="D90" s="9" t="s">
        <v>205</v>
      </c>
      <c r="E90" s="10" t="n">
        <v>0</v>
      </c>
      <c r="F90" s="35" t="n">
        <f aca="false">Grid!$F$20</f>
        <v>0</v>
      </c>
      <c r="G90" s="36" t="n">
        <f aca="false">IFERROR(IF(ISNUMBER(F90),F90-E90,"n/a"),"n/a")</f>
        <v>0</v>
      </c>
      <c r="H90" s="37" t="n">
        <v>0.500000001</v>
      </c>
      <c r="I90" s="30" t="str">
        <f aca="false">IFERROR(IF(ISNUMBER(F90),IF(ABS(F90-E90)&lt;=H90,"PASS","FAIL"),"FAIL"),"FAIL")</f>
        <v>PASS</v>
      </c>
    </row>
    <row r="91" customFormat="false" ht="15" hidden="false" customHeight="false" outlineLevel="0" collapsed="false">
      <c r="B91" s="31" t="n">
        <v>82</v>
      </c>
      <c r="C91" s="9" t="s">
        <v>123</v>
      </c>
      <c r="D91" s="9" t="s">
        <v>206</v>
      </c>
      <c r="E91" s="10" t="n">
        <v>-12000</v>
      </c>
      <c r="F91" s="35" t="n">
        <f aca="false">Grid!$F$21</f>
        <v>-12000</v>
      </c>
      <c r="G91" s="36" t="n">
        <f aca="false">IFERROR(IF(ISNUMBER(F91),F91-E91,"n/a"),"n/a")</f>
        <v>0</v>
      </c>
      <c r="H91" s="37" t="n">
        <v>0.500000001</v>
      </c>
      <c r="I91" s="30" t="str">
        <f aca="false">IFERROR(IF(ISNUMBER(F91),IF(ABS(F91-E91)&lt;=H91,"PASS","FAIL"),"FAIL"),"FAIL")</f>
        <v>PASS</v>
      </c>
    </row>
    <row r="92" customFormat="false" ht="15" hidden="false" customHeight="false" outlineLevel="0" collapsed="false">
      <c r="B92" s="31" t="n">
        <v>83</v>
      </c>
      <c r="C92" s="9" t="s">
        <v>123</v>
      </c>
      <c r="D92" s="9" t="s">
        <v>207</v>
      </c>
      <c r="E92" s="10" t="n">
        <v>406426</v>
      </c>
      <c r="F92" s="35" t="n">
        <f aca="false">Grid!$F$22</f>
        <v>406426</v>
      </c>
      <c r="G92" s="36" t="n">
        <f aca="false">IFERROR(IF(ISNUMBER(F92),F92-E92,"n/a"),"n/a")</f>
        <v>0</v>
      </c>
      <c r="H92" s="37" t="n">
        <v>0.500000001</v>
      </c>
      <c r="I92" s="30" t="str">
        <f aca="false">IFERROR(IF(ISNUMBER(F92),IF(ABS(F92-E92)&lt;=H92,"PASS","FAIL"),"FAIL"),"FAIL")</f>
        <v>PASS</v>
      </c>
    </row>
    <row r="93" customFormat="false" ht="15" hidden="false" customHeight="false" outlineLevel="0" collapsed="false">
      <c r="B93" s="31" t="n">
        <v>84</v>
      </c>
      <c r="C93" s="9" t="s">
        <v>123</v>
      </c>
      <c r="D93" s="9" t="s">
        <v>208</v>
      </c>
      <c r="E93" s="23" t="n">
        <v>0.038</v>
      </c>
      <c r="F93" s="39" t="n">
        <f aca="false">Grid!$F$24</f>
        <v>0.0380095465393795</v>
      </c>
      <c r="G93" s="36" t="n">
        <f aca="false">IFERROR(IF(ISNUMBER(F93),F93-E93,"n/a"),"n/a")</f>
        <v>9.54653937947775E-006</v>
      </c>
      <c r="H93" s="37" t="n">
        <v>0.000500001</v>
      </c>
      <c r="I93" s="30" t="str">
        <f aca="false">IFERROR(IF(ISNUMBER(F93),IF(ABS(F93-E93)&lt;=H93,"PASS","FAIL"),"FAIL"),"FAIL")</f>
        <v>PASS</v>
      </c>
    </row>
    <row r="94" customFormat="false" ht="15" hidden="false" customHeight="false" outlineLevel="0" collapsed="false">
      <c r="B94" s="31" t="n">
        <v>85</v>
      </c>
      <c r="C94" s="9" t="s">
        <v>123</v>
      </c>
      <c r="D94" s="9" t="s">
        <v>209</v>
      </c>
      <c r="E94" s="23" t="n">
        <v>-0.03</v>
      </c>
      <c r="F94" s="39" t="n">
        <f aca="false">Grid!$F$26</f>
        <v>-0.0300095465393795</v>
      </c>
      <c r="G94" s="36" t="n">
        <f aca="false">IFERROR(IF(ISNUMBER(F94),F94-E94,"n/a"),"n/a")</f>
        <v>-9.54653937947775E-006</v>
      </c>
      <c r="H94" s="37" t="n">
        <v>0.000500001</v>
      </c>
      <c r="I94" s="30" t="str">
        <f aca="false">IFERROR(IF(ISNUMBER(F94),IF(ABS(F94-E94)&lt;=H94,"PASS","FAIL"),"FAIL"),"FAIL")</f>
        <v>PASS</v>
      </c>
    </row>
    <row r="95" customFormat="false" ht="15" hidden="false" customHeight="false" outlineLevel="0" collapsed="false">
      <c r="B95" s="31" t="n">
        <v>86</v>
      </c>
      <c r="C95" s="9" t="s">
        <v>123</v>
      </c>
      <c r="D95" s="9" t="s">
        <v>210</v>
      </c>
      <c r="E95" s="10" t="n">
        <v>398190</v>
      </c>
      <c r="F95" s="35" t="n">
        <f aca="false">Grid!$C$29</f>
        <v>398190</v>
      </c>
      <c r="G95" s="36" t="n">
        <f aca="false">IFERROR(IF(ISNUMBER(F95),F95-E95,"n/a"),"n/a")</f>
        <v>0</v>
      </c>
      <c r="H95" s="37" t="n">
        <v>0.500000001</v>
      </c>
      <c r="I95" s="30" t="str">
        <f aca="false">IFERROR(IF(ISNUMBER(F95),IF(ABS(F95-E95)&lt;=H95,"PASS","FAIL"),"FAIL"),"FAIL")</f>
        <v>PASS</v>
      </c>
    </row>
    <row r="96" customFormat="false" ht="15" hidden="false" customHeight="false" outlineLevel="0" collapsed="false">
      <c r="B96" s="31" t="n">
        <v>87</v>
      </c>
      <c r="C96" s="9" t="s">
        <v>123</v>
      </c>
      <c r="D96" s="9" t="s">
        <v>211</v>
      </c>
      <c r="E96" s="10" t="n">
        <v>403884</v>
      </c>
      <c r="F96" s="35" t="n">
        <f aca="false">Grid!$C$30</f>
        <v>403884</v>
      </c>
      <c r="G96" s="36" t="n">
        <f aca="false">IFERROR(IF(ISNUMBER(F96),F96-E96,"n/a"),"n/a")</f>
        <v>0</v>
      </c>
      <c r="H96" s="37" t="n">
        <v>0.500000001</v>
      </c>
      <c r="I96" s="30" t="str">
        <f aca="false">IFERROR(IF(ISNUMBER(F96),IF(ABS(F96-E96)&lt;=H96,"PASS","FAIL"),"FAIL"),"FAIL")</f>
        <v>PASS</v>
      </c>
    </row>
    <row r="97" customFormat="false" ht="15" hidden="false" customHeight="false" outlineLevel="0" collapsed="false">
      <c r="B97" s="31" t="n">
        <v>88</v>
      </c>
      <c r="C97" s="9" t="s">
        <v>123</v>
      </c>
      <c r="D97" s="9" t="s">
        <v>212</v>
      </c>
      <c r="E97" s="10" t="n">
        <v>400667</v>
      </c>
      <c r="F97" s="35" t="n">
        <f aca="false">Grid!$C$31</f>
        <v>400667.333333333</v>
      </c>
      <c r="G97" s="36" t="n">
        <f aca="false">IFERROR(IF(ISNUMBER(F97),F97-E97,"n/a"),"n/a")</f>
        <v>0.333333333313931</v>
      </c>
      <c r="H97" s="37" t="n">
        <v>0.500000001</v>
      </c>
      <c r="I97" s="30" t="str">
        <f aca="false">IFERROR(IF(ISNUMBER(F97),IF(ABS(F97-E97)&lt;=H97,"PASS","FAIL"),"FAIL"),"FAIL")</f>
        <v>PASS</v>
      </c>
    </row>
    <row r="98" customFormat="false" ht="15" hidden="false" customHeight="false" outlineLevel="0" collapsed="false">
      <c r="B98" s="31" t="n">
        <v>89</v>
      </c>
      <c r="C98" s="9" t="s">
        <v>123</v>
      </c>
      <c r="D98" s="9" t="s">
        <v>213</v>
      </c>
      <c r="E98" s="10" t="n">
        <v>402000</v>
      </c>
      <c r="F98" s="35" t="n">
        <f aca="false">Grid!$C$32</f>
        <v>402000</v>
      </c>
      <c r="G98" s="36" t="n">
        <f aca="false">IFERROR(IF(ISNUMBER(F98),F98-E98,"n/a"),"n/a")</f>
        <v>0</v>
      </c>
      <c r="H98" s="37" t="n">
        <v>0.500000001</v>
      </c>
      <c r="I98" s="30" t="str">
        <f aca="false">IFERROR(IF(ISNUMBER(F98),IF(ABS(F98-E98)&lt;=H98,"PASS","FAIL"),"FAIL"),"FAIL")</f>
        <v>PASS</v>
      </c>
    </row>
    <row r="99" customFormat="false" ht="15" hidden="false" customHeight="false" outlineLevel="0" collapsed="false">
      <c r="B99" s="31" t="n">
        <v>90</v>
      </c>
      <c r="C99" s="9" t="s">
        <v>123</v>
      </c>
      <c r="D99" s="9" t="s">
        <v>214</v>
      </c>
      <c r="E99" s="13" t="n">
        <v>217.3</v>
      </c>
      <c r="F99" s="38" t="n">
        <f aca="false">Grid!$C$34</f>
        <v>217.297297297297</v>
      </c>
      <c r="G99" s="36" t="n">
        <f aca="false">IFERROR(IF(ISNUMBER(F99),F99-E99,"n/a"),"n/a")</f>
        <v>-0.00270270270272022</v>
      </c>
      <c r="H99" s="37" t="n">
        <v>0.005000001</v>
      </c>
      <c r="I99" s="30" t="str">
        <f aca="false">IFERROR(IF(ISNUMBER(F99),IF(ABS(F99-E99)&lt;=H99,"PASS","FAIL"),"FAIL"),"FAIL")</f>
        <v>PASS</v>
      </c>
    </row>
    <row r="100" customFormat="false" ht="15" hidden="false" customHeight="false" outlineLevel="0" collapsed="false">
      <c r="B100" s="31" t="n">
        <v>91</v>
      </c>
      <c r="C100" s="9" t="s">
        <v>127</v>
      </c>
      <c r="D100" s="9" t="s">
        <v>215</v>
      </c>
      <c r="E100" s="27" t="n">
        <v>0.8</v>
      </c>
      <c r="F100" s="40" t="n">
        <f aca="false">Gap_and_Loan!$C$5</f>
        <v>0.8</v>
      </c>
      <c r="G100" s="36" t="n">
        <f aca="false">IFERROR(IF(ISNUMBER(F100),F100-E100,"n/a"),"n/a")</f>
        <v>0</v>
      </c>
      <c r="H100" s="37" t="n">
        <v>0.005000001</v>
      </c>
      <c r="I100" s="30" t="str">
        <f aca="false">IFERROR(IF(ISNUMBER(F100),IF(ABS(F100-E100)&lt;=H100,"PASS","FAIL"),"FAIL"),"FAIL")</f>
        <v>PASS</v>
      </c>
    </row>
    <row r="101" customFormat="false" ht="15" hidden="false" customHeight="false" outlineLevel="0" collapsed="false">
      <c r="B101" s="31" t="n">
        <v>92</v>
      </c>
      <c r="C101" s="9" t="s">
        <v>127</v>
      </c>
      <c r="D101" s="9" t="s">
        <v>216</v>
      </c>
      <c r="E101" s="10" t="n">
        <v>329600</v>
      </c>
      <c r="F101" s="35" t="n">
        <f aca="false">Gap_and_Loan!$C$7</f>
        <v>329600</v>
      </c>
      <c r="G101" s="36" t="n">
        <f aca="false">IFERROR(IF(ISNUMBER(F101),F101-E101,"n/a"),"n/a")</f>
        <v>0</v>
      </c>
      <c r="H101" s="37" t="n">
        <v>0.500000001</v>
      </c>
      <c r="I101" s="30" t="str">
        <f aca="false">IFERROR(IF(ISNUMBER(F101),IF(ABS(F101-E101)&lt;=H101,"PASS","FAIL"),"FAIL"),"FAIL")</f>
        <v>PASS</v>
      </c>
    </row>
    <row r="102" customFormat="false" ht="15" hidden="false" customHeight="false" outlineLevel="0" collapsed="false">
      <c r="B102" s="31" t="n">
        <v>93</v>
      </c>
      <c r="C102" s="9" t="s">
        <v>127</v>
      </c>
      <c r="D102" s="9" t="s">
        <v>217</v>
      </c>
      <c r="E102" s="10" t="n">
        <v>82400</v>
      </c>
      <c r="F102" s="35" t="n">
        <f aca="false">Gap_and_Loan!$C$8</f>
        <v>82400</v>
      </c>
      <c r="G102" s="36" t="n">
        <f aca="false">IFERROR(IF(ISNUMBER(F102),F102-E102,"n/a"),"n/a")</f>
        <v>0</v>
      </c>
      <c r="H102" s="37" t="n">
        <v>0.500000001</v>
      </c>
      <c r="I102" s="30" t="str">
        <f aca="false">IFERROR(IF(ISNUMBER(F102),IF(ABS(F102-E102)&lt;=H102,"PASS","FAIL"),"FAIL"),"FAIL")</f>
        <v>PASS</v>
      </c>
    </row>
    <row r="103" customFormat="false" ht="15" hidden="false" customHeight="false" outlineLevel="0" collapsed="false">
      <c r="B103" s="31" t="n">
        <v>94</v>
      </c>
      <c r="C103" s="9" t="s">
        <v>127</v>
      </c>
      <c r="D103" s="9" t="s">
        <v>218</v>
      </c>
      <c r="E103" s="10" t="n">
        <v>10000</v>
      </c>
      <c r="F103" s="35" t="n">
        <f aca="false">Gap_and_Loan!$C$12</f>
        <v>10000</v>
      </c>
      <c r="G103" s="36" t="n">
        <f aca="false">IFERROR(IF(ISNUMBER(F103),F103-E103,"n/a"),"n/a")</f>
        <v>0</v>
      </c>
      <c r="H103" s="37" t="n">
        <v>0.500000001</v>
      </c>
      <c r="I103" s="30" t="str">
        <f aca="false">IFERROR(IF(ISNUMBER(F103),IF(ABS(F103-E103)&lt;=H103,"PASS","FAIL"),"FAIL"),"FAIL")</f>
        <v>PASS</v>
      </c>
    </row>
    <row r="104" customFormat="false" ht="15" hidden="false" customHeight="false" outlineLevel="0" collapsed="false">
      <c r="B104" s="31" t="n">
        <v>95</v>
      </c>
      <c r="C104" s="9" t="s">
        <v>127</v>
      </c>
      <c r="D104" s="9" t="s">
        <v>219</v>
      </c>
      <c r="E104" s="23" t="n">
        <v>0.025</v>
      </c>
      <c r="F104" s="39" t="n">
        <f aca="false">Gap_and_Loan!$C$13</f>
        <v>0.0248756218905473</v>
      </c>
      <c r="G104" s="36" t="n">
        <f aca="false">IFERROR(IF(ISNUMBER(F104),F104-E104,"n/a"),"n/a")</f>
        <v>-0.000124378109452736</v>
      </c>
      <c r="H104" s="37" t="n">
        <v>0.000500001</v>
      </c>
      <c r="I104" s="30" t="str">
        <f aca="false">IFERROR(IF(ISNUMBER(F104),IF(ABS(F104-E104)&lt;=H104,"PASS","FAIL"),"FAIL"),"FAIL")</f>
        <v>PASS</v>
      </c>
    </row>
    <row r="105" customFormat="false" ht="15" hidden="false" customHeight="false" outlineLevel="0" collapsed="false">
      <c r="B105" s="31" t="n">
        <v>96</v>
      </c>
      <c r="C105" s="9" t="s">
        <v>127</v>
      </c>
      <c r="D105" s="9" t="s">
        <v>220</v>
      </c>
      <c r="E105" s="10" t="n">
        <v>321600</v>
      </c>
      <c r="F105" s="35" t="n">
        <f aca="false">Gap_and_Loan!$C$15</f>
        <v>321600</v>
      </c>
      <c r="G105" s="36" t="n">
        <f aca="false">IFERROR(IF(ISNUMBER(F105),F105-E105,"n/a"),"n/a")</f>
        <v>0</v>
      </c>
      <c r="H105" s="37" t="n">
        <v>0.500000001</v>
      </c>
      <c r="I105" s="30" t="str">
        <f aca="false">IFERROR(IF(ISNUMBER(F105),IF(ABS(F105-E105)&lt;=H105,"PASS","FAIL"),"FAIL"),"FAIL")</f>
        <v>PASS</v>
      </c>
    </row>
    <row r="106" customFormat="false" ht="15" hidden="false" customHeight="false" outlineLevel="0" collapsed="false">
      <c r="B106" s="31" t="n">
        <v>97</v>
      </c>
      <c r="C106" s="9" t="s">
        <v>127</v>
      </c>
      <c r="D106" s="9" t="s">
        <v>221</v>
      </c>
      <c r="E106" s="10" t="n">
        <v>8000</v>
      </c>
      <c r="F106" s="35" t="n">
        <f aca="false">Gap_and_Loan!$C$16</f>
        <v>8000</v>
      </c>
      <c r="G106" s="36" t="n">
        <f aca="false">IFERROR(IF(ISNUMBER(F106),F106-E106,"n/a"),"n/a")</f>
        <v>0</v>
      </c>
      <c r="H106" s="37" t="n">
        <v>0.500000001</v>
      </c>
      <c r="I106" s="30" t="str">
        <f aca="false">IFERROR(IF(ISNUMBER(F106),IF(ABS(F106-E106)&lt;=H106,"PASS","FAIL"),"FAIL"),"FAIL")</f>
        <v>PASS</v>
      </c>
    </row>
    <row r="107" customFormat="false" ht="15" hidden="false" customHeight="false" outlineLevel="0" collapsed="false">
      <c r="B107" s="31" t="n">
        <v>98</v>
      </c>
      <c r="C107" s="9" t="s">
        <v>127</v>
      </c>
      <c r="D107" s="9" t="s">
        <v>222</v>
      </c>
      <c r="E107" s="10" t="n">
        <v>90400</v>
      </c>
      <c r="F107" s="35" t="n">
        <f aca="false">Gap_and_Loan!$C$17</f>
        <v>90400</v>
      </c>
      <c r="G107" s="36" t="n">
        <f aca="false">IFERROR(IF(ISNUMBER(F107),F107-E107,"n/a"),"n/a")</f>
        <v>0</v>
      </c>
      <c r="H107" s="37" t="n">
        <v>0.500000001</v>
      </c>
      <c r="I107" s="30" t="str">
        <f aca="false">IFERROR(IF(ISNUMBER(F107),IF(ABS(F107-E107)&lt;=H107,"PASS","FAIL"),"FAIL"),"FAIL")</f>
        <v>PASS</v>
      </c>
    </row>
    <row r="108" customFormat="false" ht="15" hidden="false" customHeight="false" outlineLevel="0" collapsed="false">
      <c r="B108" s="31" t="n">
        <v>99</v>
      </c>
      <c r="C108" s="9" t="s">
        <v>127</v>
      </c>
      <c r="D108" s="9" t="s">
        <v>223</v>
      </c>
      <c r="E108" s="10" t="n">
        <v>0</v>
      </c>
      <c r="F108" s="35" t="n">
        <f aca="false">Gap_and_Loan!$C$19</f>
        <v>0</v>
      </c>
      <c r="G108" s="36" t="n">
        <f aca="false">IFERROR(IF(ISNUMBER(F108),F108-E108,"n/a"),"n/a")</f>
        <v>0</v>
      </c>
      <c r="H108" s="37" t="n">
        <v>0.500000001</v>
      </c>
      <c r="I108" s="30" t="str">
        <f aca="false">IFERROR(IF(ISNUMBER(F108),IF(ABS(F108-E108)&lt;=H108,"PASS","FAIL"),"FAIL"),"FAIL")</f>
        <v>PASS</v>
      </c>
    </row>
    <row r="109" customFormat="false" ht="15" hidden="false" customHeight="false" outlineLevel="0" collapsed="false">
      <c r="B109" s="31" t="n">
        <v>100</v>
      </c>
      <c r="C109" s="9" t="s">
        <v>127</v>
      </c>
      <c r="D109" s="9" t="s">
        <v>224</v>
      </c>
      <c r="E109" s="10" t="n">
        <v>404000</v>
      </c>
      <c r="F109" s="35" t="n">
        <f aca="false">Gap_and_Loan!$D$11</f>
        <v>404000</v>
      </c>
      <c r="G109" s="36" t="n">
        <f aca="false">IFERROR(IF(ISNUMBER(F109),F109-E109,"n/a"),"n/a")</f>
        <v>0</v>
      </c>
      <c r="H109" s="37" t="n">
        <v>0.500000001</v>
      </c>
      <c r="I109" s="30" t="str">
        <f aca="false">IFERROR(IF(ISNUMBER(F109),IF(ABS(F109-E109)&lt;=H109,"PASS","FAIL"),"FAIL"),"FAIL")</f>
        <v>PASS</v>
      </c>
    </row>
    <row r="110" customFormat="false" ht="15" hidden="false" customHeight="false" outlineLevel="0" collapsed="false">
      <c r="B110" s="31" t="n">
        <v>101</v>
      </c>
      <c r="C110" s="9" t="s">
        <v>127</v>
      </c>
      <c r="D110" s="9" t="s">
        <v>225</v>
      </c>
      <c r="E110" s="10" t="n">
        <v>8000</v>
      </c>
      <c r="F110" s="35" t="n">
        <f aca="false">Gap_and_Loan!$D$12</f>
        <v>8000</v>
      </c>
      <c r="G110" s="36" t="n">
        <f aca="false">IFERROR(IF(ISNUMBER(F110),F110-E110,"n/a"),"n/a")</f>
        <v>0</v>
      </c>
      <c r="H110" s="37" t="n">
        <v>0.500000001</v>
      </c>
      <c r="I110" s="30" t="str">
        <f aca="false">IFERROR(IF(ISNUMBER(F110),IF(ABS(F110-E110)&lt;=H110,"PASS","FAIL"),"FAIL"),"FAIL")</f>
        <v>PASS</v>
      </c>
    </row>
    <row r="111" customFormat="false" ht="15" hidden="false" customHeight="false" outlineLevel="0" collapsed="false">
      <c r="B111" s="31" t="n">
        <v>102</v>
      </c>
      <c r="C111" s="9" t="s">
        <v>127</v>
      </c>
      <c r="D111" s="9" t="s">
        <v>226</v>
      </c>
      <c r="E111" s="10" t="n">
        <v>323200</v>
      </c>
      <c r="F111" s="35" t="n">
        <f aca="false">Gap_and_Loan!$D$15</f>
        <v>323200</v>
      </c>
      <c r="G111" s="36" t="n">
        <f aca="false">IFERROR(IF(ISNUMBER(F111),F111-E111,"n/a"),"n/a")</f>
        <v>0</v>
      </c>
      <c r="H111" s="37" t="n">
        <v>0.500000001</v>
      </c>
      <c r="I111" s="30" t="str">
        <f aca="false">IFERROR(IF(ISNUMBER(F111),IF(ABS(F111-E111)&lt;=H111,"PASS","FAIL"),"FAIL"),"FAIL")</f>
        <v>PASS</v>
      </c>
    </row>
    <row r="112" customFormat="false" ht="15" hidden="false" customHeight="false" outlineLevel="0" collapsed="false">
      <c r="B112" s="31" t="n">
        <v>103</v>
      </c>
      <c r="C112" s="9" t="s">
        <v>127</v>
      </c>
      <c r="D112" s="9" t="s">
        <v>227</v>
      </c>
      <c r="E112" s="10" t="n">
        <v>6400</v>
      </c>
      <c r="F112" s="35" t="n">
        <f aca="false">Gap_and_Loan!$D$16</f>
        <v>6400</v>
      </c>
      <c r="G112" s="36" t="n">
        <f aca="false">IFERROR(IF(ISNUMBER(F112),F112-E112,"n/a"),"n/a")</f>
        <v>0</v>
      </c>
      <c r="H112" s="37" t="n">
        <v>0.500000001</v>
      </c>
      <c r="I112" s="30" t="str">
        <f aca="false">IFERROR(IF(ISNUMBER(F112),IF(ABS(F112-E112)&lt;=H112,"PASS","FAIL"),"FAIL"),"FAIL")</f>
        <v>PASS</v>
      </c>
    </row>
    <row r="113" customFormat="false" ht="15" hidden="false" customHeight="false" outlineLevel="0" collapsed="false">
      <c r="B113" s="31" t="n">
        <v>104</v>
      </c>
      <c r="C113" s="9" t="s">
        <v>127</v>
      </c>
      <c r="D113" s="9" t="s">
        <v>228</v>
      </c>
      <c r="E113" s="10" t="n">
        <v>2000</v>
      </c>
      <c r="F113" s="35" t="n">
        <f aca="false">Gap_and_Loan!$C$21</f>
        <v>2000</v>
      </c>
      <c r="G113" s="36" t="n">
        <f aca="false">IFERROR(IF(ISNUMBER(F113),F113-E113,"n/a"),"n/a")</f>
        <v>0</v>
      </c>
      <c r="H113" s="37" t="n">
        <v>0.500000001</v>
      </c>
      <c r="I113" s="30" t="str">
        <f aca="false">IFERROR(IF(ISNUMBER(F113),IF(ABS(F113-E113)&lt;=H113,"PASS","FAIL"),"FAIL"),"FAIL")</f>
        <v>PASS</v>
      </c>
    </row>
  </sheetData>
  <mergeCells count="1">
    <mergeCell ref="C7:D7"/>
  </mergeCells>
  <conditionalFormatting sqref="I10:I113">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2026-09-25T20:27:52Z</dcterms:created>
  <dc:creator>openpyxl</dc:creator>
  <dc:description/>
  <dc:language>en-US</dc:language>
  <cp:lastModifiedBy/>
  <dcterms:modified xsi:type="dcterms:W3CDTF">2026-09-25T20:27:52Z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