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he reoffer" sheetId="3" state="visible" r:id="rId5"/>
    <sheet name="The cost of the issue" sheetId="4" state="visible" r:id="rId6"/>
    <sheet name="The four conventions" sheetId="5" state="visible" r:id="rId7"/>
    <sheet name="The thresholds" sheetId="6" state="visible" r:id="rId8"/>
    <sheet name="Checks" sheetId="7" state="visible" r:id="rId9"/>
  </sheets>
  <definedNames>
    <definedName function="false" hidden="false" name="Annuity" vbProcedure="false">'The reoffer'!$B$36</definedName>
    <definedName function="false" hidden="false" name="CommBp" vbProcedure="false">Inputs!$B$28</definedName>
    <definedName function="false" hidden="false" name="ConcLin" vbProcedure="false">'The four conventions'!$C$18</definedName>
    <definedName function="false" hidden="false" name="Coupon" vbProcedure="false">Inputs!$B$22</definedName>
    <definedName function="false" hidden="false" name="CurveLbl" vbProcedure="false">Inputs!$A$8:$A$10</definedName>
    <definedName function="false" hidden="false" name="CurveMat" vbProcedure="false">Inputs!$B$8:$B$10</definedName>
    <definedName function="false" hidden="false" name="CurveSpr" vbProcedure="false">Inputs!$C$8:$C$10</definedName>
    <definedName function="false" hidden="false" name="Expenses" vbProcedure="false">Inputs!$B$29:$B$32</definedName>
    <definedName function="false" hidden="false" name="IssueSize" vbProcedure="false">Inputs!$B$18</definedName>
    <definedName function="false" hidden="false" name="MidSwap" vbProcedure="false">Inputs!$B$23</definedName>
    <definedName function="false" hidden="false" name="ModDur" vbProcedure="false">'The reoffer'!$B$40</definedName>
    <definedName function="false" hidden="false" name="Price" vbProcedure="false">'The reoffer'!$B$35</definedName>
    <definedName function="false" hidden="false" name="PV01" vbProcedure="false">'The reoffer'!$B$41</definedName>
    <definedName function="false" hidden="false" name="ReofferSpr" vbProcedure="false">Inputs!$B$20</definedName>
    <definedName function="false" hidden="false" name="TargetMat" vbProcedure="false">Inputs!$B$19</definedName>
    <definedName function="false" hidden="false" name="Tenor" vbProcedure="false">Inputs!$B$21</definedName>
    <definedName function="false" hidden="false" name="Yld" vbProcedure="false">'The reoffer'!$B$10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<sst xmlns="http://schemas.openxmlformats.org/spreadsheetml/2006/main" count="329" uniqueCount="225">
  <si>
    <t xml:space="preserve">Capital Markets - The Cost Workbook</t>
  </si>
  <si>
    <t xml:space="preserve">Companion workbook 2, by Julian R. Sterling</t>
  </si>
  <si>
    <t xml:space="preserve">What this workbook does</t>
  </si>
  <si>
    <t xml:space="preserve">It builds the full cost of a bond issue from three things: the underwriting fee, the expenses that arrive on invoices, and the concession, which arrives on none. The concession is discounted properly, at the annuity factor of the reoffer yield over the tenor, and the whole table is rebuilt under each of the four interpolation conventions - including the one under which the concession is a rebate and the uninvoiced share is negative.</t>
  </si>
  <si>
    <t xml:space="preserve">The first experiment to run</t>
  </si>
  <si>
    <t xml:space="preserve">On The four conventions, read down the last column. The uninvoiced share of this bond's bill runs from minus 10.85 per cent to 34.38 per cent, a span of 45.23 points, with nothing changing except how a line is drawn between a four-year bond and a nine-year bond. The convention sits in the numerator and in the denominator at once, which is why a headline percentage of that construction amplifies whatever choice feeds it.</t>
  </si>
  <si>
    <t xml:space="preserve">The second</t>
  </si>
  <si>
    <t xml:space="preserve">On The thresholds, the two break-evens are computed in one division each: the concession at which the uninvoiced cost equals the fee, and the concession at which it equals the fee and the expenses together. On this bond they are 5.90 and 7.99 basis points. The claim that most of the cost of a bond is uninvoiced is not a claim about capital markets; it is a claim about the level of new issue premiums, and it has a threshold you can compute before the mandate is signed.</t>
  </si>
  <si>
    <t xml:space="preserve">The one number to keep an eye on</t>
  </si>
  <si>
    <t xml:space="preserve">The concession as a multiple of the commission, on The cost of the issue. At 0.71 the fee is still the larger line. Put eight basis points of concession into the input and the multiple goes through one, which is where the market sat in 2022 and 2023 - and where a widely believed generalisation came from.</t>
  </si>
  <si>
    <t xml:space="preserve">On the checks</t>
  </si>
  <si>
    <t xml:space="preserve">The Checks sheet reproduces by formula each figure printed in Chapters 7 and 16 that this workbook touches, and adds the structural guards: that the total is the sum of its three lines, that each threshold does what it says when the concession is set to it, and that the uninvoiced share is negative under the softest convention.</t>
  </si>
  <si>
    <t xml:space="preserve">Revised 24 September 2026</t>
  </si>
  <si>
    <t xml:space="preserve">Re-verified: every figure the book prints still reproduces. The companion page said that both thresholds, 5.90 and 7.99 basis points, fall inside the eight to twelve that were normal in 2022 and 2023. They fall below it: the second by less than one hundredth of a basis point, which is why at any concession in that range the uninvoiced cost exceeded the fee and the expenses together. The thresholds sheet now says where each one sits, The four conventions gives the euro span as a share of the commission (84.22 per cent), and four checks were added, seventy in all.</t>
  </si>
  <si>
    <t xml:space="preserve">Inputs - the bond, the fee letter and the invoices</t>
  </si>
  <si>
    <t xml:space="preserve">Blue on pale yellow is an input, and you may edit it. Everything else in this file is a formula over these cells.</t>
  </si>
  <si>
    <t xml:space="preserve">The three secondary quotations</t>
  </si>
  <si>
    <t xml:space="preserve">bond</t>
  </si>
  <si>
    <t xml:space="preserve">maturity, years</t>
  </si>
  <si>
    <t xml:space="preserve">spread over mid-swaps, bp</t>
  </si>
  <si>
    <t xml:space="preserve">2.500% March 2028</t>
  </si>
  <si>
    <t xml:space="preserve">3.250% September 2030</t>
  </si>
  <si>
    <t xml:space="preserve">1.875% January 2036</t>
  </si>
  <si>
    <t xml:space="preserve">The same three quotations as the Interpolation Workbook. They are here because the concession, and therefore the cost, depends on how the space between them is bridged.</t>
  </si>
  <si>
    <t xml:space="preserve">The issue</t>
  </si>
  <si>
    <t xml:space="preserve">input</t>
  </si>
  <si>
    <t xml:space="preserve">value</t>
  </si>
  <si>
    <t xml:space="preserve">Amount raised, EUR</t>
  </si>
  <si>
    <t xml:space="preserve">Target maturity, years</t>
  </si>
  <si>
    <t xml:space="preserve">Reoffer spread over mid-swaps, bp</t>
  </si>
  <si>
    <t xml:space="preserve">Tenor, years</t>
  </si>
  <si>
    <t xml:space="preserve">Annual coupon</t>
  </si>
  <si>
    <t xml:space="preserve">Seven-year euro mid-swap at 30 June 2026</t>
  </si>
  <si>
    <t xml:space="preserve">What arrives on paper</t>
  </si>
  <si>
    <t xml:space="preserve">Underwriting commission, bp of the amount raised</t>
  </si>
  <si>
    <t xml:space="preserve">Legal fees, EUR</t>
  </si>
  <si>
    <t xml:space="preserve">Rating agency fees, EUR</t>
  </si>
  <si>
    <t xml:space="preserve">Listing and paying agent, EUR</t>
  </si>
  <si>
    <t xml:space="preserve">Roadshow, EUR</t>
  </si>
  <si>
    <t xml:space="preserve">The commission is deducted at settlement under a fee letter. The four lines below it come in from law firms, a rating agency, a listing venue and the suppliers of a roadshow, and are knowable to the euro by anyone with the accounts payable ledger.</t>
  </si>
  <si>
    <t xml:space="preserve">The reoffer, and the factor that discounts a basis point</t>
  </si>
  <si>
    <t xml:space="preserve">The yield, the price, the annuity factor and the modified duration, built off one cash-flow ladder.</t>
  </si>
  <si>
    <t xml:space="preserve">The reoffer yield</t>
  </si>
  <si>
    <t xml:space="preserve">quantity</t>
  </si>
  <si>
    <t xml:space="preserve">Seven-year euro mid-swap</t>
  </si>
  <si>
    <t xml:space="preserve">Reoffer spread, bp</t>
  </si>
  <si>
    <t xml:space="preserve">Reoffer yield</t>
  </si>
  <si>
    <t xml:space="preserve">The cash flows, per 100 of nominal</t>
  </si>
  <si>
    <t xml:space="preserve">year</t>
  </si>
  <si>
    <t xml:space="preserve">cash flow</t>
  </si>
  <si>
    <t xml:space="preserve">discount factor</t>
  </si>
  <si>
    <t xml:space="preserve">present value</t>
  </si>
  <si>
    <t xml:space="preserve">year x present value</t>
  </si>
  <si>
    <t xml:space="preserve">What the ladder gives</t>
  </si>
  <si>
    <t xml:space="preserve">Reoffer price, per 100</t>
  </si>
  <si>
    <t xml:space="preserve">Annuity factor over the tenor</t>
  </si>
  <si>
    <t xml:space="preserve">Annuity factor, closed form, as a cross-check</t>
  </si>
  <si>
    <t xml:space="preserve">The two readings of the annuity factor, difference</t>
  </si>
  <si>
    <t xml:space="preserve">Macaulay duration, years</t>
  </si>
  <si>
    <t xml:space="preserve">Modified duration, years</t>
  </si>
  <si>
    <t xml:space="preserve">Present value of one basis point on the amount raised, EUR</t>
  </si>
  <si>
    <t xml:space="preserve">One basis point of concession, on this size, over this tenor, discounted at this yield. Print it at the top of the pricing note; every level spoken on the call is denominated in it.</t>
  </si>
  <si>
    <t xml:space="preserve">What the bond cost</t>
  </si>
  <si>
    <t xml:space="preserve">Three lines. Two of them arrive on paper.</t>
  </si>
  <si>
    <t xml:space="preserve">The bill</t>
  </si>
  <si>
    <t xml:space="preserve">item</t>
  </si>
  <si>
    <t xml:space="preserve">EUR</t>
  </si>
  <si>
    <t xml:space="preserve">bp of the amount raised</t>
  </si>
  <si>
    <t xml:space="preserve">Underwriting commission</t>
  </si>
  <si>
    <t xml:space="preserve">Legal, rating, listing, roadshow</t>
  </si>
  <si>
    <t xml:space="preserve">Concession, present value</t>
  </si>
  <si>
    <t xml:space="preserve">Total</t>
  </si>
  <si>
    <t xml:space="preserve">The concession is the coupon supplement of 4.19 basis points on EUR 500,000,000, discounted at the annuity factor. It is a promise to pay more coupon for seven years, and it appears on no invoice.</t>
  </si>
  <si>
    <t xml:space="preserve">Invoiced and uninvoiced</t>
  </si>
  <si>
    <t xml:space="preserve">Invoiced cost: commission and expenses, EUR</t>
  </si>
  <si>
    <t xml:space="preserve">Invoiced cost, bp of the amount raised</t>
  </si>
  <si>
    <t xml:space="preserve">Uninvoiced cost: the concession, EUR</t>
  </si>
  <si>
    <t xml:space="preserve">Uninvoiced share of the total</t>
  </si>
  <si>
    <t xml:space="preserve">The concession as a multiple of the commission</t>
  </si>
  <si>
    <t xml:space="preserve">Cost per euro raised</t>
  </si>
  <si>
    <t xml:space="preserve">Guard: the total is the sum of its three lines</t>
  </si>
  <si>
    <t xml:space="preserve">At 2026 spread levels the invoiced commission is the larger number. That is a fact about the level of new issue premiums, not about capital markets, and The thresholds sheet says exactly where it stops being true.</t>
  </si>
  <si>
    <t xml:space="preserve">The expenses, itemised</t>
  </si>
  <si>
    <t xml:space="preserve">invoice</t>
  </si>
  <si>
    <t xml:space="preserve">Total invoiced expenses</t>
  </si>
  <si>
    <t xml:space="preserve">Four suppliers, four invoices, one line on the cost table. Nothing on this block is contested by anybody.</t>
  </si>
  <si>
    <t xml:space="preserve">The same bill, read four ways</t>
  </si>
  <si>
    <t xml:space="preserve">The convention sits in the numerator and in the denominator of the uninvoiced share at once.</t>
  </si>
  <si>
    <t xml:space="preserve">The bracketing points</t>
  </si>
  <si>
    <t xml:space="preserve">Index of the lower bracketing quotation</t>
  </si>
  <si>
    <t xml:space="preserve">Lower bracketing maturity, years</t>
  </si>
  <si>
    <t xml:space="preserve">Lower bracketing spread, bp</t>
  </si>
  <si>
    <t xml:space="preserve">Upper bracketing maturity, years</t>
  </si>
  <si>
    <t xml:space="preserve">Upper bracketing spread, bp</t>
  </si>
  <si>
    <t xml:space="preserve">The bill under each convention</t>
  </si>
  <si>
    <t xml:space="preserve">convention</t>
  </si>
  <si>
    <t xml:space="preserve">fair value, bp</t>
  </si>
  <si>
    <t xml:space="preserve">concession, bp</t>
  </si>
  <si>
    <t xml:space="preserve">concession, present value, EUR</t>
  </si>
  <si>
    <t xml:space="preserve">invoiced cost, EUR</t>
  </si>
  <si>
    <t xml:space="preserve">total cost, EUR</t>
  </si>
  <si>
    <t xml:space="preserve">uninvoiced share of the total</t>
  </si>
  <si>
    <t xml:space="preserve">linear in maturity</t>
  </si>
  <si>
    <t xml:space="preserve">least squares on three points</t>
  </si>
  <si>
    <t xml:space="preserve">linear in the square root of time</t>
  </si>
  <si>
    <t xml:space="preserve">linear in the logarithm of maturity</t>
  </si>
  <si>
    <t xml:space="preserve">Three conventions say the issuer paid something. One says investors did. The invoices are identical in all four cases.</t>
  </si>
  <si>
    <t xml:space="preserve">What the choice is worth</t>
  </si>
  <si>
    <t xml:space="preserve">Highest total cost of the four, EUR</t>
  </si>
  <si>
    <t xml:space="preserve">Lowest total cost of the four, EUR</t>
  </si>
  <si>
    <t xml:space="preserve">Euro span of the total cost</t>
  </si>
  <si>
    <t xml:space="preserve">Highest uninvoiced share</t>
  </si>
  <si>
    <t xml:space="preserve">Lowest uninvoiced share</t>
  </si>
  <si>
    <t xml:space="preserve">Span of the uninvoiced share, percentage points</t>
  </si>
  <si>
    <t xml:space="preserve">Total cost under the logarithmic reading, bp of the amount raised</t>
  </si>
  <si>
    <t xml:space="preserve">Guard: the uninvoiced share is negative under the softest convention, 1 for yes</t>
  </si>
  <si>
    <t xml:space="preserve">Guard: the softest convention makes the concession a rebate, EUR</t>
  </si>
  <si>
    <t xml:space="preserve">A percentage whose base moves with its numerator amplifies whatever choice feeds it, and headline percentages of exactly that construction are what get quoted.</t>
  </si>
  <si>
    <t xml:space="preserve">Against the fee</t>
  </si>
  <si>
    <t xml:space="preserve">Euro span of the total cost as a share of the underwriting commission</t>
  </si>
  <si>
    <t xml:space="preserve">The choice of line is worth 84 per cent of the fee that was negotiated line by line.</t>
  </si>
  <si>
    <t xml:space="preserve">The two break-evens, and the regime that decides them</t>
  </si>
  <si>
    <t xml:space="preserve">Divide what is invoiced by the present value of a basis point, and the answer arrives immediately.</t>
  </si>
  <si>
    <t xml:space="preserve">The conversion</t>
  </si>
  <si>
    <t xml:space="preserve">Present value of one basis point of concession, EUR</t>
  </si>
  <si>
    <t xml:space="preserve">Underwriting commission, EUR</t>
  </si>
  <si>
    <t xml:space="preserve">Invoiced expenses, EUR</t>
  </si>
  <si>
    <t xml:space="preserve">Commission and expenses together, EUR</t>
  </si>
  <si>
    <t xml:space="preserve">The two thresholds</t>
  </si>
  <si>
    <t xml:space="preserve">Concession at which the uninvoiced cost equals the fee, bp</t>
  </si>
  <si>
    <t xml:space="preserve">Concession at which the uninvoiced cost equals fee and expenses, bp</t>
  </si>
  <si>
    <t xml:space="preserve">Guard: at the first threshold the concession priced equals the fee, EUR</t>
  </si>
  <si>
    <t xml:space="preserve">Guard: at the second it equals fee and expenses, EUR</t>
  </si>
  <si>
    <t xml:space="preserve">This bond's concession, bp</t>
  </si>
  <si>
    <t xml:space="preserve">Is this bond above the first threshold? 1 for yes</t>
  </si>
  <si>
    <t xml:space="preserve">Eight basis points is the bottom of the 2022 to 2023 range. The claim that most of the cost of a bond is uninvoiced becomes true, on this issuer's size and tenor and fee, almost exactly where that regime began.</t>
  </si>
  <si>
    <t xml:space="preserve">The same bond, at three levels of new issue premium</t>
  </si>
  <si>
    <t xml:space="preserve">present value, EUR</t>
  </si>
  <si>
    <t xml:space="preserve">as a multiple of the commission</t>
  </si>
  <si>
    <t xml:space="preserve">The first row is this transaction, live off the curve. The two below are inputs you may edit: the same size, the same seven years, the same annuity factor, and a different regime.</t>
  </si>
  <si>
    <t xml:space="preserve">The horizon and the rate, which are also choices</t>
  </si>
  <si>
    <t xml:space="preserve">reading of the same concession</t>
  </si>
  <si>
    <t xml:space="preserve">difference from the annuity factor, EUR</t>
  </si>
  <si>
    <t xml:space="preserve">Coupon supplement, added up over the tenor</t>
  </si>
  <si>
    <t xml:space="preserve">Discounted at the annuity factor of the reoffer yield</t>
  </si>
  <si>
    <t xml:space="preserve">Discounted at modified duration instead</t>
  </si>
  <si>
    <t xml:space="preserve">Coupon supplement, EUR a year</t>
  </si>
  <si>
    <t xml:space="preserve">Whether the concession is added up or discounted is worth EUR 223,672 on this bond. Which discount factor is used, once that is settled, is worth EUR 1,972. The first choice has no literature and the second has a chapter of one.</t>
  </si>
  <si>
    <t xml:space="preserve">Where the two thresholds sit</t>
  </si>
  <si>
    <t xml:space="preserve">Bottom of the 2022 to 2023 range, bp</t>
  </si>
  <si>
    <t xml:space="preserve">Is the first threshold below it? 1 for yes</t>
  </si>
  <si>
    <t xml:space="preserve">Is the second threshold below it? 1 for yes</t>
  </si>
  <si>
    <t xml:space="preserve">How far the second threshold sits below it, bp</t>
  </si>
  <si>
    <t xml:space="preserve">Both thresholds sit below eight basis points, not inside the range: the second by less than one hundredth of a basis point. Anywhere from eight to twelve, the concession on this bond exceeded the fee and the expenses together.</t>
  </si>
  <si>
    <t xml:space="preserve">Checks</t>
  </si>
  <si>
    <t xml:space="preserve">Each line sets a figure printed in the book beside the figure this workbook computes.</t>
  </si>
  <si>
    <t xml:space="preserve">Column C carries the figure as the book prints it, at the precision the book prints it. Column D is a live formula over the inputs. The tolerance on each line is half a unit of the last printed digit. If a line reads FAIL, the workbook is wrong, not the book.</t>
  </si>
  <si>
    <t xml:space="preserve">Ch.</t>
  </si>
  <si>
    <t xml:space="preserve">Figure</t>
  </si>
  <si>
    <t xml:space="preserve">Printed</t>
  </si>
  <si>
    <t xml:space="preserve">Workbook</t>
  </si>
  <si>
    <t xml:space="preserve">Difference</t>
  </si>
  <si>
    <t xml:space="preserve">Result</t>
  </si>
  <si>
    <t xml:space="preserve">7</t>
  </si>
  <si>
    <t xml:space="preserve">Legal, rating, listing, roadshow, EUR</t>
  </si>
  <si>
    <t xml:space="preserve">Legal, rating, listing, roadshow, bp</t>
  </si>
  <si>
    <t xml:space="preserve">Concession, present value, EUR</t>
  </si>
  <si>
    <t xml:space="preserve">Concession, bp of the amount raised</t>
  </si>
  <si>
    <t xml:space="preserve">Total cost of the bond, EUR</t>
  </si>
  <si>
    <t xml:space="preserve">Total cost of the bond, bp of the amount raised</t>
  </si>
  <si>
    <t xml:space="preserve">16</t>
  </si>
  <si>
    <t xml:space="preserve">Cost per euro raised, bond</t>
  </si>
  <si>
    <t xml:space="preserve">-</t>
  </si>
  <si>
    <t xml:space="preserve">Model: legal fees, EUR</t>
  </si>
  <si>
    <t xml:space="preserve">Model: rating agency fees, EUR</t>
  </si>
  <si>
    <t xml:space="preserve">Model: listing and paying agent, EUR</t>
  </si>
  <si>
    <t xml:space="preserve">Model: roadshow, EUR</t>
  </si>
  <si>
    <t xml:space="preserve">Model: the four invoices sum to the expenses line, EUR</t>
  </si>
  <si>
    <t xml:space="preserve">2</t>
  </si>
  <si>
    <t xml:space="preserve">Fair value, linear in maturity, bp</t>
  </si>
  <si>
    <t xml:space="preserve">Concession, linear in maturity, bp</t>
  </si>
  <si>
    <t xml:space="preserve">Fair value, least squares on three points, bp</t>
  </si>
  <si>
    <t xml:space="preserve">Concession, least squares on three points, bp</t>
  </si>
  <si>
    <t xml:space="preserve">Fair value, linear in the square root of time, bp</t>
  </si>
  <si>
    <t xml:space="preserve">Concession, linear in the square root of time, bp</t>
  </si>
  <si>
    <t xml:space="preserve">Fair value, linear in the logarithm of maturity, bp</t>
  </si>
  <si>
    <t xml:space="preserve">Concession, linear in the logarithm of maturity, bp</t>
  </si>
  <si>
    <t xml:space="preserve">Concession priced, linear in maturity, EUR</t>
  </si>
  <si>
    <t xml:space="preserve">Model: concession priced, least squares, EUR</t>
  </si>
  <si>
    <t xml:space="preserve">Model: concession priced, root time, EUR</t>
  </si>
  <si>
    <t xml:space="preserve">Concession priced, logarithmic, EUR</t>
  </si>
  <si>
    <t xml:space="preserve">Total cost, linear in maturity, EUR</t>
  </si>
  <si>
    <t xml:space="preserve">Model: total cost, least squares, EUR</t>
  </si>
  <si>
    <t xml:space="preserve">Model: total cost, root time, EUR</t>
  </si>
  <si>
    <t xml:space="preserve">Total cost, logarithmic, EUR</t>
  </si>
  <si>
    <t xml:space="preserve">Uninvoiced share, linear in maturity</t>
  </si>
  <si>
    <t xml:space="preserve">Model: uninvoiced share, least squares</t>
  </si>
  <si>
    <t xml:space="preserve">Model: uninvoiced share, root time</t>
  </si>
  <si>
    <t xml:space="preserve">Uninvoiced share, logarithmic</t>
  </si>
  <si>
    <t xml:space="preserve">Total cost under the logarithmic reading, bp</t>
  </si>
  <si>
    <t xml:space="preserve">Present value of one basis point, EUR</t>
  </si>
  <si>
    <t xml:space="preserve">Concession at which it equals fee and expenses, bp</t>
  </si>
  <si>
    <t xml:space="preserve">At eight basis points, present value of the concession, EUR</t>
  </si>
  <si>
    <t xml:space="preserve">At eight basis points, multiple of the commission</t>
  </si>
  <si>
    <t xml:space="preserve">At eight basis points, uninvoiced share</t>
  </si>
  <si>
    <t xml:space="preserve">At twelve basis points, present value of the concession, EUR</t>
  </si>
  <si>
    <t xml:space="preserve">At twelve basis points, multiple of the commission</t>
  </si>
  <si>
    <t xml:space="preserve">At twelve basis points, uninvoiced share</t>
  </si>
  <si>
    <t xml:space="preserve">Coupon supplement added up over seven years, EUR</t>
  </si>
  <si>
    <t xml:space="preserve">What discounting at the annuity factor takes off, EUR</t>
  </si>
  <si>
    <t xml:space="preserve">Model: the concession discounted at modified duration, EUR</t>
  </si>
  <si>
    <t xml:space="preserve">Annuity factor or modified duration, what the choice is worth, EUR</t>
  </si>
  <si>
    <t xml:space="preserve">Annuity factor over seven years</t>
  </si>
  <si>
    <t xml:space="preserve">4</t>
  </si>
  <si>
    <t xml:space="preserve">Guard: at the first threshold the concession priced equals the fee</t>
  </si>
  <si>
    <t xml:space="preserve">Guard: at the second threshold it equals fee and expenses</t>
  </si>
  <si>
    <t xml:space="preserve">Guard: under the softest convention the concession is a rebate, EUR</t>
  </si>
  <si>
    <t xml:space="preserve">Guard: this bond sits below the first threshold, 0 for yes</t>
  </si>
  <si>
    <t xml:space="preserve">Guard: the two readings of the annuity factor agree</t>
  </si>
  <si>
    <t xml:space="preserve">Euro span of the four conventions as a share of the underwriting commission</t>
  </si>
  <si>
    <t xml:space="preserve">Guard: the first threshold sits below eight basis points, 1 for yes</t>
  </si>
  <si>
    <t xml:space="preserve">Guard: the second threshold sits below eight basis points, 1 for yes</t>
  </si>
  <si>
    <t xml:space="preserve">Model: how far the second threshold sits below eight, bp</t>
  </si>
  <si>
    <t xml:space="preserve">Checks in this workbook</t>
  </si>
  <si>
    <t xml:space="preserve">Failures</t>
  </si>
</sst>
</file>

<file path=xl/styles.xml><?xml version="1.0" encoding="utf-8"?>
<styleSheet xmlns="http://schemas.openxmlformats.org/spreadsheetml/2006/main">
  <numFmts count="13">
    <numFmt numFmtId="164" formatCode="General"/>
    <numFmt numFmtId="165" formatCode="0.0000;\-0.0000"/>
    <numFmt numFmtId="166" formatCode="0.00;\-0.00"/>
    <numFmt numFmtId="167" formatCode="#,##0;\-#,##0"/>
    <numFmt numFmtId="168" formatCode="0"/>
    <numFmt numFmtId="169" formatCode="0.0000%;\-0.0000%"/>
    <numFmt numFmtId="170" formatCode="0.00000;\-0.00000"/>
    <numFmt numFmtId="171" formatCode="0.00000000"/>
    <numFmt numFmtId="172" formatCode="0.00000000000"/>
    <numFmt numFmtId="173" formatCode="#,##0.00;\-#,##0.00"/>
    <numFmt numFmtId="174" formatCode="0.00%;\-0.00%"/>
    <numFmt numFmtId="175" formatCode="0.0000000"/>
    <numFmt numFmtId="176" formatCode="@"/>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sz val="10"/>
      <color rgb="FF5A6A70"/>
      <name val="Calibri"/>
      <family val="0"/>
      <charset val="1"/>
    </font>
    <font>
      <b val="true"/>
      <sz val="12"/>
      <color rgb="FF1F4E5F"/>
      <name val="Calibri"/>
      <family val="0"/>
      <charset val="1"/>
    </font>
    <font>
      <sz val="11"/>
      <color rgb="FF1A1A1A"/>
      <name val="Calibri"/>
      <family val="0"/>
      <charset val="1"/>
    </font>
    <font>
      <b val="true"/>
      <sz val="10"/>
      <color rgb="FFFFFFFF"/>
      <name val="Calibri"/>
      <family val="0"/>
      <charset val="1"/>
    </font>
    <font>
      <b val="true"/>
      <sz val="11"/>
      <color rgb="FF0B4FA0"/>
      <name val="Calibri"/>
      <family val="0"/>
      <charset val="1"/>
    </font>
    <font>
      <sz val="9"/>
      <color rgb="FF5A6A70"/>
      <name val="Calibri"/>
      <family val="0"/>
      <charset val="1"/>
    </font>
    <font>
      <b val="true"/>
      <sz val="11"/>
      <color rgb="FF1A1A1A"/>
      <name val="Calibri"/>
      <family val="0"/>
      <charset val="1"/>
    </font>
  </fonts>
  <fills count="4">
    <fill>
      <patternFill patternType="none"/>
    </fill>
    <fill>
      <patternFill patternType="gray125"/>
    </fill>
    <fill>
      <patternFill patternType="solid">
        <fgColor rgb="FF1F4E5F"/>
        <bgColor rgb="FF0B4FA0"/>
      </patternFill>
    </fill>
    <fill>
      <patternFill patternType="solid">
        <fgColor rgb="FFFFF6D8"/>
        <bgColor rgb="FFFFFFFF"/>
      </patternFill>
    </fill>
  </fills>
  <borders count="3">
    <border diagonalUp="false" diagonalDown="false">
      <left/>
      <right/>
      <top/>
      <bottom/>
      <diagonal/>
    </border>
    <border diagonalUp="false" diagonalDown="false">
      <left/>
      <right/>
      <top/>
      <bottom style="thin">
        <color rgb="FFBFCBD1"/>
      </bottom>
      <diagonal/>
    </border>
    <border diagonalUp="false" diagonalDown="false">
      <left/>
      <right/>
      <top style="thin">
        <color rgb="FFBFCBD1"/>
      </top>
      <bottom style="thin">
        <color rgb="FFBFCB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2" xfId="0" applyFont="true" applyBorder="true" applyAlignment="true" applyProtection="false">
      <alignment horizontal="left" vertical="bottom" textRotation="0" wrapText="true" indent="0" shrinkToFit="false"/>
      <protection locked="true" hidden="false"/>
    </xf>
    <xf numFmtId="164" fontId="8" fillId="2" borderId="2" xfId="0" applyFont="true" applyBorder="true" applyAlignment="true" applyProtection="false">
      <alignment horizontal="right" vertical="bottom" textRotation="0" wrapText="true" indent="0" shrinkToFit="false"/>
      <protection locked="true" hidden="false"/>
    </xf>
    <xf numFmtId="164" fontId="9" fillId="3" borderId="2" xfId="0" applyFont="true" applyBorder="true" applyAlignment="false" applyProtection="false">
      <alignment horizontal="general" vertical="bottom" textRotation="0" wrapText="false" indent="0" shrinkToFit="false"/>
      <protection locked="true" hidden="false"/>
    </xf>
    <xf numFmtId="165" fontId="9" fillId="3" borderId="2" xfId="0" applyFont="true" applyBorder="true" applyAlignment="false" applyProtection="false">
      <alignment horizontal="general" vertical="bottom" textRotation="0" wrapText="false" indent="0" shrinkToFit="false"/>
      <protection locked="true" hidden="false"/>
    </xf>
    <xf numFmtId="166" fontId="9" fillId="3" borderId="2"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9" fillId="3" borderId="2" xfId="0" applyFont="true" applyBorder="true" applyAlignment="false" applyProtection="false">
      <alignment horizontal="general" vertical="bottom" textRotation="0" wrapText="false" indent="0" shrinkToFit="false"/>
      <protection locked="true" hidden="false"/>
    </xf>
    <xf numFmtId="168" fontId="9" fillId="3" borderId="2" xfId="0" applyFont="true" applyBorder="true" applyAlignment="false" applyProtection="false">
      <alignment horizontal="general" vertical="bottom" textRotation="0" wrapText="false" indent="0" shrinkToFit="false"/>
      <protection locked="true" hidden="false"/>
    </xf>
    <xf numFmtId="169" fontId="9" fillId="3" borderId="2" xfId="0" applyFont="true" applyBorder="tru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70" fontId="11"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74" fontId="11"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8" fontId="11" fillId="0" borderId="0" xfId="0" applyFont="true" applyBorder="false" applyAlignment="false" applyProtection="false">
      <alignment horizontal="general" vertical="bottom" textRotation="0" wrapText="false" indent="0" shrinkToFit="false"/>
      <protection locked="true" hidden="false"/>
    </xf>
    <xf numFmtId="176" fontId="11"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BD1"/>
      <rgbColor rgb="FF808080"/>
      <rgbColor rgb="FF9999FF"/>
      <rgbColor rgb="FF993366"/>
      <rgbColor rgb="FFFFF6D8"/>
      <rgbColor rgb="FFCCFFFF"/>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19.7" hidden="false" customHeight="false" outlineLevel="0" collapsed="false">
      <c r="A1" s="1" t="s">
        <v>0</v>
      </c>
    </row>
    <row r="2" customFormat="false" ht="15" hidden="false" customHeight="false" outlineLevel="0" collapsed="false">
      <c r="A2" s="2" t="s">
        <v>1</v>
      </c>
    </row>
    <row r="5" customFormat="false" ht="15" hidden="false" customHeight="false" outlineLevel="0" collapsed="false">
      <c r="A5" s="3" t="s">
        <v>2</v>
      </c>
    </row>
    <row r="7" customFormat="false" ht="55.2" hidden="false" customHeight="false" outlineLevel="0" collapsed="false">
      <c r="A7" s="4" t="s">
        <v>3</v>
      </c>
    </row>
    <row r="9" customFormat="false" ht="15" hidden="false" customHeight="false" outlineLevel="0" collapsed="false">
      <c r="A9" s="3" t="s">
        <v>4</v>
      </c>
    </row>
    <row r="11" customFormat="false" ht="55.2" hidden="false" customHeight="false" outlineLevel="0" collapsed="false">
      <c r="A11" s="4" t="s">
        <v>5</v>
      </c>
    </row>
    <row r="13" customFormat="false" ht="15" hidden="false" customHeight="false" outlineLevel="0" collapsed="false">
      <c r="A13" s="3" t="s">
        <v>6</v>
      </c>
    </row>
    <row r="15" customFormat="false" ht="55.2" hidden="false" customHeight="false" outlineLevel="0" collapsed="false">
      <c r="A15" s="4" t="s">
        <v>7</v>
      </c>
    </row>
    <row r="17" customFormat="false" ht="15" hidden="false" customHeight="false" outlineLevel="0" collapsed="false">
      <c r="A17" s="3" t="s">
        <v>8</v>
      </c>
    </row>
    <row r="19" customFormat="false" ht="41.75" hidden="false" customHeight="false" outlineLevel="0" collapsed="false">
      <c r="A19" s="4" t="s">
        <v>9</v>
      </c>
    </row>
    <row r="21" customFormat="false" ht="15" hidden="false" customHeight="false" outlineLevel="0" collapsed="false">
      <c r="A21" s="3" t="s">
        <v>10</v>
      </c>
    </row>
    <row r="23" customFormat="false" ht="41.75" hidden="false" customHeight="false" outlineLevel="0" collapsed="false">
      <c r="A23" s="4" t="s">
        <v>11</v>
      </c>
    </row>
    <row r="25" customFormat="false" ht="15" hidden="false" customHeight="false" outlineLevel="0" collapsed="false">
      <c r="A25" s="3" t="s">
        <v>12</v>
      </c>
    </row>
    <row r="27" customFormat="false" ht="68.65" hidden="false" customHeight="false" outlineLevel="0" collapsed="false">
      <c r="A27"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20"/>
    <col collapsed="false" customWidth="true" hidden="false" outlineLevel="0" max="3" min="3" style="0" width="22"/>
  </cols>
  <sheetData>
    <row r="1" customFormat="false" ht="19.7" hidden="false" customHeight="false" outlineLevel="0" collapsed="false">
      <c r="A1" s="1" t="s">
        <v>14</v>
      </c>
    </row>
    <row r="2" customFormat="false" ht="15" hidden="false" customHeight="false" outlineLevel="0" collapsed="false">
      <c r="A2" s="2" t="s">
        <v>15</v>
      </c>
    </row>
    <row r="5" customFormat="false" ht="15" hidden="false" customHeight="false" outlineLevel="0" collapsed="false">
      <c r="A5" s="3" t="s">
        <v>16</v>
      </c>
    </row>
    <row r="7" customFormat="false" ht="23.85" hidden="false" customHeight="false" outlineLevel="0" collapsed="false">
      <c r="A7" s="5" t="s">
        <v>17</v>
      </c>
      <c r="B7" s="6" t="s">
        <v>18</v>
      </c>
      <c r="C7" s="6" t="s">
        <v>19</v>
      </c>
    </row>
    <row r="8" customFormat="false" ht="15" hidden="false" customHeight="false" outlineLevel="0" collapsed="false">
      <c r="A8" s="7" t="s">
        <v>20</v>
      </c>
      <c r="B8" s="8" t="n">
        <v>1.58</v>
      </c>
      <c r="C8" s="9" t="n">
        <v>62</v>
      </c>
    </row>
    <row r="9" customFormat="false" ht="15" hidden="false" customHeight="false" outlineLevel="0" collapsed="false">
      <c r="A9" s="7" t="s">
        <v>21</v>
      </c>
      <c r="B9" s="8" t="n">
        <v>4.12</v>
      </c>
      <c r="C9" s="9" t="n">
        <v>88</v>
      </c>
    </row>
    <row r="10" customFormat="false" ht="15" hidden="false" customHeight="false" outlineLevel="0" collapsed="false">
      <c r="A10" s="7" t="s">
        <v>22</v>
      </c>
      <c r="B10" s="8" t="n">
        <v>9.24</v>
      </c>
      <c r="C10" s="9" t="n">
        <v>141</v>
      </c>
    </row>
    <row r="12" customFormat="false" ht="15" hidden="false" customHeight="false" outlineLevel="0" collapsed="false">
      <c r="A12" s="10" t="s">
        <v>23</v>
      </c>
    </row>
    <row r="15" customFormat="false" ht="15" hidden="false" customHeight="false" outlineLevel="0" collapsed="false">
      <c r="A15" s="3" t="s">
        <v>24</v>
      </c>
    </row>
    <row r="17" customFormat="false" ht="15" hidden="false" customHeight="false" outlineLevel="0" collapsed="false">
      <c r="A17" s="5" t="s">
        <v>25</v>
      </c>
      <c r="B17" s="6" t="s">
        <v>26</v>
      </c>
    </row>
    <row r="18" customFormat="false" ht="15" hidden="false" customHeight="false" outlineLevel="0" collapsed="false">
      <c r="A18" s="11" t="s">
        <v>27</v>
      </c>
      <c r="B18" s="12" t="n">
        <v>500000000</v>
      </c>
    </row>
    <row r="19" customFormat="false" ht="15" hidden="false" customHeight="false" outlineLevel="0" collapsed="false">
      <c r="A19" s="11" t="s">
        <v>28</v>
      </c>
      <c r="B19" s="8" t="n">
        <v>7</v>
      </c>
    </row>
    <row r="20" customFormat="false" ht="15" hidden="false" customHeight="false" outlineLevel="0" collapsed="false">
      <c r="A20" s="11" t="s">
        <v>29</v>
      </c>
      <c r="B20" s="9" t="n">
        <v>122</v>
      </c>
    </row>
    <row r="21" customFormat="false" ht="15" hidden="false" customHeight="false" outlineLevel="0" collapsed="false">
      <c r="A21" s="11" t="s">
        <v>30</v>
      </c>
      <c r="B21" s="13" t="n">
        <v>7</v>
      </c>
    </row>
    <row r="22" customFormat="false" ht="15" hidden="false" customHeight="false" outlineLevel="0" collapsed="false">
      <c r="A22" s="11" t="s">
        <v>31</v>
      </c>
      <c r="B22" s="14" t="n">
        <v>0.0425</v>
      </c>
    </row>
    <row r="23" customFormat="false" ht="15" hidden="false" customHeight="false" outlineLevel="0" collapsed="false">
      <c r="A23" s="11" t="s">
        <v>32</v>
      </c>
      <c r="B23" s="14" t="n">
        <v>0.031</v>
      </c>
    </row>
    <row r="25" customFormat="false" ht="15" hidden="false" customHeight="false" outlineLevel="0" collapsed="false">
      <c r="A25" s="3" t="s">
        <v>33</v>
      </c>
    </row>
    <row r="27" customFormat="false" ht="15" hidden="false" customHeight="false" outlineLevel="0" collapsed="false">
      <c r="A27" s="5" t="s">
        <v>25</v>
      </c>
      <c r="B27" s="6" t="s">
        <v>26</v>
      </c>
    </row>
    <row r="28" customFormat="false" ht="15" hidden="false" customHeight="false" outlineLevel="0" collapsed="false">
      <c r="A28" s="11" t="s">
        <v>34</v>
      </c>
      <c r="B28" s="9" t="n">
        <v>35</v>
      </c>
    </row>
    <row r="29" customFormat="false" ht="15" hidden="false" customHeight="false" outlineLevel="0" collapsed="false">
      <c r="A29" s="11" t="s">
        <v>35</v>
      </c>
      <c r="B29" s="12" t="n">
        <v>285000</v>
      </c>
    </row>
    <row r="30" customFormat="false" ht="15" hidden="false" customHeight="false" outlineLevel="0" collapsed="false">
      <c r="A30" s="11" t="s">
        <v>36</v>
      </c>
      <c r="B30" s="12" t="n">
        <v>195000</v>
      </c>
    </row>
    <row r="31" customFormat="false" ht="15" hidden="false" customHeight="false" outlineLevel="0" collapsed="false">
      <c r="A31" s="11" t="s">
        <v>37</v>
      </c>
      <c r="B31" s="12" t="n">
        <v>65000</v>
      </c>
    </row>
    <row r="32" customFormat="false" ht="15" hidden="false" customHeight="false" outlineLevel="0" collapsed="false">
      <c r="A32" s="11" t="s">
        <v>38</v>
      </c>
      <c r="B32" s="12" t="n">
        <v>75000</v>
      </c>
    </row>
    <row r="34" customFormat="false" ht="15" hidden="false" customHeight="false" outlineLevel="0" collapsed="false">
      <c r="A34" s="10" t="s">
        <v>39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4" min="2" style="0" width="18"/>
    <col collapsed="false" customWidth="true" hidden="false" outlineLevel="0" max="5" min="5" style="0" width="20"/>
  </cols>
  <sheetData>
    <row r="1" customFormat="false" ht="19.7" hidden="false" customHeight="false" outlineLevel="0" collapsed="false">
      <c r="A1" s="1" t="s">
        <v>40</v>
      </c>
    </row>
    <row r="2" customFormat="false" ht="15" hidden="false" customHeight="false" outlineLevel="0" collapsed="false">
      <c r="A2" s="2" t="s">
        <v>41</v>
      </c>
    </row>
    <row r="5" customFormat="false" ht="15" hidden="false" customHeight="false" outlineLevel="0" collapsed="false">
      <c r="A5" s="3" t="s">
        <v>42</v>
      </c>
    </row>
    <row r="7" customFormat="false" ht="15" hidden="false" customHeight="false" outlineLevel="0" collapsed="false">
      <c r="A7" s="5" t="s">
        <v>43</v>
      </c>
      <c r="B7" s="6" t="s">
        <v>26</v>
      </c>
    </row>
    <row r="8" customFormat="false" ht="15" hidden="false" customHeight="false" outlineLevel="0" collapsed="false">
      <c r="A8" s="11" t="s">
        <v>44</v>
      </c>
      <c r="B8" s="15" t="n">
        <f aca="false">MidSwap</f>
        <v>0.031</v>
      </c>
    </row>
    <row r="9" customFormat="false" ht="15" hidden="false" customHeight="false" outlineLevel="0" collapsed="false">
      <c r="A9" s="11" t="s">
        <v>45</v>
      </c>
      <c r="B9" s="16" t="n">
        <f aca="false">ReofferSpr</f>
        <v>122</v>
      </c>
    </row>
    <row r="10" customFormat="false" ht="15" hidden="false" customHeight="false" outlineLevel="0" collapsed="false">
      <c r="A10" s="11" t="s">
        <v>46</v>
      </c>
      <c r="B10" s="17" t="n">
        <f aca="false">MidSwap+ReofferSpr/10000</f>
        <v>0.0432</v>
      </c>
    </row>
    <row r="12" customFormat="false" ht="15" hidden="false" customHeight="false" outlineLevel="0" collapsed="false">
      <c r="A12" s="3" t="s">
        <v>47</v>
      </c>
    </row>
    <row r="14" customFormat="false" ht="15" hidden="false" customHeight="false" outlineLevel="0" collapsed="false">
      <c r="A14" s="5" t="s">
        <v>48</v>
      </c>
      <c r="B14" s="6" t="s">
        <v>49</v>
      </c>
      <c r="C14" s="6" t="s">
        <v>50</v>
      </c>
      <c r="D14" s="6" t="s">
        <v>51</v>
      </c>
      <c r="E14" s="6" t="s">
        <v>52</v>
      </c>
    </row>
    <row r="15" customFormat="false" ht="15" hidden="false" customHeight="false" outlineLevel="0" collapsed="false">
      <c r="A15" s="18" t="n">
        <v>1</v>
      </c>
      <c r="B15" s="19" t="n">
        <f aca="false">IF($A15&lt;=Tenor,Coupon*100+IF($A15=Tenor,100,0),0)</f>
        <v>4.25</v>
      </c>
      <c r="C15" s="20" t="n">
        <f aca="false">IF($A15&lt;=Tenor,(1+Yld)^-$A15,0)</f>
        <v>0.958588957055215</v>
      </c>
      <c r="D15" s="19" t="n">
        <f aca="false">$B15*$C15</f>
        <v>4.07400306748466</v>
      </c>
      <c r="E15" s="19" t="n">
        <f aca="false">$A15*$D15</f>
        <v>4.07400306748466</v>
      </c>
    </row>
    <row r="16" customFormat="false" ht="15" hidden="false" customHeight="false" outlineLevel="0" collapsed="false">
      <c r="A16" s="18" t="n">
        <v>2</v>
      </c>
      <c r="B16" s="19" t="n">
        <f aca="false">IF($A16&lt;=Tenor,Coupon*100+IF($A16=Tenor,100,0),0)</f>
        <v>4.25</v>
      </c>
      <c r="C16" s="20" t="n">
        <f aca="false">IF($A16&lt;=Tenor,(1+Yld)^-$A16,0)</f>
        <v>0.918892788588204</v>
      </c>
      <c r="D16" s="19" t="n">
        <f aca="false">$B16*$C16</f>
        <v>3.90529435149987</v>
      </c>
      <c r="E16" s="19" t="n">
        <f aca="false">$A16*$D16</f>
        <v>7.81058870299974</v>
      </c>
    </row>
    <row r="17" customFormat="false" ht="15" hidden="false" customHeight="false" outlineLevel="0" collapsed="false">
      <c r="A17" s="18" t="n">
        <v>3</v>
      </c>
      <c r="B17" s="19" t="n">
        <f aca="false">IF($A17&lt;=Tenor,Coupon*100+IF($A17=Tenor,100,0),0)</f>
        <v>4.25</v>
      </c>
      <c r="C17" s="20" t="n">
        <f aca="false">IF($A17&lt;=Tenor,(1+Yld)^-$A17,0)</f>
        <v>0.880840479858325</v>
      </c>
      <c r="D17" s="19" t="n">
        <f aca="false">$B17*$C17</f>
        <v>3.74357203939788</v>
      </c>
      <c r="E17" s="19" t="n">
        <f aca="false">$A17*$D17</f>
        <v>11.2307161181936</v>
      </c>
    </row>
    <row r="18" customFormat="false" ht="15" hidden="false" customHeight="false" outlineLevel="0" collapsed="false">
      <c r="A18" s="18" t="n">
        <v>4</v>
      </c>
      <c r="B18" s="19" t="n">
        <f aca="false">IF($A18&lt;=Tenor,Coupon*100+IF($A18=Tenor,100,0),0)</f>
        <v>4.25</v>
      </c>
      <c r="C18" s="20" t="n">
        <f aca="false">IF($A18&lt;=Tenor,(1+Yld)^-$A18,0)</f>
        <v>0.844363956919407</v>
      </c>
      <c r="D18" s="19" t="n">
        <f aca="false">$B18*$C18</f>
        <v>3.58854681690748</v>
      </c>
      <c r="E18" s="19" t="n">
        <f aca="false">$A18*$D18</f>
        <v>14.3541872676299</v>
      </c>
    </row>
    <row r="19" customFormat="false" ht="15" hidden="false" customHeight="false" outlineLevel="0" collapsed="false">
      <c r="A19" s="18" t="n">
        <v>5</v>
      </c>
      <c r="B19" s="19" t="n">
        <f aca="false">IF($A19&lt;=Tenor,Coupon*100+IF($A19=Tenor,100,0),0)</f>
        <v>4.25</v>
      </c>
      <c r="C19" s="20" t="n">
        <f aca="false">IF($A19&lt;=Tenor,(1+Yld)^-$A19,0)</f>
        <v>0.809397964838388</v>
      </c>
      <c r="D19" s="19" t="n">
        <f aca="false">$B19*$C19</f>
        <v>3.43994135056315</v>
      </c>
      <c r="E19" s="19" t="n">
        <f aca="false">$A19*$D19</f>
        <v>17.1997067528158</v>
      </c>
    </row>
    <row r="20" customFormat="false" ht="15" hidden="false" customHeight="false" outlineLevel="0" collapsed="false">
      <c r="A20" s="18" t="n">
        <v>6</v>
      </c>
      <c r="B20" s="19" t="n">
        <f aca="false">IF($A20&lt;=Tenor,Coupon*100+IF($A20=Tenor,100,0),0)</f>
        <v>4.25</v>
      </c>
      <c r="C20" s="20" t="n">
        <f aca="false">IF($A20&lt;=Tenor,(1+Yld)^-$A20,0)</f>
        <v>0.775879950957044</v>
      </c>
      <c r="D20" s="19" t="n">
        <f aca="false">$B20*$C20</f>
        <v>3.29748979156744</v>
      </c>
      <c r="E20" s="19" t="n">
        <f aca="false">$A20*$D20</f>
        <v>19.7849387494046</v>
      </c>
    </row>
    <row r="21" customFormat="false" ht="15" hidden="false" customHeight="false" outlineLevel="0" collapsed="false">
      <c r="A21" s="18" t="n">
        <v>7</v>
      </c>
      <c r="B21" s="19" t="n">
        <f aca="false">IF($A21&lt;=Tenor,Coupon*100+IF($A21=Tenor,100,0),0)</f>
        <v>104.25</v>
      </c>
      <c r="C21" s="20" t="n">
        <f aca="false">IF($A21&lt;=Tenor,(1+Yld)^-$A21,0)</f>
        <v>0.743749952987964</v>
      </c>
      <c r="D21" s="19" t="n">
        <f aca="false">$B21*$C21</f>
        <v>77.5359325989953</v>
      </c>
      <c r="E21" s="19" t="n">
        <f aca="false">$A21*$D21</f>
        <v>542.751528192967</v>
      </c>
    </row>
    <row r="22" customFormat="false" ht="15" hidden="false" customHeight="false" outlineLevel="0" collapsed="false">
      <c r="A22" s="18" t="n">
        <v>8</v>
      </c>
      <c r="B22" s="19" t="n">
        <f aca="false">IF($A22&lt;=Tenor,Coupon*100+IF($A22=Tenor,100,0),0)</f>
        <v>0</v>
      </c>
      <c r="C22" s="20" t="n">
        <f aca="false">IF($A22&lt;=Tenor,(1+Yld)^-$A22,0)</f>
        <v>0</v>
      </c>
      <c r="D22" s="19" t="n">
        <f aca="false">$B22*$C22</f>
        <v>0</v>
      </c>
      <c r="E22" s="19" t="n">
        <f aca="false">$A22*$D22</f>
        <v>0</v>
      </c>
    </row>
    <row r="23" customFormat="false" ht="15" hidden="false" customHeight="false" outlineLevel="0" collapsed="false">
      <c r="A23" s="18" t="n">
        <v>9</v>
      </c>
      <c r="B23" s="19" t="n">
        <f aca="false">IF($A23&lt;=Tenor,Coupon*100+IF($A23=Tenor,100,0),0)</f>
        <v>0</v>
      </c>
      <c r="C23" s="20" t="n">
        <f aca="false">IF($A23&lt;=Tenor,(1+Yld)^-$A23,0)</f>
        <v>0</v>
      </c>
      <c r="D23" s="19" t="n">
        <f aca="false">$B23*$C23</f>
        <v>0</v>
      </c>
      <c r="E23" s="19" t="n">
        <f aca="false">$A23*$D23</f>
        <v>0</v>
      </c>
    </row>
    <row r="24" customFormat="false" ht="15" hidden="false" customHeight="false" outlineLevel="0" collapsed="false">
      <c r="A24" s="18" t="n">
        <v>10</v>
      </c>
      <c r="B24" s="19" t="n">
        <f aca="false">IF($A24&lt;=Tenor,Coupon*100+IF($A24=Tenor,100,0),0)</f>
        <v>0</v>
      </c>
      <c r="C24" s="20" t="n">
        <f aca="false">IF($A24&lt;=Tenor,(1+Yld)^-$A24,0)</f>
        <v>0</v>
      </c>
      <c r="D24" s="19" t="n">
        <f aca="false">$B24*$C24</f>
        <v>0</v>
      </c>
      <c r="E24" s="19" t="n">
        <f aca="false">$A24*$D24</f>
        <v>0</v>
      </c>
    </row>
    <row r="25" customFormat="false" ht="15" hidden="false" customHeight="false" outlineLevel="0" collapsed="false">
      <c r="A25" s="18" t="n">
        <v>11</v>
      </c>
      <c r="B25" s="19" t="n">
        <f aca="false">IF($A25&lt;=Tenor,Coupon*100+IF($A25=Tenor,100,0),0)</f>
        <v>0</v>
      </c>
      <c r="C25" s="20" t="n">
        <f aca="false">IF($A25&lt;=Tenor,(1+Yld)^-$A25,0)</f>
        <v>0</v>
      </c>
      <c r="D25" s="19" t="n">
        <f aca="false">$B25*$C25</f>
        <v>0</v>
      </c>
      <c r="E25" s="19" t="n">
        <f aca="false">$A25*$D25</f>
        <v>0</v>
      </c>
    </row>
    <row r="26" customFormat="false" ht="15" hidden="false" customHeight="false" outlineLevel="0" collapsed="false">
      <c r="A26" s="18" t="n">
        <v>12</v>
      </c>
      <c r="B26" s="19" t="n">
        <f aca="false">IF($A26&lt;=Tenor,Coupon*100+IF($A26=Tenor,100,0),0)</f>
        <v>0</v>
      </c>
      <c r="C26" s="20" t="n">
        <f aca="false">IF($A26&lt;=Tenor,(1+Yld)^-$A26,0)</f>
        <v>0</v>
      </c>
      <c r="D26" s="19" t="n">
        <f aca="false">$B26*$C26</f>
        <v>0</v>
      </c>
      <c r="E26" s="19" t="n">
        <f aca="false">$A26*$D26</f>
        <v>0</v>
      </c>
    </row>
    <row r="27" customFormat="false" ht="15" hidden="false" customHeight="false" outlineLevel="0" collapsed="false">
      <c r="A27" s="18" t="n">
        <v>13</v>
      </c>
      <c r="B27" s="19" t="n">
        <f aca="false">IF($A27&lt;=Tenor,Coupon*100+IF($A27=Tenor,100,0),0)</f>
        <v>0</v>
      </c>
      <c r="C27" s="20" t="n">
        <f aca="false">IF($A27&lt;=Tenor,(1+Yld)^-$A27,0)</f>
        <v>0</v>
      </c>
      <c r="D27" s="19" t="n">
        <f aca="false">$B27*$C27</f>
        <v>0</v>
      </c>
      <c r="E27" s="19" t="n">
        <f aca="false">$A27*$D27</f>
        <v>0</v>
      </c>
    </row>
    <row r="28" customFormat="false" ht="15" hidden="false" customHeight="false" outlineLevel="0" collapsed="false">
      <c r="A28" s="18" t="n">
        <v>14</v>
      </c>
      <c r="B28" s="19" t="n">
        <f aca="false">IF($A28&lt;=Tenor,Coupon*100+IF($A28=Tenor,100,0),0)</f>
        <v>0</v>
      </c>
      <c r="C28" s="20" t="n">
        <f aca="false">IF($A28&lt;=Tenor,(1+Yld)^-$A28,0)</f>
        <v>0</v>
      </c>
      <c r="D28" s="19" t="n">
        <f aca="false">$B28*$C28</f>
        <v>0</v>
      </c>
      <c r="E28" s="19" t="n">
        <f aca="false">$A28*$D28</f>
        <v>0</v>
      </c>
    </row>
    <row r="29" customFormat="false" ht="15" hidden="false" customHeight="false" outlineLevel="0" collapsed="false">
      <c r="A29" s="18" t="n">
        <v>15</v>
      </c>
      <c r="B29" s="19" t="n">
        <f aca="false">IF($A29&lt;=Tenor,Coupon*100+IF($A29=Tenor,100,0),0)</f>
        <v>0</v>
      </c>
      <c r="C29" s="20" t="n">
        <f aca="false">IF($A29&lt;=Tenor,(1+Yld)^-$A29,0)</f>
        <v>0</v>
      </c>
      <c r="D29" s="19" t="n">
        <f aca="false">$B29*$C29</f>
        <v>0</v>
      </c>
      <c r="E29" s="19" t="n">
        <f aca="false">$A29*$D29</f>
        <v>0</v>
      </c>
    </row>
    <row r="32" customFormat="false" ht="15" hidden="false" customHeight="false" outlineLevel="0" collapsed="false">
      <c r="A32" s="3" t="s">
        <v>53</v>
      </c>
    </row>
    <row r="34" customFormat="false" ht="15" hidden="false" customHeight="false" outlineLevel="0" collapsed="false">
      <c r="A34" s="5" t="s">
        <v>43</v>
      </c>
      <c r="B34" s="6" t="s">
        <v>26</v>
      </c>
    </row>
    <row r="35" customFormat="false" ht="15" hidden="false" customHeight="false" outlineLevel="0" collapsed="false">
      <c r="A35" s="11" t="s">
        <v>54</v>
      </c>
      <c r="B35" s="21" t="n">
        <f aca="false">SUM($D$15:$D$29)</f>
        <v>99.5847800164157</v>
      </c>
    </row>
    <row r="36" customFormat="false" ht="15" hidden="false" customHeight="false" outlineLevel="0" collapsed="false">
      <c r="A36" s="11" t="s">
        <v>55</v>
      </c>
      <c r="B36" s="21" t="n">
        <f aca="false">SUM($C$15:$C$29)</f>
        <v>5.93171405120455</v>
      </c>
    </row>
    <row r="37" customFormat="false" ht="15" hidden="false" customHeight="false" outlineLevel="0" collapsed="false">
      <c r="A37" s="11" t="s">
        <v>56</v>
      </c>
      <c r="B37" s="19" t="n">
        <f aca="false">(1-(1+Yld)^-Tenor)/Yld</f>
        <v>5.93171405120453</v>
      </c>
    </row>
    <row r="38" customFormat="false" ht="15" hidden="false" customHeight="false" outlineLevel="0" collapsed="false">
      <c r="A38" s="11" t="s">
        <v>57</v>
      </c>
      <c r="B38" s="22" t="n">
        <f aca="false">$B$36-$B$37</f>
        <v>0</v>
      </c>
    </row>
    <row r="39" customFormat="false" ht="15" hidden="false" customHeight="false" outlineLevel="0" collapsed="false">
      <c r="A39" s="11" t="s">
        <v>58</v>
      </c>
      <c r="B39" s="19" t="n">
        <f aca="false">SUM($E$15:$E$29)/$B$35</f>
        <v>6.19779115593521</v>
      </c>
    </row>
    <row r="40" customFormat="false" ht="15" hidden="false" customHeight="false" outlineLevel="0" collapsed="false">
      <c r="A40" s="11" t="s">
        <v>59</v>
      </c>
      <c r="B40" s="21" t="n">
        <f aca="false">$B$39/(1+Yld)</f>
        <v>5.94113416021397</v>
      </c>
    </row>
    <row r="41" customFormat="false" ht="15" hidden="false" customHeight="false" outlineLevel="0" collapsed="false">
      <c r="A41" s="11" t="s">
        <v>60</v>
      </c>
      <c r="B41" s="23" t="n">
        <f aca="false">IssueSize/10000*$B$36</f>
        <v>296585.702560227</v>
      </c>
    </row>
    <row r="43" customFormat="false" ht="15" hidden="false" customHeight="false" outlineLevel="0" collapsed="false">
      <c r="A43" s="10" t="s">
        <v>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20"/>
    <col collapsed="false" customWidth="true" hidden="false" outlineLevel="0" max="3" min="3" style="0" width="24"/>
    <col collapsed="false" customWidth="true" hidden="false" outlineLevel="0" max="4" min="4" style="0" width="22"/>
  </cols>
  <sheetData>
    <row r="1" customFormat="false" ht="19.7" hidden="false" customHeight="false" outlineLevel="0" collapsed="false">
      <c r="A1" s="1" t="s">
        <v>62</v>
      </c>
    </row>
    <row r="2" customFormat="false" ht="15" hidden="false" customHeight="false" outlineLevel="0" collapsed="false">
      <c r="A2" s="2" t="s">
        <v>63</v>
      </c>
    </row>
    <row r="5" customFormat="false" ht="15" hidden="false" customHeight="false" outlineLevel="0" collapsed="false">
      <c r="A5" s="3" t="s">
        <v>64</v>
      </c>
    </row>
    <row r="7" customFormat="false" ht="15" hidden="false" customHeight="false" outlineLevel="0" collapsed="false">
      <c r="A7" s="5" t="s">
        <v>65</v>
      </c>
      <c r="B7" s="6" t="s">
        <v>66</v>
      </c>
      <c r="C7" s="6" t="s">
        <v>67</v>
      </c>
    </row>
    <row r="8" customFormat="false" ht="15" hidden="false" customHeight="false" outlineLevel="0" collapsed="false">
      <c r="A8" s="11" t="s">
        <v>68</v>
      </c>
      <c r="B8" s="24" t="n">
        <f aca="false">CommBp/10000*IssueSize</f>
        <v>1750000</v>
      </c>
      <c r="C8" s="16" t="n">
        <f aca="false">$B8/IssueSize*10000</f>
        <v>35</v>
      </c>
    </row>
    <row r="9" customFormat="false" ht="15" hidden="false" customHeight="false" outlineLevel="0" collapsed="false">
      <c r="A9" s="11" t="s">
        <v>69</v>
      </c>
      <c r="B9" s="24" t="n">
        <f aca="false">SUM(Expenses)</f>
        <v>620000</v>
      </c>
      <c r="C9" s="16" t="n">
        <f aca="false">$B9/IssueSize*10000</f>
        <v>12.4</v>
      </c>
    </row>
    <row r="10" customFormat="false" ht="15" hidden="false" customHeight="false" outlineLevel="0" collapsed="false">
      <c r="A10" s="11" t="s">
        <v>70</v>
      </c>
      <c r="B10" s="24" t="n">
        <f aca="false">ConcLin/10000*IssueSize*Annuity</f>
        <v>1241952.62947095</v>
      </c>
      <c r="C10" s="16" t="n">
        <f aca="false">$B10/IssueSize*10000</f>
        <v>24.839052589419</v>
      </c>
    </row>
    <row r="11" customFormat="false" ht="15" hidden="false" customHeight="false" outlineLevel="0" collapsed="false">
      <c r="A11" s="25" t="s">
        <v>71</v>
      </c>
      <c r="B11" s="26" t="n">
        <f aca="false">SUM($B$8:$B$10)</f>
        <v>3611952.62947095</v>
      </c>
      <c r="C11" s="27" t="n">
        <f aca="false">$B11/IssueSize*10000</f>
        <v>72.239052589419</v>
      </c>
    </row>
    <row r="13" customFormat="false" ht="15" hidden="false" customHeight="false" outlineLevel="0" collapsed="false">
      <c r="A13" s="10" t="s">
        <v>72</v>
      </c>
    </row>
    <row r="16" customFormat="false" ht="15" hidden="false" customHeight="false" outlineLevel="0" collapsed="false">
      <c r="A16" s="3" t="s">
        <v>73</v>
      </c>
    </row>
    <row r="18" customFormat="false" ht="15" hidden="false" customHeight="false" outlineLevel="0" collapsed="false">
      <c r="A18" s="5" t="s">
        <v>43</v>
      </c>
      <c r="B18" s="6" t="s">
        <v>26</v>
      </c>
    </row>
    <row r="19" customFormat="false" ht="15" hidden="false" customHeight="false" outlineLevel="0" collapsed="false">
      <c r="A19" s="11" t="s">
        <v>74</v>
      </c>
      <c r="B19" s="24" t="n">
        <f aca="false">$B$8+$B$9</f>
        <v>2370000</v>
      </c>
    </row>
    <row r="20" customFormat="false" ht="15" hidden="false" customHeight="false" outlineLevel="0" collapsed="false">
      <c r="A20" s="11" t="s">
        <v>75</v>
      </c>
      <c r="B20" s="16" t="n">
        <f aca="false">$B$19/IssueSize*10000</f>
        <v>47.4</v>
      </c>
    </row>
    <row r="21" customFormat="false" ht="15" hidden="false" customHeight="false" outlineLevel="0" collapsed="false">
      <c r="A21" s="11" t="s">
        <v>76</v>
      </c>
      <c r="B21" s="24" t="n">
        <f aca="false">$B$10</f>
        <v>1241952.62947095</v>
      </c>
    </row>
    <row r="22" customFormat="false" ht="15" hidden="false" customHeight="false" outlineLevel="0" collapsed="false">
      <c r="A22" s="11" t="s">
        <v>77</v>
      </c>
      <c r="B22" s="28" t="n">
        <f aca="false">$B$21/$B$11</f>
        <v>0.343845215282589</v>
      </c>
    </row>
    <row r="23" customFormat="false" ht="15" hidden="false" customHeight="false" outlineLevel="0" collapsed="false">
      <c r="A23" s="11" t="s">
        <v>78</v>
      </c>
      <c r="B23" s="29" t="n">
        <f aca="false">$B$21/$B$8</f>
        <v>0.709687216840544</v>
      </c>
    </row>
    <row r="24" customFormat="false" ht="15" hidden="false" customHeight="false" outlineLevel="0" collapsed="false">
      <c r="A24" s="11" t="s">
        <v>79</v>
      </c>
      <c r="B24" s="15" t="n">
        <f aca="false">$B$11/IssueSize</f>
        <v>0.0072239052589419</v>
      </c>
    </row>
    <row r="25" customFormat="false" ht="15" hidden="false" customHeight="false" outlineLevel="0" collapsed="false">
      <c r="A25" s="11" t="s">
        <v>80</v>
      </c>
      <c r="B25" s="22" t="n">
        <f aca="false">$B$11-($B$8+$B$9+$B$10)</f>
        <v>0</v>
      </c>
    </row>
    <row r="27" customFormat="false" ht="15" hidden="false" customHeight="false" outlineLevel="0" collapsed="false">
      <c r="A27" s="10" t="s">
        <v>81</v>
      </c>
    </row>
    <row r="30" customFormat="false" ht="15" hidden="false" customHeight="false" outlineLevel="0" collapsed="false">
      <c r="A30" s="3" t="s">
        <v>82</v>
      </c>
    </row>
    <row r="32" customFormat="false" ht="15" hidden="false" customHeight="false" outlineLevel="0" collapsed="false">
      <c r="A32" s="5" t="s">
        <v>83</v>
      </c>
      <c r="B32" s="6" t="s">
        <v>66</v>
      </c>
      <c r="C32" s="6" t="s">
        <v>67</v>
      </c>
    </row>
    <row r="33" customFormat="false" ht="15" hidden="false" customHeight="false" outlineLevel="0" collapsed="false">
      <c r="A33" s="11" t="str">
        <f aca="false">INDEX(Inputs!$A$29:$A$32,1)</f>
        <v>Legal fees, EUR</v>
      </c>
      <c r="B33" s="24" t="n">
        <f aca="false">INDEX(Expenses,1)</f>
        <v>285000</v>
      </c>
      <c r="C33" s="16" t="n">
        <f aca="false">$B33/IssueSize*10000</f>
        <v>5.7</v>
      </c>
    </row>
    <row r="34" customFormat="false" ht="15" hidden="false" customHeight="false" outlineLevel="0" collapsed="false">
      <c r="A34" s="11" t="str">
        <f aca="false">INDEX(Inputs!$A$29:$A$32,2)</f>
        <v>Rating agency fees, EUR</v>
      </c>
      <c r="B34" s="24" t="n">
        <f aca="false">INDEX(Expenses,2)</f>
        <v>195000</v>
      </c>
      <c r="C34" s="16" t="n">
        <f aca="false">$B34/IssueSize*10000</f>
        <v>3.9</v>
      </c>
    </row>
    <row r="35" customFormat="false" ht="15" hidden="false" customHeight="false" outlineLevel="0" collapsed="false">
      <c r="A35" s="11" t="str">
        <f aca="false">INDEX(Inputs!$A$29:$A$32,3)</f>
        <v>Listing and paying agent, EUR</v>
      </c>
      <c r="B35" s="24" t="n">
        <f aca="false">INDEX(Expenses,3)</f>
        <v>65000</v>
      </c>
      <c r="C35" s="16" t="n">
        <f aca="false">$B35/IssueSize*10000</f>
        <v>1.3</v>
      </c>
    </row>
    <row r="36" customFormat="false" ht="15" hidden="false" customHeight="false" outlineLevel="0" collapsed="false">
      <c r="A36" s="11" t="str">
        <f aca="false">INDEX(Inputs!$A$29:$A$32,4)</f>
        <v>Roadshow, EUR</v>
      </c>
      <c r="B36" s="24" t="n">
        <f aca="false">INDEX(Expenses,4)</f>
        <v>75000</v>
      </c>
      <c r="C36" s="16" t="n">
        <f aca="false">$B36/IssueSize*10000</f>
        <v>1.5</v>
      </c>
    </row>
    <row r="37" customFormat="false" ht="15" hidden="false" customHeight="false" outlineLevel="0" collapsed="false">
      <c r="A37" s="25" t="s">
        <v>84</v>
      </c>
      <c r="B37" s="26" t="n">
        <f aca="false">SUM($B$33:$B$36)</f>
        <v>620000</v>
      </c>
      <c r="C37" s="27" t="n">
        <f aca="false">$B37/IssueSize*10000</f>
        <v>12.4</v>
      </c>
    </row>
    <row r="39" customFormat="false" ht="15" hidden="false" customHeight="false" outlineLevel="0" collapsed="false">
      <c r="A39" s="10" t="s">
        <v>85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18"/>
    <col collapsed="false" customWidth="true" hidden="false" outlineLevel="0" max="5" min="4" style="0" width="22"/>
    <col collapsed="false" customWidth="true" hidden="false" outlineLevel="0" max="6" min="6" style="0" width="20"/>
    <col collapsed="false" customWidth="true" hidden="false" outlineLevel="0" max="7" min="7" style="0" width="22"/>
  </cols>
  <sheetData>
    <row r="1" customFormat="false" ht="19.7" hidden="false" customHeight="false" outlineLevel="0" collapsed="false">
      <c r="A1" s="1" t="s">
        <v>86</v>
      </c>
    </row>
    <row r="2" customFormat="false" ht="15" hidden="false" customHeight="false" outlineLevel="0" collapsed="false">
      <c r="A2" s="2" t="s">
        <v>87</v>
      </c>
    </row>
    <row r="5" customFormat="false" ht="15" hidden="false" customHeight="false" outlineLevel="0" collapsed="false">
      <c r="A5" s="3" t="s">
        <v>88</v>
      </c>
    </row>
    <row r="7" customFormat="false" ht="15" hidden="false" customHeight="false" outlineLevel="0" collapsed="false">
      <c r="A7" s="5" t="s">
        <v>43</v>
      </c>
      <c r="B7" s="6" t="s">
        <v>26</v>
      </c>
    </row>
    <row r="8" customFormat="false" ht="15" hidden="false" customHeight="false" outlineLevel="0" collapsed="false">
      <c r="A8" s="11" t="s">
        <v>89</v>
      </c>
      <c r="B8" s="18" t="n">
        <f aca="false">MAX(1,MIN(COUNT(CurveMat)-1,MATCH(TargetMat,CurveMat,1)))</f>
        <v>2</v>
      </c>
    </row>
    <row r="9" customFormat="false" ht="15" hidden="false" customHeight="false" outlineLevel="0" collapsed="false">
      <c r="A9" s="11" t="s">
        <v>90</v>
      </c>
      <c r="B9" s="29" t="n">
        <f aca="false">INDEX(CurveMat,$B$8)</f>
        <v>4.12</v>
      </c>
    </row>
    <row r="10" customFormat="false" ht="15" hidden="false" customHeight="false" outlineLevel="0" collapsed="false">
      <c r="A10" s="11" t="s">
        <v>91</v>
      </c>
      <c r="B10" s="16" t="n">
        <f aca="false">INDEX(CurveSpr,$B$8)</f>
        <v>88</v>
      </c>
    </row>
    <row r="11" customFormat="false" ht="15" hidden="false" customHeight="false" outlineLevel="0" collapsed="false">
      <c r="A11" s="11" t="s">
        <v>92</v>
      </c>
      <c r="B11" s="29" t="n">
        <f aca="false">INDEX(CurveMat,$B$8+1)</f>
        <v>9.24</v>
      </c>
    </row>
    <row r="12" customFormat="false" ht="15" hidden="false" customHeight="false" outlineLevel="0" collapsed="false">
      <c r="A12" s="11" t="s">
        <v>93</v>
      </c>
      <c r="B12" s="16" t="n">
        <f aca="false">INDEX(CurveSpr,$B$8+1)</f>
        <v>141</v>
      </c>
    </row>
    <row r="15" customFormat="false" ht="15" hidden="false" customHeight="false" outlineLevel="0" collapsed="false">
      <c r="A15" s="3" t="s">
        <v>94</v>
      </c>
    </row>
    <row r="17" customFormat="false" ht="23.85" hidden="false" customHeight="false" outlineLevel="0" collapsed="false">
      <c r="A17" s="5" t="s">
        <v>95</v>
      </c>
      <c r="B17" s="6" t="s">
        <v>96</v>
      </c>
      <c r="C17" s="6" t="s">
        <v>97</v>
      </c>
      <c r="D17" s="6" t="s">
        <v>98</v>
      </c>
      <c r="E17" s="6" t="s">
        <v>99</v>
      </c>
      <c r="F17" s="6" t="s">
        <v>100</v>
      </c>
      <c r="G17" s="6" t="s">
        <v>101</v>
      </c>
    </row>
    <row r="18" customFormat="false" ht="15" hidden="false" customHeight="false" outlineLevel="0" collapsed="false">
      <c r="A18" s="11" t="s">
        <v>102</v>
      </c>
      <c r="B18" s="29" t="n">
        <f aca="false">$B$10+($B$12-$B$10)*(TargetMat-$B$9)/($B$11-$B$9)</f>
        <v>117.8125</v>
      </c>
      <c r="C18" s="29" t="n">
        <f aca="false">ReofferSpr-$B18</f>
        <v>4.1875</v>
      </c>
      <c r="D18" s="24" t="n">
        <f aca="false">$C18/10000*IssueSize*Annuity</f>
        <v>1241952.62947095</v>
      </c>
      <c r="E18" s="24" t="n">
        <f aca="false">'The cost of the issue'!$B$19</f>
        <v>2370000</v>
      </c>
      <c r="F18" s="24" t="n">
        <f aca="false">$D18+$E18</f>
        <v>3611952.62947095</v>
      </c>
      <c r="G18" s="30" t="n">
        <f aca="false">$D18/$F18</f>
        <v>0.343845215282589</v>
      </c>
    </row>
    <row r="19" customFormat="false" ht="15" hidden="false" customHeight="false" outlineLevel="0" collapsed="false">
      <c r="A19" s="11" t="s">
        <v>103</v>
      </c>
      <c r="B19" s="29" t="n">
        <f aca="false">INTERCEPT(CurveSpr,CurveMat)+SLOPE(CurveSpr,CurveMat)*TargetMat</f>
        <v>117.844071047584</v>
      </c>
      <c r="C19" s="29" t="n">
        <f aca="false">ReofferSpr-$B19</f>
        <v>4.15592895241599</v>
      </c>
      <c r="D19" s="24" t="n">
        <f aca="false">$C19/10000*IssueSize*Annuity</f>
        <v>1232589.10814269</v>
      </c>
      <c r="E19" s="24" t="n">
        <f aca="false">'The cost of the issue'!$B$19</f>
        <v>2370000</v>
      </c>
      <c r="F19" s="24" t="n">
        <f aca="false">$D19+$E19</f>
        <v>3602589.10814269</v>
      </c>
      <c r="G19" s="30" t="n">
        <f aca="false">$D19/$F19</f>
        <v>0.34213979755747</v>
      </c>
    </row>
    <row r="20" customFormat="false" ht="15" hidden="false" customHeight="false" outlineLevel="0" collapsed="false">
      <c r="A20" s="11" t="s">
        <v>104</v>
      </c>
      <c r="B20" s="29" t="n">
        <f aca="false">$B$10+($B$12-$B$10)*(SQRT(TargetMat)-SQRT($B$9))/(SQRT($B$11)-SQRT($B$9))</f>
        <v>120.324663166297</v>
      </c>
      <c r="C20" s="29" t="n">
        <f aca="false">ReofferSpr-$B20</f>
        <v>1.67533683370297</v>
      </c>
      <c r="D20" s="24" t="n">
        <f aca="false">$C20/10000*IssueSize*Annuity</f>
        <v>496880.951848823</v>
      </c>
      <c r="E20" s="24" t="n">
        <f aca="false">'The cost of the issue'!$B$19</f>
        <v>2370000</v>
      </c>
      <c r="F20" s="24" t="n">
        <f aca="false">$D20+$E20</f>
        <v>2866880.95184882</v>
      </c>
      <c r="G20" s="30" t="n">
        <f aca="false">$D20/$F20</f>
        <v>0.173317608995375</v>
      </c>
    </row>
    <row r="21" customFormat="false" ht="15" hidden="false" customHeight="false" outlineLevel="0" collapsed="false">
      <c r="A21" s="11" t="s">
        <v>105</v>
      </c>
      <c r="B21" s="29" t="n">
        <f aca="false">$B$10+($B$12-$B$10)*(LN(TargetMat)-LN($B$9))/(LN($B$11)-LN($B$9))</f>
        <v>122.78198898463</v>
      </c>
      <c r="C21" s="29" t="n">
        <f aca="false">ReofferSpr-$B21</f>
        <v>-0.781988984629805</v>
      </c>
      <c r="D21" s="24" t="n">
        <f aca="false">$C21/10000*IssueSize*Annuity</f>
        <v>-231926.75240079</v>
      </c>
      <c r="E21" s="24" t="n">
        <f aca="false">'The cost of the issue'!$B$19</f>
        <v>2370000</v>
      </c>
      <c r="F21" s="24" t="n">
        <f aca="false">$D21+$E21</f>
        <v>2138073.24759921</v>
      </c>
      <c r="G21" s="30" t="n">
        <f aca="false">$D21/$F21</f>
        <v>-0.10847465242887</v>
      </c>
    </row>
    <row r="23" customFormat="false" ht="15" hidden="false" customHeight="false" outlineLevel="0" collapsed="false">
      <c r="A23" s="10" t="s">
        <v>106</v>
      </c>
    </row>
    <row r="26" customFormat="false" ht="15" hidden="false" customHeight="false" outlineLevel="0" collapsed="false">
      <c r="A26" s="3" t="s">
        <v>107</v>
      </c>
    </row>
    <row r="28" customFormat="false" ht="15" hidden="false" customHeight="false" outlineLevel="0" collapsed="false">
      <c r="A28" s="5" t="s">
        <v>43</v>
      </c>
      <c r="B28" s="6" t="s">
        <v>26</v>
      </c>
    </row>
    <row r="29" customFormat="false" ht="15" hidden="false" customHeight="false" outlineLevel="0" collapsed="false">
      <c r="A29" s="11" t="s">
        <v>108</v>
      </c>
      <c r="B29" s="24" t="n">
        <f aca="false">MAX($F$18:$F$21)</f>
        <v>3611952.62947095</v>
      </c>
    </row>
    <row r="30" customFormat="false" ht="15" hidden="false" customHeight="false" outlineLevel="0" collapsed="false">
      <c r="A30" s="11" t="s">
        <v>109</v>
      </c>
      <c r="B30" s="24" t="n">
        <f aca="false">MIN($F$18:$F$21)</f>
        <v>2138073.24759921</v>
      </c>
    </row>
    <row r="31" customFormat="false" ht="15" hidden="false" customHeight="false" outlineLevel="0" collapsed="false">
      <c r="A31" s="11" t="s">
        <v>110</v>
      </c>
      <c r="B31" s="26" t="n">
        <f aca="false">$B$29-$B$30</f>
        <v>1473879.38187174</v>
      </c>
    </row>
    <row r="32" customFormat="false" ht="15" hidden="false" customHeight="false" outlineLevel="0" collapsed="false">
      <c r="A32" s="11" t="s">
        <v>111</v>
      </c>
      <c r="B32" s="30" t="n">
        <f aca="false">MAX($G$18:$G$21)</f>
        <v>0.343845215282589</v>
      </c>
    </row>
    <row r="33" customFormat="false" ht="15" hidden="false" customHeight="false" outlineLevel="0" collapsed="false">
      <c r="A33" s="11" t="s">
        <v>112</v>
      </c>
      <c r="B33" s="30" t="n">
        <f aca="false">MIN($G$18:$G$21)</f>
        <v>-0.10847465242887</v>
      </c>
    </row>
    <row r="34" customFormat="false" ht="15" hidden="false" customHeight="false" outlineLevel="0" collapsed="false">
      <c r="A34" s="11" t="s">
        <v>113</v>
      </c>
      <c r="B34" s="31" t="n">
        <f aca="false">($B$32-$B$33)*100</f>
        <v>45.2319867711459</v>
      </c>
    </row>
    <row r="35" customFormat="false" ht="15" hidden="false" customHeight="false" outlineLevel="0" collapsed="false">
      <c r="A35" s="11" t="s">
        <v>114</v>
      </c>
      <c r="B35" s="16" t="n">
        <f aca="false">$F$21/IssueSize*10000</f>
        <v>42.7614649519842</v>
      </c>
    </row>
    <row r="36" customFormat="false" ht="15" hidden="false" customHeight="false" outlineLevel="0" collapsed="false">
      <c r="A36" s="11" t="s">
        <v>115</v>
      </c>
      <c r="B36" s="18" t="n">
        <f aca="false">IF(MIN($G$18:$G$21)&lt;0,1,0)</f>
        <v>1</v>
      </c>
    </row>
    <row r="37" customFormat="false" ht="15" hidden="false" customHeight="false" outlineLevel="0" collapsed="false">
      <c r="A37" s="11" t="s">
        <v>116</v>
      </c>
      <c r="B37" s="24" t="n">
        <f aca="false">MIN($D$18:$D$21)</f>
        <v>-231926.75240079</v>
      </c>
    </row>
    <row r="39" customFormat="false" ht="15" hidden="false" customHeight="false" outlineLevel="0" collapsed="false">
      <c r="A39" s="10" t="s">
        <v>117</v>
      </c>
    </row>
    <row r="42" customFormat="false" ht="15" hidden="false" customHeight="false" outlineLevel="0" collapsed="false">
      <c r="A42" s="3" t="s">
        <v>118</v>
      </c>
    </row>
    <row r="44" customFormat="false" ht="15" hidden="false" customHeight="false" outlineLevel="0" collapsed="false">
      <c r="A44" s="5" t="s">
        <v>43</v>
      </c>
      <c r="B44" s="6" t="s">
        <v>26</v>
      </c>
    </row>
    <row r="45" customFormat="false" ht="15" hidden="false" customHeight="false" outlineLevel="0" collapsed="false">
      <c r="A45" s="11" t="s">
        <v>119</v>
      </c>
      <c r="B45" s="29" t="n">
        <f aca="false">$B$31/'The cost of the issue'!$B$8</f>
        <v>0.842216789640995</v>
      </c>
    </row>
    <row r="47" customFormat="false" ht="15" hidden="false" customHeight="false" outlineLevel="0" collapsed="false">
      <c r="A47" s="10" t="s">
        <v>120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2" min="2" style="0" width="20"/>
    <col collapsed="false" customWidth="true" hidden="false" outlineLevel="0" max="4" min="3" style="0" width="24"/>
    <col collapsed="false" customWidth="true" hidden="false" outlineLevel="0" max="5" min="5" style="0" width="22"/>
  </cols>
  <sheetData>
    <row r="1" customFormat="false" ht="19.7" hidden="false" customHeight="false" outlineLevel="0" collapsed="false">
      <c r="A1" s="1" t="s">
        <v>121</v>
      </c>
    </row>
    <row r="2" customFormat="false" ht="15" hidden="false" customHeight="false" outlineLevel="0" collapsed="false">
      <c r="A2" s="2" t="s">
        <v>122</v>
      </c>
    </row>
    <row r="5" customFormat="false" ht="15" hidden="false" customHeight="false" outlineLevel="0" collapsed="false">
      <c r="A5" s="3" t="s">
        <v>123</v>
      </c>
    </row>
    <row r="7" customFormat="false" ht="15" hidden="false" customHeight="false" outlineLevel="0" collapsed="false">
      <c r="A7" s="5" t="s">
        <v>43</v>
      </c>
      <c r="B7" s="6" t="s">
        <v>26</v>
      </c>
    </row>
    <row r="8" customFormat="false" ht="15" hidden="false" customHeight="false" outlineLevel="0" collapsed="false">
      <c r="A8" s="11" t="s">
        <v>124</v>
      </c>
      <c r="B8" s="23" t="n">
        <f aca="false">PV01</f>
        <v>296585.702560227</v>
      </c>
    </row>
    <row r="9" customFormat="false" ht="15" hidden="false" customHeight="false" outlineLevel="0" collapsed="false">
      <c r="A9" s="11" t="s">
        <v>125</v>
      </c>
      <c r="B9" s="24" t="n">
        <f aca="false">'The cost of the issue'!$B$8</f>
        <v>1750000</v>
      </c>
    </row>
    <row r="10" customFormat="false" ht="15" hidden="false" customHeight="false" outlineLevel="0" collapsed="false">
      <c r="A10" s="11" t="s">
        <v>126</v>
      </c>
      <c r="B10" s="24" t="n">
        <f aca="false">'The cost of the issue'!$B$9</f>
        <v>620000</v>
      </c>
    </row>
    <row r="11" customFormat="false" ht="15" hidden="false" customHeight="false" outlineLevel="0" collapsed="false">
      <c r="A11" s="11" t="s">
        <v>127</v>
      </c>
      <c r="B11" s="24" t="n">
        <f aca="false">'The cost of the issue'!$B$19</f>
        <v>2370000</v>
      </c>
    </row>
    <row r="13" customFormat="false" ht="15" hidden="false" customHeight="false" outlineLevel="0" collapsed="false">
      <c r="A13" s="3" t="s">
        <v>128</v>
      </c>
    </row>
    <row r="15" customFormat="false" ht="15" hidden="false" customHeight="false" outlineLevel="0" collapsed="false">
      <c r="A15" s="5" t="s">
        <v>43</v>
      </c>
      <c r="B15" s="6" t="s">
        <v>26</v>
      </c>
    </row>
    <row r="16" customFormat="false" ht="15" hidden="false" customHeight="false" outlineLevel="0" collapsed="false">
      <c r="A16" s="11" t="s">
        <v>129</v>
      </c>
      <c r="B16" s="27" t="n">
        <f aca="false">$B$9/$B$8</f>
        <v>5.90048672236528</v>
      </c>
    </row>
    <row r="17" customFormat="false" ht="15" hidden="false" customHeight="false" outlineLevel="0" collapsed="false">
      <c r="A17" s="11" t="s">
        <v>130</v>
      </c>
      <c r="B17" s="27" t="n">
        <f aca="false">$B$11/$B$8</f>
        <v>7.99094487543184</v>
      </c>
    </row>
    <row r="18" customFormat="false" ht="15" hidden="false" customHeight="false" outlineLevel="0" collapsed="false">
      <c r="A18" s="11" t="s">
        <v>131</v>
      </c>
      <c r="B18" s="32" t="n">
        <f aca="false">$B$16*$B$8-$B$9</f>
        <v>0</v>
      </c>
    </row>
    <row r="19" customFormat="false" ht="15" hidden="false" customHeight="false" outlineLevel="0" collapsed="false">
      <c r="A19" s="11" t="s">
        <v>132</v>
      </c>
      <c r="B19" s="32" t="n">
        <f aca="false">$B$17*$B$8-$B$11</f>
        <v>0</v>
      </c>
    </row>
    <row r="20" customFormat="false" ht="15" hidden="false" customHeight="false" outlineLevel="0" collapsed="false">
      <c r="A20" s="11" t="s">
        <v>133</v>
      </c>
      <c r="B20" s="29" t="n">
        <f aca="false">ConcLin</f>
        <v>4.1875</v>
      </c>
    </row>
    <row r="21" customFormat="false" ht="15" hidden="false" customHeight="false" outlineLevel="0" collapsed="false">
      <c r="A21" s="11" t="s">
        <v>134</v>
      </c>
      <c r="B21" s="18" t="n">
        <f aca="false">IF($B$20&gt;$B$16,1,0)</f>
        <v>0</v>
      </c>
    </row>
    <row r="23" customFormat="false" ht="15" hidden="false" customHeight="false" outlineLevel="0" collapsed="false">
      <c r="A23" s="10" t="s">
        <v>135</v>
      </c>
    </row>
    <row r="26" customFormat="false" ht="15" hidden="false" customHeight="false" outlineLevel="0" collapsed="false">
      <c r="A26" s="3" t="s">
        <v>136</v>
      </c>
    </row>
    <row r="28" customFormat="false" ht="23.85" hidden="false" customHeight="false" outlineLevel="0" collapsed="false">
      <c r="A28" s="5" t="s">
        <v>97</v>
      </c>
      <c r="B28" s="6" t="s">
        <v>137</v>
      </c>
      <c r="C28" s="6" t="s">
        <v>138</v>
      </c>
      <c r="D28" s="6" t="s">
        <v>101</v>
      </c>
    </row>
    <row r="29" customFormat="false" ht="15" hidden="false" customHeight="false" outlineLevel="0" collapsed="false">
      <c r="A29" s="29" t="n">
        <f aca="false">ConcLin</f>
        <v>4.1875</v>
      </c>
      <c r="B29" s="24" t="n">
        <f aca="false">$A29*$B$8</f>
        <v>1241952.62947095</v>
      </c>
      <c r="C29" s="29" t="n">
        <f aca="false">$B29/$B$9</f>
        <v>0.709687216840544</v>
      </c>
      <c r="D29" s="30" t="n">
        <f aca="false">$B29/($B29+$B$11)</f>
        <v>0.343845215282589</v>
      </c>
    </row>
    <row r="30" customFormat="false" ht="15" hidden="false" customHeight="false" outlineLevel="0" collapsed="false">
      <c r="A30" s="8" t="n">
        <v>8</v>
      </c>
      <c r="B30" s="24" t="n">
        <f aca="false">$A30*$B$8</f>
        <v>2372685.62048182</v>
      </c>
      <c r="C30" s="29" t="n">
        <f aca="false">$B30/$B$9</f>
        <v>1.35582035456104</v>
      </c>
      <c r="D30" s="30" t="n">
        <f aca="false">$B30/($B30+$B$11)</f>
        <v>0.500283132880474</v>
      </c>
    </row>
    <row r="31" customFormat="false" ht="15" hidden="false" customHeight="false" outlineLevel="0" collapsed="false">
      <c r="A31" s="8" t="n">
        <v>12</v>
      </c>
      <c r="B31" s="24" t="n">
        <f aca="false">$A31*$B$8</f>
        <v>3559028.43072273</v>
      </c>
      <c r="C31" s="29" t="n">
        <f aca="false">$B31/$B$9</f>
        <v>2.03373053184156</v>
      </c>
      <c r="D31" s="30" t="n">
        <f aca="false">$B31/($B31+$B$11)</f>
        <v>0.600271776785677</v>
      </c>
    </row>
    <row r="33" customFormat="false" ht="15" hidden="false" customHeight="false" outlineLevel="0" collapsed="false">
      <c r="A33" s="10" t="s">
        <v>139</v>
      </c>
    </row>
    <row r="36" customFormat="false" ht="15" hidden="false" customHeight="false" outlineLevel="0" collapsed="false">
      <c r="A36" s="3" t="s">
        <v>140</v>
      </c>
    </row>
    <row r="38" customFormat="false" ht="23.85" hidden="false" customHeight="false" outlineLevel="0" collapsed="false">
      <c r="A38" s="5" t="s">
        <v>141</v>
      </c>
      <c r="B38" s="6" t="s">
        <v>66</v>
      </c>
      <c r="C38" s="6" t="s">
        <v>142</v>
      </c>
    </row>
    <row r="39" customFormat="false" ht="15" hidden="false" customHeight="false" outlineLevel="0" collapsed="false">
      <c r="A39" s="11" t="s">
        <v>143</v>
      </c>
      <c r="B39" s="24" t="n">
        <f aca="false">ConcLin/10000*IssueSize*Tenor</f>
        <v>1465625</v>
      </c>
      <c r="C39" s="24" t="n">
        <f aca="false">$B39-$B$40</f>
        <v>223672.370529048</v>
      </c>
    </row>
    <row r="40" customFormat="false" ht="15" hidden="false" customHeight="false" outlineLevel="0" collapsed="false">
      <c r="A40" s="11" t="s">
        <v>144</v>
      </c>
      <c r="B40" s="24" t="n">
        <f aca="false">ConcLin/10000*IssueSize*Annuity</f>
        <v>1241952.62947095</v>
      </c>
      <c r="C40" s="24" t="n">
        <f aca="false">$B40-$B$40</f>
        <v>0</v>
      </c>
    </row>
    <row r="41" customFormat="false" ht="15" hidden="false" customHeight="false" outlineLevel="0" collapsed="false">
      <c r="A41" s="11" t="s">
        <v>145</v>
      </c>
      <c r="B41" s="24" t="n">
        <f aca="false">ConcLin/10000*IssueSize*ModDur</f>
        <v>1243924.9647948</v>
      </c>
      <c r="C41" s="24" t="n">
        <f aca="false">$B41-$B$40</f>
        <v>1972.33532384783</v>
      </c>
    </row>
    <row r="42" customFormat="false" ht="15" hidden="false" customHeight="false" outlineLevel="0" collapsed="false">
      <c r="A42" s="11" t="s">
        <v>146</v>
      </c>
      <c r="B42" s="24" t="n">
        <f aca="false">ConcLin/10000*IssueSize</f>
        <v>209375</v>
      </c>
    </row>
    <row r="44" customFormat="false" ht="15" hidden="false" customHeight="false" outlineLevel="0" collapsed="false">
      <c r="A44" s="10" t="s">
        <v>147</v>
      </c>
    </row>
    <row r="47" customFormat="false" ht="15" hidden="false" customHeight="false" outlineLevel="0" collapsed="false">
      <c r="A47" s="3" t="s">
        <v>148</v>
      </c>
    </row>
    <row r="49" customFormat="false" ht="15" hidden="false" customHeight="false" outlineLevel="0" collapsed="false">
      <c r="A49" s="5" t="s">
        <v>43</v>
      </c>
      <c r="B49" s="6" t="s">
        <v>26</v>
      </c>
    </row>
    <row r="50" customFormat="false" ht="15" hidden="false" customHeight="false" outlineLevel="0" collapsed="false">
      <c r="A50" s="11" t="s">
        <v>149</v>
      </c>
      <c r="B50" s="27" t="n">
        <f aca="false">$A$30</f>
        <v>8</v>
      </c>
    </row>
    <row r="51" customFormat="false" ht="15" hidden="false" customHeight="false" outlineLevel="0" collapsed="false">
      <c r="A51" s="11" t="s">
        <v>150</v>
      </c>
      <c r="B51" s="33" t="n">
        <f aca="false">IF($B$16&lt;$B$50,1,0)</f>
        <v>1</v>
      </c>
    </row>
    <row r="52" customFormat="false" ht="15" hidden="false" customHeight="false" outlineLevel="0" collapsed="false">
      <c r="A52" s="11" t="s">
        <v>151</v>
      </c>
      <c r="B52" s="33" t="n">
        <f aca="false">IF($B$17&lt;$B$50,1,0)</f>
        <v>1</v>
      </c>
    </row>
    <row r="53" customFormat="false" ht="15" hidden="false" customHeight="false" outlineLevel="0" collapsed="false">
      <c r="A53" s="11" t="s">
        <v>152</v>
      </c>
      <c r="B53" s="31" t="n">
        <f aca="false">$B$50-$B$17</f>
        <v>0.00905512456816293</v>
      </c>
    </row>
    <row r="55" customFormat="false" ht="15" hidden="false" customHeight="false" outlineLevel="0" collapsed="false">
      <c r="A55" s="10" t="s">
        <v>153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8"/>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19.7" hidden="false" customHeight="false" outlineLevel="0" collapsed="false">
      <c r="A1" s="1" t="s">
        <v>154</v>
      </c>
    </row>
    <row r="2" customFormat="false" ht="15" hidden="false" customHeight="false" outlineLevel="0" collapsed="false">
      <c r="A2" s="2" t="s">
        <v>155</v>
      </c>
    </row>
    <row r="5" customFormat="false" ht="15" hidden="false" customHeight="false" outlineLevel="0" collapsed="false">
      <c r="A5" s="10" t="s">
        <v>156</v>
      </c>
    </row>
    <row r="7" customFormat="false" ht="15" hidden="false" customHeight="false" outlineLevel="0" collapsed="false">
      <c r="A7" s="5" t="s">
        <v>157</v>
      </c>
      <c r="B7" s="6" t="s">
        <v>158</v>
      </c>
      <c r="C7" s="6" t="s">
        <v>159</v>
      </c>
      <c r="D7" s="6" t="s">
        <v>160</v>
      </c>
      <c r="E7" s="6" t="s">
        <v>161</v>
      </c>
      <c r="F7" s="6" t="s">
        <v>162</v>
      </c>
    </row>
    <row r="8" customFormat="false" ht="15" hidden="false" customHeight="false" outlineLevel="0" collapsed="false">
      <c r="A8" s="11" t="s">
        <v>163</v>
      </c>
      <c r="B8" s="11" t="s">
        <v>125</v>
      </c>
      <c r="C8" s="24" t="n">
        <v>1750000</v>
      </c>
      <c r="D8" s="24" t="n">
        <f aca="false">'The cost of the issue'!$B$8</f>
        <v>1750000</v>
      </c>
      <c r="E8" s="20" t="n">
        <f aca="false">D8-C8</f>
        <v>0</v>
      </c>
      <c r="F8" s="34" t="str">
        <f aca="false">IF(ABS(E8)&lt;=0.5,"PASS","FAIL")</f>
        <v>PASS</v>
      </c>
    </row>
    <row r="9" customFormat="false" ht="15" hidden="false" customHeight="false" outlineLevel="0" collapsed="false">
      <c r="A9" s="11" t="s">
        <v>163</v>
      </c>
      <c r="B9" s="11" t="s">
        <v>34</v>
      </c>
      <c r="C9" s="16" t="n">
        <v>35</v>
      </c>
      <c r="D9" s="16" t="n">
        <f aca="false">'The cost of the issue'!$C$8</f>
        <v>35</v>
      </c>
      <c r="E9" s="20" t="n">
        <f aca="false">D9-C9</f>
        <v>0</v>
      </c>
      <c r="F9" s="34" t="str">
        <f aca="false">IF(ABS(E9)&lt;=0.005,"PASS","FAIL")</f>
        <v>PASS</v>
      </c>
    </row>
    <row r="10" customFormat="false" ht="15" hidden="false" customHeight="false" outlineLevel="0" collapsed="false">
      <c r="A10" s="11" t="s">
        <v>163</v>
      </c>
      <c r="B10" s="11" t="s">
        <v>164</v>
      </c>
      <c r="C10" s="24" t="n">
        <v>620000</v>
      </c>
      <c r="D10" s="24" t="n">
        <f aca="false">'The cost of the issue'!$B$9</f>
        <v>620000</v>
      </c>
      <c r="E10" s="20" t="n">
        <f aca="false">D10-C10</f>
        <v>0</v>
      </c>
      <c r="F10" s="34" t="str">
        <f aca="false">IF(ABS(E10)&lt;=0.5,"PASS","FAIL")</f>
        <v>PASS</v>
      </c>
    </row>
    <row r="11" customFormat="false" ht="15" hidden="false" customHeight="false" outlineLevel="0" collapsed="false">
      <c r="A11" s="11" t="s">
        <v>163</v>
      </c>
      <c r="B11" s="11" t="s">
        <v>165</v>
      </c>
      <c r="C11" s="16" t="n">
        <v>12.4</v>
      </c>
      <c r="D11" s="16" t="n">
        <f aca="false">'The cost of the issue'!$C$9</f>
        <v>12.4</v>
      </c>
      <c r="E11" s="20" t="n">
        <f aca="false">D11-C11</f>
        <v>0</v>
      </c>
      <c r="F11" s="34" t="str">
        <f aca="false">IF(ABS(E11)&lt;=0.005,"PASS","FAIL")</f>
        <v>PASS</v>
      </c>
    </row>
    <row r="12" customFormat="false" ht="15" hidden="false" customHeight="false" outlineLevel="0" collapsed="false">
      <c r="A12" s="11" t="s">
        <v>163</v>
      </c>
      <c r="B12" s="11" t="s">
        <v>166</v>
      </c>
      <c r="C12" s="24" t="n">
        <v>1241953</v>
      </c>
      <c r="D12" s="24" t="n">
        <f aca="false">'The cost of the issue'!$B$10</f>
        <v>1241952.62947095</v>
      </c>
      <c r="E12" s="20" t="n">
        <f aca="false">D12-C12</f>
        <v>-0.370529047911987</v>
      </c>
      <c r="F12" s="34" t="str">
        <f aca="false">IF(ABS(E12)&lt;=0.5,"PASS","FAIL")</f>
        <v>PASS</v>
      </c>
    </row>
    <row r="13" customFormat="false" ht="15" hidden="false" customHeight="false" outlineLevel="0" collapsed="false">
      <c r="A13" s="11" t="s">
        <v>163</v>
      </c>
      <c r="B13" s="11" t="s">
        <v>167</v>
      </c>
      <c r="C13" s="16" t="n">
        <v>24.84</v>
      </c>
      <c r="D13" s="16" t="n">
        <f aca="false">'The cost of the issue'!$C$10</f>
        <v>24.839052589419</v>
      </c>
      <c r="E13" s="20" t="n">
        <f aca="false">D13-C13</f>
        <v>-0.000947410580959485</v>
      </c>
      <c r="F13" s="34" t="str">
        <f aca="false">IF(ABS(E13)&lt;=0.005,"PASS","FAIL")</f>
        <v>PASS</v>
      </c>
    </row>
    <row r="14" customFormat="false" ht="15" hidden="false" customHeight="false" outlineLevel="0" collapsed="false">
      <c r="A14" s="11" t="s">
        <v>163</v>
      </c>
      <c r="B14" s="11" t="s">
        <v>168</v>
      </c>
      <c r="C14" s="24" t="n">
        <v>3611953</v>
      </c>
      <c r="D14" s="24" t="n">
        <f aca="false">'The cost of the issue'!$B$11</f>
        <v>3611952.62947095</v>
      </c>
      <c r="E14" s="20" t="n">
        <f aca="false">D14-C14</f>
        <v>-0.370529048144817</v>
      </c>
      <c r="F14" s="34" t="str">
        <f aca="false">IF(ABS(E14)&lt;=0.5,"PASS","FAIL")</f>
        <v>PASS</v>
      </c>
    </row>
    <row r="15" customFormat="false" ht="15" hidden="false" customHeight="false" outlineLevel="0" collapsed="false">
      <c r="A15" s="11" t="s">
        <v>163</v>
      </c>
      <c r="B15" s="11" t="s">
        <v>169</v>
      </c>
      <c r="C15" s="16" t="n">
        <v>72.24</v>
      </c>
      <c r="D15" s="16" t="n">
        <f aca="false">'The cost of the issue'!$C$11</f>
        <v>72.239052589419</v>
      </c>
      <c r="E15" s="20" t="n">
        <f aca="false">D15-C15</f>
        <v>-0.000947410580963037</v>
      </c>
      <c r="F15" s="34" t="str">
        <f aca="false">IF(ABS(E15)&lt;=0.005,"PASS","FAIL")</f>
        <v>PASS</v>
      </c>
    </row>
    <row r="16" customFormat="false" ht="15" hidden="false" customHeight="false" outlineLevel="0" collapsed="false">
      <c r="A16" s="11" t="s">
        <v>163</v>
      </c>
      <c r="B16" s="11" t="s">
        <v>74</v>
      </c>
      <c r="C16" s="24" t="n">
        <v>2370000</v>
      </c>
      <c r="D16" s="24" t="n">
        <f aca="false">'The cost of the issue'!$B$19</f>
        <v>2370000</v>
      </c>
      <c r="E16" s="20" t="n">
        <f aca="false">D16-C16</f>
        <v>0</v>
      </c>
      <c r="F16" s="34" t="str">
        <f aca="false">IF(ABS(E16)&lt;=0.5,"PASS","FAIL")</f>
        <v>PASS</v>
      </c>
    </row>
    <row r="17" customFormat="false" ht="15" hidden="false" customHeight="false" outlineLevel="0" collapsed="false">
      <c r="A17" s="11" t="s">
        <v>163</v>
      </c>
      <c r="B17" s="11" t="s">
        <v>75</v>
      </c>
      <c r="C17" s="16" t="n">
        <v>47.4</v>
      </c>
      <c r="D17" s="16" t="n">
        <f aca="false">'The cost of the issue'!$B$20</f>
        <v>47.4</v>
      </c>
      <c r="E17" s="20" t="n">
        <f aca="false">D17-C17</f>
        <v>0</v>
      </c>
      <c r="F17" s="34" t="str">
        <f aca="false">IF(ABS(E17)&lt;=0.005,"PASS","FAIL")</f>
        <v>PASS</v>
      </c>
    </row>
    <row r="18" customFormat="false" ht="15" hidden="false" customHeight="false" outlineLevel="0" collapsed="false">
      <c r="A18" s="11" t="s">
        <v>163</v>
      </c>
      <c r="B18" s="11" t="s">
        <v>77</v>
      </c>
      <c r="C18" s="15" t="n">
        <v>0.3438</v>
      </c>
      <c r="D18" s="15" t="n">
        <f aca="false">'The cost of the issue'!$B$22</f>
        <v>0.343845215282589</v>
      </c>
      <c r="E18" s="20" t="n">
        <f aca="false">D18-C18</f>
        <v>4.52152825887731E-005</v>
      </c>
      <c r="F18" s="34" t="str">
        <f aca="false">IF(ABS(E18)&lt;=0.00005,"PASS","FAIL")</f>
        <v>PASS</v>
      </c>
    </row>
    <row r="19" customFormat="false" ht="15" hidden="false" customHeight="false" outlineLevel="0" collapsed="false">
      <c r="A19" s="11" t="s">
        <v>163</v>
      </c>
      <c r="B19" s="11" t="s">
        <v>78</v>
      </c>
      <c r="C19" s="29" t="n">
        <v>0.71</v>
      </c>
      <c r="D19" s="29" t="n">
        <f aca="false">'The cost of the issue'!$B$23</f>
        <v>0.709687216840544</v>
      </c>
      <c r="E19" s="20" t="n">
        <f aca="false">D19-C19</f>
        <v>-0.000312783159455932</v>
      </c>
      <c r="F19" s="34" t="str">
        <f aca="false">IF(ABS(E19)&lt;=0.005,"PASS","FAIL")</f>
        <v>PASS</v>
      </c>
    </row>
    <row r="20" customFormat="false" ht="15" hidden="false" customHeight="false" outlineLevel="0" collapsed="false">
      <c r="A20" s="11" t="s">
        <v>170</v>
      </c>
      <c r="B20" s="11" t="s">
        <v>171</v>
      </c>
      <c r="C20" s="15" t="n">
        <v>0.00722</v>
      </c>
      <c r="D20" s="15" t="n">
        <f aca="false">'The cost of the issue'!$B$24</f>
        <v>0.0072239052589419</v>
      </c>
      <c r="E20" s="20" t="n">
        <f aca="false">D20-C20</f>
        <v>3.90525894190374E-006</v>
      </c>
      <c r="F20" s="34" t="str">
        <f aca="false">IF(ABS(E20)&lt;=0.000005,"PASS","FAIL")</f>
        <v>PASS</v>
      </c>
    </row>
    <row r="21" customFormat="false" ht="15" hidden="false" customHeight="false" outlineLevel="0" collapsed="false">
      <c r="A21" s="11" t="s">
        <v>172</v>
      </c>
      <c r="B21" s="11" t="s">
        <v>173</v>
      </c>
      <c r="C21" s="24" t="n">
        <v>285000</v>
      </c>
      <c r="D21" s="24" t="n">
        <f aca="false">INDEX(Expenses,1)</f>
        <v>285000</v>
      </c>
      <c r="E21" s="20" t="n">
        <f aca="false">D21-C21</f>
        <v>0</v>
      </c>
      <c r="F21" s="34" t="str">
        <f aca="false">IF(ABS(E21)&lt;=0.5,"PASS","FAIL")</f>
        <v>PASS</v>
      </c>
    </row>
    <row r="22" customFormat="false" ht="15" hidden="false" customHeight="false" outlineLevel="0" collapsed="false">
      <c r="A22" s="11" t="s">
        <v>172</v>
      </c>
      <c r="B22" s="11" t="s">
        <v>174</v>
      </c>
      <c r="C22" s="24" t="n">
        <v>195000</v>
      </c>
      <c r="D22" s="24" t="n">
        <f aca="false">INDEX(Expenses,2)</f>
        <v>195000</v>
      </c>
      <c r="E22" s="20" t="n">
        <f aca="false">D22-C22</f>
        <v>0</v>
      </c>
      <c r="F22" s="34" t="str">
        <f aca="false">IF(ABS(E22)&lt;=0.5,"PASS","FAIL")</f>
        <v>PASS</v>
      </c>
    </row>
    <row r="23" customFormat="false" ht="15" hidden="false" customHeight="false" outlineLevel="0" collapsed="false">
      <c r="A23" s="11" t="s">
        <v>172</v>
      </c>
      <c r="B23" s="11" t="s">
        <v>175</v>
      </c>
      <c r="C23" s="24" t="n">
        <v>65000</v>
      </c>
      <c r="D23" s="24" t="n">
        <f aca="false">INDEX(Expenses,3)</f>
        <v>65000</v>
      </c>
      <c r="E23" s="20" t="n">
        <f aca="false">D23-C23</f>
        <v>0</v>
      </c>
      <c r="F23" s="34" t="str">
        <f aca="false">IF(ABS(E23)&lt;=0.5,"PASS","FAIL")</f>
        <v>PASS</v>
      </c>
    </row>
    <row r="24" customFormat="false" ht="15" hidden="false" customHeight="false" outlineLevel="0" collapsed="false">
      <c r="A24" s="11" t="s">
        <v>172</v>
      </c>
      <c r="B24" s="11" t="s">
        <v>176</v>
      </c>
      <c r="C24" s="24" t="n">
        <v>75000</v>
      </c>
      <c r="D24" s="24" t="n">
        <f aca="false">INDEX(Expenses,4)</f>
        <v>75000</v>
      </c>
      <c r="E24" s="20" t="n">
        <f aca="false">D24-C24</f>
        <v>0</v>
      </c>
      <c r="F24" s="34" t="str">
        <f aca="false">IF(ABS(E24)&lt;=0.5,"PASS","FAIL")</f>
        <v>PASS</v>
      </c>
    </row>
    <row r="25" customFormat="false" ht="15" hidden="false" customHeight="false" outlineLevel="0" collapsed="false">
      <c r="A25" s="11" t="s">
        <v>172</v>
      </c>
      <c r="B25" s="11" t="s">
        <v>177</v>
      </c>
      <c r="C25" s="24" t="n">
        <v>620000</v>
      </c>
      <c r="D25" s="24" t="n">
        <f aca="false">'The cost of the issue'!$B$37</f>
        <v>620000</v>
      </c>
      <c r="E25" s="20" t="n">
        <f aca="false">D25-C25</f>
        <v>0</v>
      </c>
      <c r="F25" s="34" t="str">
        <f aca="false">IF(ABS(E25)&lt;=0.5,"PASS","FAIL")</f>
        <v>PASS</v>
      </c>
    </row>
    <row r="26" customFormat="false" ht="15" hidden="false" customHeight="false" outlineLevel="0" collapsed="false">
      <c r="A26" s="11" t="s">
        <v>178</v>
      </c>
      <c r="B26" s="11" t="s">
        <v>179</v>
      </c>
      <c r="C26" s="29" t="n">
        <v>117.81</v>
      </c>
      <c r="D26" s="29" t="n">
        <f aca="false">'The four conventions'!$B$18</f>
        <v>117.8125</v>
      </c>
      <c r="E26" s="20" t="n">
        <f aca="false">D26-C26</f>
        <v>0.00249999999999773</v>
      </c>
      <c r="F26" s="34" t="str">
        <f aca="false">IF(ABS(E26)&lt;=0.005,"PASS","FAIL")</f>
        <v>PASS</v>
      </c>
    </row>
    <row r="27" customFormat="false" ht="15" hidden="false" customHeight="false" outlineLevel="0" collapsed="false">
      <c r="A27" s="11" t="s">
        <v>178</v>
      </c>
      <c r="B27" s="11" t="s">
        <v>180</v>
      </c>
      <c r="C27" s="29" t="n">
        <v>4.19</v>
      </c>
      <c r="D27" s="29" t="n">
        <f aca="false">'The four conventions'!$C$18</f>
        <v>4.1875</v>
      </c>
      <c r="E27" s="20" t="n">
        <f aca="false">D27-C27</f>
        <v>-0.00250000000000039</v>
      </c>
      <c r="F27" s="34" t="str">
        <f aca="false">IF(ABS(E27)&lt;=0.005,"PASS","FAIL")</f>
        <v>PASS</v>
      </c>
    </row>
    <row r="28" customFormat="false" ht="15" hidden="false" customHeight="false" outlineLevel="0" collapsed="false">
      <c r="A28" s="11" t="s">
        <v>178</v>
      </c>
      <c r="B28" s="11" t="s">
        <v>181</v>
      </c>
      <c r="C28" s="29" t="n">
        <v>117.84</v>
      </c>
      <c r="D28" s="29" t="n">
        <f aca="false">'The four conventions'!$B$19</f>
        <v>117.844071047584</v>
      </c>
      <c r="E28" s="20" t="n">
        <f aca="false">D28-C28</f>
        <v>0.00407104758400578</v>
      </c>
      <c r="F28" s="34" t="str">
        <f aca="false">IF(ABS(E28)&lt;=0.005,"PASS","FAIL")</f>
        <v>PASS</v>
      </c>
    </row>
    <row r="29" customFormat="false" ht="15" hidden="false" customHeight="false" outlineLevel="0" collapsed="false">
      <c r="A29" s="11" t="s">
        <v>178</v>
      </c>
      <c r="B29" s="11" t="s">
        <v>182</v>
      </c>
      <c r="C29" s="29" t="n">
        <v>4.16</v>
      </c>
      <c r="D29" s="29" t="n">
        <f aca="false">'The four conventions'!$C$19</f>
        <v>4.15592895241599</v>
      </c>
      <c r="E29" s="20" t="n">
        <f aca="false">D29-C29</f>
        <v>-0.00407104758400934</v>
      </c>
      <c r="F29" s="34" t="str">
        <f aca="false">IF(ABS(E29)&lt;=0.005,"PASS","FAIL")</f>
        <v>PASS</v>
      </c>
    </row>
    <row r="30" customFormat="false" ht="15" hidden="false" customHeight="false" outlineLevel="0" collapsed="false">
      <c r="A30" s="11" t="s">
        <v>178</v>
      </c>
      <c r="B30" s="11" t="s">
        <v>183</v>
      </c>
      <c r="C30" s="29" t="n">
        <v>120.32</v>
      </c>
      <c r="D30" s="29" t="n">
        <f aca="false">'The four conventions'!$B$20</f>
        <v>120.324663166297</v>
      </c>
      <c r="E30" s="20" t="n">
        <f aca="false">D30-C30</f>
        <v>0.00466316629703556</v>
      </c>
      <c r="F30" s="34" t="str">
        <f aca="false">IF(ABS(E30)&lt;=0.005,"PASS","FAIL")</f>
        <v>PASS</v>
      </c>
    </row>
    <row r="31" customFormat="false" ht="15" hidden="false" customHeight="false" outlineLevel="0" collapsed="false">
      <c r="A31" s="11" t="s">
        <v>178</v>
      </c>
      <c r="B31" s="11" t="s">
        <v>184</v>
      </c>
      <c r="C31" s="29" t="n">
        <v>1.68</v>
      </c>
      <c r="D31" s="29" t="n">
        <f aca="false">'The four conventions'!$C$20</f>
        <v>1.67533683370297</v>
      </c>
      <c r="E31" s="20" t="n">
        <f aca="false">D31-C31</f>
        <v>-0.00466316629702868</v>
      </c>
      <c r="F31" s="34" t="str">
        <f aca="false">IF(ABS(E31)&lt;=0.005,"PASS","FAIL")</f>
        <v>PASS</v>
      </c>
    </row>
    <row r="32" customFormat="false" ht="15" hidden="false" customHeight="false" outlineLevel="0" collapsed="false">
      <c r="A32" s="11" t="s">
        <v>178</v>
      </c>
      <c r="B32" s="11" t="s">
        <v>185</v>
      </c>
      <c r="C32" s="29" t="n">
        <v>122.78</v>
      </c>
      <c r="D32" s="29" t="n">
        <f aca="false">'The four conventions'!$B$21</f>
        <v>122.78198898463</v>
      </c>
      <c r="E32" s="20" t="n">
        <f aca="false">D32-C32</f>
        <v>0.00198898462980424</v>
      </c>
      <c r="F32" s="34" t="str">
        <f aca="false">IF(ABS(E32)&lt;=0.005,"PASS","FAIL")</f>
        <v>PASS</v>
      </c>
    </row>
    <row r="33" customFormat="false" ht="15" hidden="false" customHeight="false" outlineLevel="0" collapsed="false">
      <c r="A33" s="11" t="s">
        <v>178</v>
      </c>
      <c r="B33" s="11" t="s">
        <v>186</v>
      </c>
      <c r="C33" s="29" t="n">
        <v>-0.78</v>
      </c>
      <c r="D33" s="29" t="n">
        <f aca="false">'The four conventions'!$C$21</f>
        <v>-0.781988984629805</v>
      </c>
      <c r="E33" s="20" t="n">
        <f aca="false">D33-C33</f>
        <v>-0.00198898462980535</v>
      </c>
      <c r="F33" s="34" t="str">
        <f aca="false">IF(ABS(E33)&lt;=0.005,"PASS","FAIL")</f>
        <v>PASS</v>
      </c>
    </row>
    <row r="34" customFormat="false" ht="15" hidden="false" customHeight="false" outlineLevel="0" collapsed="false">
      <c r="A34" s="11" t="s">
        <v>163</v>
      </c>
      <c r="B34" s="11" t="s">
        <v>187</v>
      </c>
      <c r="C34" s="24" t="n">
        <v>1241953</v>
      </c>
      <c r="D34" s="24" t="n">
        <f aca="false">'The four conventions'!$D$18</f>
        <v>1241952.62947095</v>
      </c>
      <c r="E34" s="20" t="n">
        <f aca="false">D34-C34</f>
        <v>-0.370529047911987</v>
      </c>
      <c r="F34" s="34" t="str">
        <f aca="false">IF(ABS(E34)&lt;=0.5,"PASS","FAIL")</f>
        <v>PASS</v>
      </c>
    </row>
    <row r="35" customFormat="false" ht="15" hidden="false" customHeight="false" outlineLevel="0" collapsed="false">
      <c r="A35" s="11" t="s">
        <v>172</v>
      </c>
      <c r="B35" s="11" t="s">
        <v>188</v>
      </c>
      <c r="C35" s="35" t="n">
        <v>1232589.11</v>
      </c>
      <c r="D35" s="35" t="n">
        <f aca="false">'The four conventions'!$D$19</f>
        <v>1232589.10814269</v>
      </c>
      <c r="E35" s="20" t="n">
        <f aca="false">D35-C35</f>
        <v>-0.00185731379315257</v>
      </c>
      <c r="F35" s="34" t="str">
        <f aca="false">IF(ABS(E35)&lt;=0.005,"PASS","FAIL")</f>
        <v>PASS</v>
      </c>
    </row>
    <row r="36" customFormat="false" ht="15" hidden="false" customHeight="false" outlineLevel="0" collapsed="false">
      <c r="A36" s="11" t="s">
        <v>172</v>
      </c>
      <c r="B36" s="11" t="s">
        <v>189</v>
      </c>
      <c r="C36" s="35" t="n">
        <v>496880.95</v>
      </c>
      <c r="D36" s="35" t="n">
        <f aca="false">'The four conventions'!$D$20</f>
        <v>496880.951848823</v>
      </c>
      <c r="E36" s="20" t="n">
        <f aca="false">D36-C36</f>
        <v>0.00184882257599384</v>
      </c>
      <c r="F36" s="34" t="str">
        <f aca="false">IF(ABS(E36)&lt;=0.005,"PASS","FAIL")</f>
        <v>PASS</v>
      </c>
    </row>
    <row r="37" customFormat="false" ht="15" hidden="false" customHeight="false" outlineLevel="0" collapsed="false">
      <c r="A37" s="11" t="s">
        <v>163</v>
      </c>
      <c r="B37" s="11" t="s">
        <v>190</v>
      </c>
      <c r="C37" s="24" t="n">
        <v>-231927</v>
      </c>
      <c r="D37" s="24" t="n">
        <f aca="false">'The four conventions'!$D$21</f>
        <v>-231926.75240079</v>
      </c>
      <c r="E37" s="20" t="n">
        <f aca="false">D37-C37</f>
        <v>0.24759921032819</v>
      </c>
      <c r="F37" s="34" t="str">
        <f aca="false">IF(ABS(E37)&lt;=0.5,"PASS","FAIL")</f>
        <v>PASS</v>
      </c>
    </row>
    <row r="38" customFormat="false" ht="15" hidden="false" customHeight="false" outlineLevel="0" collapsed="false">
      <c r="A38" s="11" t="s">
        <v>163</v>
      </c>
      <c r="B38" s="11" t="s">
        <v>191</v>
      </c>
      <c r="C38" s="24" t="n">
        <v>3611953</v>
      </c>
      <c r="D38" s="24" t="n">
        <f aca="false">'The four conventions'!$F$18</f>
        <v>3611952.62947095</v>
      </c>
      <c r="E38" s="20" t="n">
        <f aca="false">D38-C38</f>
        <v>-0.370529048144817</v>
      </c>
      <c r="F38" s="34" t="str">
        <f aca="false">IF(ABS(E38)&lt;=0.5,"PASS","FAIL")</f>
        <v>PASS</v>
      </c>
    </row>
    <row r="39" customFormat="false" ht="15" hidden="false" customHeight="false" outlineLevel="0" collapsed="false">
      <c r="A39" s="11" t="s">
        <v>172</v>
      </c>
      <c r="B39" s="11" t="s">
        <v>192</v>
      </c>
      <c r="C39" s="35" t="n">
        <v>3602589.11</v>
      </c>
      <c r="D39" s="35" t="n">
        <f aca="false">'The four conventions'!$F$19</f>
        <v>3602589.10814269</v>
      </c>
      <c r="E39" s="20" t="n">
        <f aca="false">D39-C39</f>
        <v>-0.00185731379315257</v>
      </c>
      <c r="F39" s="34" t="str">
        <f aca="false">IF(ABS(E39)&lt;=0.005,"PASS","FAIL")</f>
        <v>PASS</v>
      </c>
    </row>
    <row r="40" customFormat="false" ht="15" hidden="false" customHeight="false" outlineLevel="0" collapsed="false">
      <c r="A40" s="11" t="s">
        <v>172</v>
      </c>
      <c r="B40" s="11" t="s">
        <v>193</v>
      </c>
      <c r="C40" s="35" t="n">
        <v>2866880.95</v>
      </c>
      <c r="D40" s="35" t="n">
        <f aca="false">'The four conventions'!$F$20</f>
        <v>2866880.95184882</v>
      </c>
      <c r="E40" s="20" t="n">
        <f aca="false">D40-C40</f>
        <v>0.00184882245957851</v>
      </c>
      <c r="F40" s="34" t="str">
        <f aca="false">IF(ABS(E40)&lt;=0.005,"PASS","FAIL")</f>
        <v>PASS</v>
      </c>
    </row>
    <row r="41" customFormat="false" ht="15" hidden="false" customHeight="false" outlineLevel="0" collapsed="false">
      <c r="A41" s="11" t="s">
        <v>163</v>
      </c>
      <c r="B41" s="11" t="s">
        <v>194</v>
      </c>
      <c r="C41" s="24" t="n">
        <v>2138073</v>
      </c>
      <c r="D41" s="24" t="n">
        <f aca="false">'The four conventions'!$F$21</f>
        <v>2138073.24759921</v>
      </c>
      <c r="E41" s="20" t="n">
        <f aca="false">D41-C41</f>
        <v>0.247599210124463</v>
      </c>
      <c r="F41" s="34" t="str">
        <f aca="false">IF(ABS(E41)&lt;=0.5,"PASS","FAIL")</f>
        <v>PASS</v>
      </c>
    </row>
    <row r="42" customFormat="false" ht="15" hidden="false" customHeight="false" outlineLevel="0" collapsed="false">
      <c r="A42" s="11" t="s">
        <v>163</v>
      </c>
      <c r="B42" s="11" t="s">
        <v>195</v>
      </c>
      <c r="C42" s="15" t="n">
        <v>0.3438</v>
      </c>
      <c r="D42" s="15" t="n">
        <f aca="false">'The four conventions'!$G$18</f>
        <v>0.343845215282589</v>
      </c>
      <c r="E42" s="20" t="n">
        <f aca="false">D42-C42</f>
        <v>4.52152825887731E-005</v>
      </c>
      <c r="F42" s="34" t="str">
        <f aca="false">IF(ABS(E42)&lt;=0.00005,"PASS","FAIL")</f>
        <v>PASS</v>
      </c>
    </row>
    <row r="43" customFormat="false" ht="15" hidden="false" customHeight="false" outlineLevel="0" collapsed="false">
      <c r="A43" s="11" t="s">
        <v>172</v>
      </c>
      <c r="B43" s="11" t="s">
        <v>196</v>
      </c>
      <c r="C43" s="15" t="n">
        <v>0.34214</v>
      </c>
      <c r="D43" s="15" t="n">
        <f aca="false">'The four conventions'!$G$19</f>
        <v>0.34213979755747</v>
      </c>
      <c r="E43" s="20" t="n">
        <f aca="false">D43-C43</f>
        <v>-2.02442529628755E-007</v>
      </c>
      <c r="F43" s="34" t="str">
        <f aca="false">IF(ABS(E43)&lt;=0.0000005,"PASS","FAIL")</f>
        <v>PASS</v>
      </c>
    </row>
    <row r="44" customFormat="false" ht="15" hidden="false" customHeight="false" outlineLevel="0" collapsed="false">
      <c r="A44" s="11" t="s">
        <v>172</v>
      </c>
      <c r="B44" s="11" t="s">
        <v>197</v>
      </c>
      <c r="C44" s="15" t="n">
        <v>0.173318</v>
      </c>
      <c r="D44" s="15" t="n">
        <f aca="false">'The four conventions'!$G$20</f>
        <v>0.173317608995375</v>
      </c>
      <c r="E44" s="20" t="n">
        <f aca="false">D44-C44</f>
        <v>-3.91004625066582E-007</v>
      </c>
      <c r="F44" s="34" t="str">
        <f aca="false">IF(ABS(E44)&lt;=0.0000005,"PASS","FAIL")</f>
        <v>PASS</v>
      </c>
    </row>
    <row r="45" customFormat="false" ht="15" hidden="false" customHeight="false" outlineLevel="0" collapsed="false">
      <c r="A45" s="11" t="s">
        <v>163</v>
      </c>
      <c r="B45" s="11" t="s">
        <v>198</v>
      </c>
      <c r="C45" s="15" t="n">
        <v>-0.1085</v>
      </c>
      <c r="D45" s="15" t="n">
        <f aca="false">'The four conventions'!$G$21</f>
        <v>-0.10847465242887</v>
      </c>
      <c r="E45" s="20" t="n">
        <f aca="false">D45-C45</f>
        <v>2.53475711299717E-005</v>
      </c>
      <c r="F45" s="34" t="str">
        <f aca="false">IF(ABS(E45)&lt;=0.00005,"PASS","FAIL")</f>
        <v>PASS</v>
      </c>
    </row>
    <row r="46" customFormat="false" ht="15" hidden="false" customHeight="false" outlineLevel="0" collapsed="false">
      <c r="A46" s="11" t="s">
        <v>163</v>
      </c>
      <c r="B46" s="11" t="s">
        <v>113</v>
      </c>
      <c r="C46" s="29" t="n">
        <v>45.23</v>
      </c>
      <c r="D46" s="29" t="n">
        <f aca="false">'The four conventions'!$B$34</f>
        <v>45.2319867711459</v>
      </c>
      <c r="E46" s="20" t="n">
        <f aca="false">D46-C46</f>
        <v>0.00198677114588719</v>
      </c>
      <c r="F46" s="34" t="str">
        <f aca="false">IF(ABS(E46)&lt;=0.005,"PASS","FAIL")</f>
        <v>PASS</v>
      </c>
    </row>
    <row r="47" customFormat="false" ht="15" hidden="false" customHeight="false" outlineLevel="0" collapsed="false">
      <c r="A47" s="11" t="s">
        <v>163</v>
      </c>
      <c r="B47" s="11" t="s">
        <v>110</v>
      </c>
      <c r="C47" s="24" t="n">
        <v>1473880</v>
      </c>
      <c r="D47" s="24" t="n">
        <f aca="false">'The four conventions'!$B$31</f>
        <v>1473879.38187174</v>
      </c>
      <c r="E47" s="20" t="n">
        <f aca="false">D47-C47</f>
        <v>-0.61812825826928</v>
      </c>
      <c r="F47" s="34" t="str">
        <f aca="false">IF(ABS(E47)&lt;=1,"PASS","FAIL")</f>
        <v>PASS</v>
      </c>
    </row>
    <row r="48" customFormat="false" ht="15" hidden="false" customHeight="false" outlineLevel="0" collapsed="false">
      <c r="A48" s="11" t="s">
        <v>163</v>
      </c>
      <c r="B48" s="11" t="s">
        <v>199</v>
      </c>
      <c r="C48" s="16" t="n">
        <v>42.76</v>
      </c>
      <c r="D48" s="16" t="n">
        <f aca="false">'The four conventions'!$B$35</f>
        <v>42.7614649519842</v>
      </c>
      <c r="E48" s="20" t="n">
        <f aca="false">D48-C48</f>
        <v>0.00146495198420382</v>
      </c>
      <c r="F48" s="34" t="str">
        <f aca="false">IF(ABS(E48)&lt;=0.005,"PASS","FAIL")</f>
        <v>PASS</v>
      </c>
    </row>
    <row r="49" customFormat="false" ht="15" hidden="false" customHeight="false" outlineLevel="0" collapsed="false">
      <c r="A49" s="11" t="s">
        <v>163</v>
      </c>
      <c r="B49" s="11" t="s">
        <v>200</v>
      </c>
      <c r="C49" s="35" t="n">
        <v>296586</v>
      </c>
      <c r="D49" s="35" t="n">
        <f aca="false">'The thresholds'!$B$8</f>
        <v>296585.702560227</v>
      </c>
      <c r="E49" s="20" t="n">
        <f aca="false">D49-C49</f>
        <v>-0.297439772635698</v>
      </c>
      <c r="F49" s="34" t="str">
        <f aca="false">IF(ABS(E49)&lt;=0.5,"PASS","FAIL")</f>
        <v>PASS</v>
      </c>
    </row>
    <row r="50" customFormat="false" ht="15" hidden="false" customHeight="false" outlineLevel="0" collapsed="false">
      <c r="A50" s="11" t="s">
        <v>163</v>
      </c>
      <c r="B50" s="11" t="s">
        <v>129</v>
      </c>
      <c r="C50" s="16" t="n">
        <v>5.9</v>
      </c>
      <c r="D50" s="16" t="n">
        <f aca="false">'The thresholds'!$B$16</f>
        <v>5.90048672236528</v>
      </c>
      <c r="E50" s="20" t="n">
        <f aca="false">D50-C50</f>
        <v>0.000486722365280023</v>
      </c>
      <c r="F50" s="34" t="str">
        <f aca="false">IF(ABS(E50)&lt;=0.005,"PASS","FAIL")</f>
        <v>PASS</v>
      </c>
    </row>
    <row r="51" customFormat="false" ht="15" hidden="false" customHeight="false" outlineLevel="0" collapsed="false">
      <c r="A51" s="11" t="s">
        <v>163</v>
      </c>
      <c r="B51" s="11" t="s">
        <v>201</v>
      </c>
      <c r="C51" s="16" t="n">
        <v>7.99</v>
      </c>
      <c r="D51" s="16" t="n">
        <f aca="false">'The thresholds'!$B$17</f>
        <v>7.99094487543184</v>
      </c>
      <c r="E51" s="20" t="n">
        <f aca="false">D51-C51</f>
        <v>0.000944875431836856</v>
      </c>
      <c r="F51" s="34" t="str">
        <f aca="false">IF(ABS(E51)&lt;=0.005,"PASS","FAIL")</f>
        <v>PASS</v>
      </c>
    </row>
    <row r="52" customFormat="false" ht="15" hidden="false" customHeight="false" outlineLevel="0" collapsed="false">
      <c r="A52" s="11" t="s">
        <v>163</v>
      </c>
      <c r="B52" s="11" t="s">
        <v>202</v>
      </c>
      <c r="C52" s="24" t="n">
        <v>2373000</v>
      </c>
      <c r="D52" s="24" t="n">
        <f aca="false">'The thresholds'!$B$30</f>
        <v>2372685.62048182</v>
      </c>
      <c r="E52" s="20" t="n">
        <f aca="false">D52-C52</f>
        <v>-314.379518181086</v>
      </c>
      <c r="F52" s="34" t="str">
        <f aca="false">IF(ABS(E52)&lt;=500,"PASS","FAIL")</f>
        <v>PASS</v>
      </c>
    </row>
    <row r="53" customFormat="false" ht="15" hidden="false" customHeight="false" outlineLevel="0" collapsed="false">
      <c r="A53" s="11" t="s">
        <v>163</v>
      </c>
      <c r="B53" s="11" t="s">
        <v>203</v>
      </c>
      <c r="C53" s="29" t="n">
        <v>1.36</v>
      </c>
      <c r="D53" s="29" t="n">
        <f aca="false">'The thresholds'!$C$30</f>
        <v>1.35582035456104</v>
      </c>
      <c r="E53" s="20" t="n">
        <f aca="false">D53-C53</f>
        <v>-0.00417964543896066</v>
      </c>
      <c r="F53" s="34" t="str">
        <f aca="false">IF(ABS(E53)&lt;=0.005,"PASS","FAIL")</f>
        <v>PASS</v>
      </c>
    </row>
    <row r="54" customFormat="false" ht="15" hidden="false" customHeight="false" outlineLevel="0" collapsed="false">
      <c r="A54" s="11" t="s">
        <v>163</v>
      </c>
      <c r="B54" s="11" t="s">
        <v>204</v>
      </c>
      <c r="C54" s="30" t="n">
        <v>0.5</v>
      </c>
      <c r="D54" s="30" t="n">
        <f aca="false">'The thresholds'!$D$30</f>
        <v>0.500283132880474</v>
      </c>
      <c r="E54" s="20" t="n">
        <f aca="false">D54-C54</f>
        <v>0.000283132880473991</v>
      </c>
      <c r="F54" s="34" t="str">
        <f aca="false">IF(ABS(E54)&lt;=0.0005,"PASS","FAIL")</f>
        <v>PASS</v>
      </c>
    </row>
    <row r="55" customFormat="false" ht="15" hidden="false" customHeight="false" outlineLevel="0" collapsed="false">
      <c r="A55" s="11" t="s">
        <v>163</v>
      </c>
      <c r="B55" s="11" t="s">
        <v>205</v>
      </c>
      <c r="C55" s="24" t="n">
        <v>3559000</v>
      </c>
      <c r="D55" s="24" t="n">
        <f aca="false">'The thresholds'!$B$31</f>
        <v>3559028.43072273</v>
      </c>
      <c r="E55" s="20" t="n">
        <f aca="false">D55-C55</f>
        <v>28.4307227283716</v>
      </c>
      <c r="F55" s="34" t="str">
        <f aca="false">IF(ABS(E55)&lt;=500,"PASS","FAIL")</f>
        <v>PASS</v>
      </c>
    </row>
    <row r="56" customFormat="false" ht="15" hidden="false" customHeight="false" outlineLevel="0" collapsed="false">
      <c r="A56" s="11" t="s">
        <v>163</v>
      </c>
      <c r="B56" s="11" t="s">
        <v>206</v>
      </c>
      <c r="C56" s="29" t="n">
        <v>2.03</v>
      </c>
      <c r="D56" s="29" t="n">
        <f aca="false">'The thresholds'!$C$31</f>
        <v>2.03373053184156</v>
      </c>
      <c r="E56" s="20" t="n">
        <f aca="false">D56-C56</f>
        <v>0.00373053184155925</v>
      </c>
      <c r="F56" s="34" t="str">
        <f aca="false">IF(ABS(E56)&lt;=0.005,"PASS","FAIL")</f>
        <v>PASS</v>
      </c>
    </row>
    <row r="57" customFormat="false" ht="15" hidden="false" customHeight="false" outlineLevel="0" collapsed="false">
      <c r="A57" s="11" t="s">
        <v>163</v>
      </c>
      <c r="B57" s="11" t="s">
        <v>207</v>
      </c>
      <c r="C57" s="30" t="n">
        <v>0.6</v>
      </c>
      <c r="D57" s="30" t="n">
        <f aca="false">'The thresholds'!$D$31</f>
        <v>0.600271776785677</v>
      </c>
      <c r="E57" s="20" t="n">
        <f aca="false">D57-C57</f>
        <v>0.000271776785677358</v>
      </c>
      <c r="F57" s="34" t="str">
        <f aca="false">IF(ABS(E57)&lt;=0.0005,"PASS","FAIL")</f>
        <v>PASS</v>
      </c>
    </row>
    <row r="58" customFormat="false" ht="15" hidden="false" customHeight="false" outlineLevel="0" collapsed="false">
      <c r="A58" s="11" t="s">
        <v>170</v>
      </c>
      <c r="B58" s="11" t="s">
        <v>146</v>
      </c>
      <c r="C58" s="24" t="n">
        <v>209375</v>
      </c>
      <c r="D58" s="24" t="n">
        <f aca="false">'The thresholds'!$B$42</f>
        <v>209375</v>
      </c>
      <c r="E58" s="20" t="n">
        <f aca="false">D58-C58</f>
        <v>0</v>
      </c>
      <c r="F58" s="34" t="str">
        <f aca="false">IF(ABS(E58)&lt;=0.5,"PASS","FAIL")</f>
        <v>PASS</v>
      </c>
    </row>
    <row r="59" customFormat="false" ht="15" hidden="false" customHeight="false" outlineLevel="0" collapsed="false">
      <c r="A59" s="11" t="s">
        <v>170</v>
      </c>
      <c r="B59" s="11" t="s">
        <v>208</v>
      </c>
      <c r="C59" s="24" t="n">
        <v>1465625</v>
      </c>
      <c r="D59" s="24" t="n">
        <f aca="false">'The thresholds'!$B$39</f>
        <v>1465625</v>
      </c>
      <c r="E59" s="20" t="n">
        <f aca="false">D59-C59</f>
        <v>0</v>
      </c>
      <c r="F59" s="34" t="str">
        <f aca="false">IF(ABS(E59)&lt;=0.5,"PASS","FAIL")</f>
        <v>PASS</v>
      </c>
    </row>
    <row r="60" customFormat="false" ht="15" hidden="false" customHeight="false" outlineLevel="0" collapsed="false">
      <c r="A60" s="11" t="s">
        <v>170</v>
      </c>
      <c r="B60" s="11" t="s">
        <v>209</v>
      </c>
      <c r="C60" s="24" t="n">
        <v>223672</v>
      </c>
      <c r="D60" s="24" t="n">
        <f aca="false">'The thresholds'!$C$39</f>
        <v>223672.370529048</v>
      </c>
      <c r="E60" s="20" t="n">
        <f aca="false">D60-C60</f>
        <v>0.370529047911987</v>
      </c>
      <c r="F60" s="34" t="str">
        <f aca="false">IF(ABS(E60)&lt;=0.5,"PASS","FAIL")</f>
        <v>PASS</v>
      </c>
    </row>
    <row r="61" customFormat="false" ht="15" hidden="false" customHeight="false" outlineLevel="0" collapsed="false">
      <c r="A61" s="11" t="s">
        <v>172</v>
      </c>
      <c r="B61" s="11" t="s">
        <v>210</v>
      </c>
      <c r="C61" s="35" t="n">
        <v>1243924.96</v>
      </c>
      <c r="D61" s="35" t="n">
        <f aca="false">'The thresholds'!$B$41</f>
        <v>1243924.9647948</v>
      </c>
      <c r="E61" s="20" t="n">
        <f aca="false">D61-C61</f>
        <v>0.00479479995556176</v>
      </c>
      <c r="F61" s="34" t="str">
        <f aca="false">IF(ABS(E61)&lt;=0.005,"PASS","FAIL")</f>
        <v>PASS</v>
      </c>
    </row>
    <row r="62" customFormat="false" ht="15" hidden="false" customHeight="false" outlineLevel="0" collapsed="false">
      <c r="A62" s="11" t="s">
        <v>170</v>
      </c>
      <c r="B62" s="11" t="s">
        <v>211</v>
      </c>
      <c r="C62" s="24" t="n">
        <v>1972</v>
      </c>
      <c r="D62" s="24" t="n">
        <f aca="false">'The thresholds'!$C$41</f>
        <v>1972.33532384783</v>
      </c>
      <c r="E62" s="20" t="n">
        <f aca="false">D62-C62</f>
        <v>0.335323847830296</v>
      </c>
      <c r="F62" s="34" t="str">
        <f aca="false">IF(ABS(E62)&lt;=0.5,"PASS","FAIL")</f>
        <v>PASS</v>
      </c>
    </row>
    <row r="63" customFormat="false" ht="15" hidden="false" customHeight="false" outlineLevel="0" collapsed="false">
      <c r="A63" s="11" t="s">
        <v>163</v>
      </c>
      <c r="B63" s="11" t="s">
        <v>212</v>
      </c>
      <c r="C63" s="19" t="n">
        <v>5.93171</v>
      </c>
      <c r="D63" s="19" t="n">
        <f aca="false">Annuity</f>
        <v>5.93171405120455</v>
      </c>
      <c r="E63" s="20" t="n">
        <f aca="false">D63-C63</f>
        <v>4.05120454782804E-006</v>
      </c>
      <c r="F63" s="34" t="str">
        <f aca="false">IF(ABS(E63)&lt;=0.000005,"PASS","FAIL")</f>
        <v>PASS</v>
      </c>
    </row>
    <row r="64" customFormat="false" ht="15" hidden="false" customHeight="false" outlineLevel="0" collapsed="false">
      <c r="A64" s="11" t="s">
        <v>213</v>
      </c>
      <c r="B64" s="11" t="s">
        <v>59</v>
      </c>
      <c r="C64" s="19" t="n">
        <v>5.94113</v>
      </c>
      <c r="D64" s="19" t="n">
        <f aca="false">ModDur</f>
        <v>5.94113416021397</v>
      </c>
      <c r="E64" s="20" t="n">
        <f aca="false">D64-C64</f>
        <v>4.16021396976163E-006</v>
      </c>
      <c r="F64" s="34" t="str">
        <f aca="false">IF(ABS(E64)&lt;=0.000005,"PASS","FAIL")</f>
        <v>PASS</v>
      </c>
    </row>
    <row r="65" customFormat="false" ht="15" hidden="false" customHeight="false" outlineLevel="0" collapsed="false">
      <c r="A65" s="11" t="s">
        <v>163</v>
      </c>
      <c r="B65" s="11" t="s">
        <v>54</v>
      </c>
      <c r="C65" s="19" t="n">
        <v>99.585</v>
      </c>
      <c r="D65" s="19" t="n">
        <f aca="false">Price</f>
        <v>99.5847800164157</v>
      </c>
      <c r="E65" s="20" t="n">
        <f aca="false">D65-C65</f>
        <v>-0.000219983584258898</v>
      </c>
      <c r="F65" s="34" t="str">
        <f aca="false">IF(ABS(E65)&lt;=0.0005,"PASS","FAIL")</f>
        <v>PASS</v>
      </c>
    </row>
    <row r="66" customFormat="false" ht="15" hidden="false" customHeight="false" outlineLevel="0" collapsed="false">
      <c r="A66" s="11" t="s">
        <v>163</v>
      </c>
      <c r="B66" s="11" t="s">
        <v>46</v>
      </c>
      <c r="C66" s="15" t="n">
        <v>0.0432</v>
      </c>
      <c r="D66" s="15" t="n">
        <f aca="false">Yld</f>
        <v>0.0432</v>
      </c>
      <c r="E66" s="20" t="n">
        <f aca="false">D66-C66</f>
        <v>0</v>
      </c>
      <c r="F66" s="34" t="str">
        <f aca="false">IF(ABS(E66)&lt;=0.0000005,"PASS","FAIL")</f>
        <v>PASS</v>
      </c>
    </row>
    <row r="67" customFormat="false" ht="15" hidden="false" customHeight="false" outlineLevel="0" collapsed="false">
      <c r="A67" s="11" t="s">
        <v>163</v>
      </c>
      <c r="B67" s="11" t="s">
        <v>80</v>
      </c>
      <c r="C67" s="22" t="n">
        <v>0</v>
      </c>
      <c r="D67" s="22" t="n">
        <f aca="false">'The cost of the issue'!$B$25</f>
        <v>0</v>
      </c>
      <c r="E67" s="20" t="n">
        <f aca="false">D67-C67</f>
        <v>0</v>
      </c>
      <c r="F67" s="34" t="str">
        <f aca="false">IF(ABS(E67)&lt;=0.000000001,"PASS","FAIL")</f>
        <v>PASS</v>
      </c>
    </row>
    <row r="68" customFormat="false" ht="15" hidden="false" customHeight="false" outlineLevel="0" collapsed="false">
      <c r="A68" s="11" t="s">
        <v>163</v>
      </c>
      <c r="B68" s="11" t="s">
        <v>214</v>
      </c>
      <c r="C68" s="32" t="n">
        <v>0</v>
      </c>
      <c r="D68" s="32" t="n">
        <f aca="false">'The thresholds'!$B$18</f>
        <v>0</v>
      </c>
      <c r="E68" s="20" t="n">
        <f aca="false">D68-C68</f>
        <v>0</v>
      </c>
      <c r="F68" s="34" t="str">
        <f aca="false">IF(ABS(E68)&lt;=0.0000001,"PASS","FAIL")</f>
        <v>PASS</v>
      </c>
    </row>
    <row r="69" customFormat="false" ht="15" hidden="false" customHeight="false" outlineLevel="0" collapsed="false">
      <c r="A69" s="11" t="s">
        <v>163</v>
      </c>
      <c r="B69" s="11" t="s">
        <v>215</v>
      </c>
      <c r="C69" s="32" t="n">
        <v>0</v>
      </c>
      <c r="D69" s="32" t="n">
        <f aca="false">'The thresholds'!$B$19</f>
        <v>0</v>
      </c>
      <c r="E69" s="20" t="n">
        <f aca="false">D69-C69</f>
        <v>0</v>
      </c>
      <c r="F69" s="34" t="str">
        <f aca="false">IF(ABS(E69)&lt;=0.0000001,"PASS","FAIL")</f>
        <v>PASS</v>
      </c>
    </row>
    <row r="70" customFormat="false" ht="15" hidden="false" customHeight="false" outlineLevel="0" collapsed="false">
      <c r="A70" s="11" t="s">
        <v>163</v>
      </c>
      <c r="B70" s="11" t="s">
        <v>115</v>
      </c>
      <c r="C70" s="18" t="n">
        <v>1</v>
      </c>
      <c r="D70" s="18" t="n">
        <f aca="false">'The four conventions'!$B$36</f>
        <v>1</v>
      </c>
      <c r="E70" s="20" t="n">
        <f aca="false">D70-C70</f>
        <v>0</v>
      </c>
      <c r="F70" s="34" t="str">
        <f aca="false">IF(ABS(E70)&lt;=0.000000000001,"PASS","FAIL")</f>
        <v>PASS</v>
      </c>
    </row>
    <row r="71" customFormat="false" ht="15" hidden="false" customHeight="false" outlineLevel="0" collapsed="false">
      <c r="A71" s="11" t="s">
        <v>163</v>
      </c>
      <c r="B71" s="11" t="s">
        <v>216</v>
      </c>
      <c r="C71" s="24" t="n">
        <v>-231927</v>
      </c>
      <c r="D71" s="24" t="n">
        <f aca="false">'The four conventions'!$B$37</f>
        <v>-231926.75240079</v>
      </c>
      <c r="E71" s="20" t="n">
        <f aca="false">D71-C71</f>
        <v>0.24759921032819</v>
      </c>
      <c r="F71" s="34" t="str">
        <f aca="false">IF(ABS(E71)&lt;=0.5,"PASS","FAIL")</f>
        <v>PASS</v>
      </c>
    </row>
    <row r="72" customFormat="false" ht="15" hidden="false" customHeight="false" outlineLevel="0" collapsed="false">
      <c r="A72" s="11" t="s">
        <v>163</v>
      </c>
      <c r="B72" s="11" t="s">
        <v>217</v>
      </c>
      <c r="C72" s="18" t="n">
        <v>0</v>
      </c>
      <c r="D72" s="18" t="n">
        <f aca="false">'The thresholds'!$B$21</f>
        <v>0</v>
      </c>
      <c r="E72" s="20" t="n">
        <f aca="false">D72-C72</f>
        <v>0</v>
      </c>
      <c r="F72" s="34" t="str">
        <f aca="false">IF(ABS(E72)&lt;=0.000000000001,"PASS","FAIL")</f>
        <v>PASS</v>
      </c>
    </row>
    <row r="73" customFormat="false" ht="15" hidden="false" customHeight="false" outlineLevel="0" collapsed="false">
      <c r="A73" s="11" t="s">
        <v>163</v>
      </c>
      <c r="B73" s="11" t="s">
        <v>218</v>
      </c>
      <c r="C73" s="22" t="n">
        <v>0</v>
      </c>
      <c r="D73" s="22" t="n">
        <f aca="false">'The reoffer'!$B$38</f>
        <v>0</v>
      </c>
      <c r="E73" s="20" t="n">
        <f aca="false">D73-C73</f>
        <v>0</v>
      </c>
      <c r="F73" s="34" t="str">
        <f aca="false">IF(ABS(E73)&lt;=0.00000000001,"PASS","FAIL")</f>
        <v>PASS</v>
      </c>
    </row>
    <row r="74" customFormat="false" ht="15" hidden="false" customHeight="false" outlineLevel="0" collapsed="false">
      <c r="A74" s="11" t="s">
        <v>178</v>
      </c>
      <c r="B74" s="11" t="s">
        <v>219</v>
      </c>
      <c r="C74" s="16" t="n">
        <v>0.84</v>
      </c>
      <c r="D74" s="16" t="n">
        <f aca="false">'The four conventions'!$B$45</f>
        <v>0.842216789640995</v>
      </c>
      <c r="E74" s="20" t="n">
        <f aca="false">D74-C74</f>
        <v>0.00221678964099525</v>
      </c>
      <c r="F74" s="34" t="str">
        <f aca="false">IF(ABS(E74)&lt;=0.005,"PASS","FAIL")</f>
        <v>PASS</v>
      </c>
    </row>
    <row r="75" customFormat="false" ht="15" hidden="false" customHeight="false" outlineLevel="0" collapsed="false">
      <c r="A75" s="11" t="s">
        <v>163</v>
      </c>
      <c r="B75" s="11" t="s">
        <v>220</v>
      </c>
      <c r="C75" s="22" t="n">
        <v>1</v>
      </c>
      <c r="D75" s="22" t="n">
        <f aca="false">'The thresholds'!$B$51</f>
        <v>1</v>
      </c>
      <c r="E75" s="20" t="n">
        <f aca="false">D75-C75</f>
        <v>0</v>
      </c>
      <c r="F75" s="34" t="str">
        <f aca="false">IF(ABS(E75)&lt;=0.000000000001,"PASS","FAIL")</f>
        <v>PASS</v>
      </c>
    </row>
    <row r="76" customFormat="false" ht="15" hidden="false" customHeight="false" outlineLevel="0" collapsed="false">
      <c r="A76" s="11" t="s">
        <v>163</v>
      </c>
      <c r="B76" s="11" t="s">
        <v>221</v>
      </c>
      <c r="C76" s="22" t="n">
        <v>1</v>
      </c>
      <c r="D76" s="22" t="n">
        <f aca="false">'The thresholds'!$B$52</f>
        <v>1</v>
      </c>
      <c r="E76" s="20" t="n">
        <f aca="false">D76-C76</f>
        <v>0</v>
      </c>
      <c r="F76" s="34" t="str">
        <f aca="false">IF(ABS(E76)&lt;=0.000000000001,"PASS","FAIL")</f>
        <v>PASS</v>
      </c>
    </row>
    <row r="77" customFormat="false" ht="15" hidden="false" customHeight="false" outlineLevel="0" collapsed="false">
      <c r="A77" s="11" t="s">
        <v>172</v>
      </c>
      <c r="B77" s="11" t="s">
        <v>222</v>
      </c>
      <c r="C77" s="29" t="n">
        <v>0.0091</v>
      </c>
      <c r="D77" s="29" t="n">
        <f aca="false">'The thresholds'!$B$53</f>
        <v>0.00905512456816293</v>
      </c>
      <c r="E77" s="20" t="n">
        <f aca="false">D77-C77</f>
        <v>-4.48754318370694E-005</v>
      </c>
      <c r="F77" s="34" t="str">
        <f aca="false">IF(ABS(E77)&lt;=0.00005,"PASS","FAIL")</f>
        <v>PASS</v>
      </c>
    </row>
    <row r="79" customFormat="false" ht="15" hidden="false" customHeight="false" outlineLevel="0" collapsed="false">
      <c r="B79" s="25" t="s">
        <v>223</v>
      </c>
      <c r="C79" s="25" t="n">
        <v>70</v>
      </c>
      <c r="D79" s="25" t="n">
        <f aca="false">COUNTIF($F$8:$F$77,"PASS")</f>
        <v>70</v>
      </c>
    </row>
    <row r="80" customFormat="false" ht="15" hidden="false" customHeight="false" outlineLevel="0" collapsed="false">
      <c r="B80" s="25" t="s">
        <v>224</v>
      </c>
      <c r="D80" s="25" t="n">
        <f aca="false">COUNTIF($F$8:$F$77,"FAIL")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2026-08-30T14:08:35Z</dcterms:created>
  <dc:creator>openpyxl</dc:creator>
  <dc:description/>
  <dc:language>en-US</dc:language>
  <cp:lastModifiedBy/>
  <dcterms:modified xsi:type="dcterms:W3CDTF">2026-09-24T19:41:55Z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