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The reoffer" sheetId="3" state="visible" r:id="rId5"/>
    <sheet name="The four conventions" sheetId="4" state="visible" r:id="rId6"/>
    <sheet name="Checks" sheetId="5" state="visible" r:id="rId7"/>
  </sheets>
  <definedNames>
    <definedName function="false" hidden="false" name="Annuity" vbProcedure="false">'The reoffer'!$B$38</definedName>
    <definedName function="false" hidden="false" name="Coupon" vbProcedure="false">Inputs!$B$22</definedName>
    <definedName function="false" hidden="false" name="CurveLbl" vbProcedure="false">Inputs!$A$8:$A$10</definedName>
    <definedName function="false" hidden="false" name="CurveMat" vbProcedure="false">Inputs!$B$8:$B$10</definedName>
    <definedName function="false" hidden="false" name="CurveSpr" vbProcedure="false">Inputs!$C$8:$C$10</definedName>
    <definedName function="false" hidden="false" name="FairLin" vbProcedure="false">'The four conventions'!$B$22</definedName>
    <definedName function="false" hidden="false" name="IssueSize" vbProcedure="false">Inputs!$B$31</definedName>
    <definedName function="false" hidden="false" name="MidSwap" vbProcedure="false">Inputs!$B$23</definedName>
    <definedName function="false" hidden="false" name="ModDur" vbProcedure="false">'The reoffer'!$B$42</definedName>
    <definedName function="false" hidden="false" name="Price" vbProcedure="false">'The reoffer'!$B$37</definedName>
    <definedName function="false" hidden="false" name="PV01" vbProcedure="false">'The four conventions'!$B$40</definedName>
    <definedName function="false" hidden="false" name="ReofferSpr" vbProcedure="false">Inputs!$B$20</definedName>
    <definedName function="false" hidden="false" name="SpanBp" vbProcedure="false">'The four conventions'!$B$35</definedName>
    <definedName function="false" hidden="false" name="TargetMat" vbProcedure="false">Inputs!$B$19</definedName>
    <definedName function="false" hidden="false" name="Tenor" vbProcedure="false">Inputs!$B$21</definedName>
    <definedName function="false" hidden="false" name="ValSize" vbProcedure="false">Inputs!$B$32</definedName>
    <definedName function="false" hidden="false" name="Yld" vbProcedure="false">'The reoffer'!$B$10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<sst xmlns="http://schemas.openxmlformats.org/spreadsheetml/2006/main" count="266" uniqueCount="185">
  <si>
    <t xml:space="preserve">Capital Markets - The Interpolation Workbook</t>
  </si>
  <si>
    <t xml:space="preserve">Companion workbook 1, by Julian R. Sterling</t>
  </si>
  <si>
    <t xml:space="preserve">What this workbook does</t>
  </si>
  <si>
    <t xml:space="preserve">It takes three secondary quotations and one target maturity, and returns the fair value of a new bond at that maturity under all four conventions at once: linear in maturity, least squares on the three points, linear in the square root of time, and linear in the logarithm of maturity. Beside each it puts the concession the reoffer spread implies, and the present value of that concession at the size you enter. Nothing here is typed except the quotations, the target and the size.</t>
  </si>
  <si>
    <t xml:space="preserve">The first experiment to run</t>
  </si>
  <si>
    <t xml:space="preserve">On the Inputs sheet, move the nine-year quotation from 141 to 132 basis points. Nothing else changes: the same reoffer, the same size, the same three bonds. Watch the logarithmic reading fall from 122.78 to 116.88, below the reoffer spread of 122, and its concession change sign, from minus 0.78 to plus 5.12. The same move is computed, without touching the inputs, at the foot of The four conventions. The sign of a concession is a property of a line-drawing decision, not of the transaction.</t>
  </si>
  <si>
    <t xml:space="preserve">The second</t>
  </si>
  <si>
    <t xml:space="preserve">Change the size at which basis points are valued, on the Inputs sheet, from EUR 500,000,000 to whatever you last priced. The euro value of the span between the four conventions moves with it, and that figure - EUR 1,473,880 on Ardennes' bond - is what the choice of convention is worth before anybody has negotiated a fee.</t>
  </si>
  <si>
    <t xml:space="preserve">The one number to keep an eye on</t>
  </si>
  <si>
    <t xml:space="preserve">The present value of one basis point, on The four conventions. At EUR 296,586 it converts every basis point spoken on the pricing call into money. A treasurer with that figure in front of them is having a different conversation from one without it.</t>
  </si>
  <si>
    <t xml:space="preserve">On the checks</t>
  </si>
  <si>
    <t xml:space="preserve">The Checks sheet reproduces by formula each figure printed in Chapters 1, 2 and 7 that this workbook touches, together with the structural guards: that each interpolation returns a quotation when asked for the maturity of that quotation, that the four concessions are the reoffer spread less the four fair values, and that the convention the syndicate used is the one giving the lowest fair value.</t>
  </si>
  <si>
    <t xml:space="preserve">Revised 24 September 2026</t>
  </si>
  <si>
    <t xml:space="preserve">The first experiment was described the wrong way round: moving the nine-year quotation from 141 to 132 basis points takes the logarithmic reading down to 116.88, below the reoffer spread, and its concession from minus 0.78 to plus 5.12. It does not come back above the reoffer spread; at 141 it is already above it. The move is now computed live at the foot of The four conventions, and three checks were added, fifty-seven in all. Every figure the book prints was re-verified.</t>
  </si>
  <si>
    <t xml:space="preserve">Inputs - Ardennes Industries SA, seven-year senior unsecured</t>
  </si>
  <si>
    <t xml:space="preserve">Blue on pale yellow is an input, and you may edit it. Everything else in this file is a formula over these cells.</t>
  </si>
  <si>
    <t xml:space="preserve">The three secondary quotations</t>
  </si>
  <si>
    <t xml:space="preserve">bond</t>
  </si>
  <si>
    <t xml:space="preserve">maturity, years</t>
  </si>
  <si>
    <t xml:space="preserve">spread over mid-swaps, bp</t>
  </si>
  <si>
    <t xml:space="preserve">2.500% March 2028</t>
  </si>
  <si>
    <t xml:space="preserve">3.250% September 2030</t>
  </si>
  <si>
    <t xml:space="preserve">1.875% January 2036</t>
  </si>
  <si>
    <t xml:space="preserve">Order the three by increasing maturity. The bracketing that follows reads them in the order given.</t>
  </si>
  <si>
    <t xml:space="preserve">These are the only evidence available about what a new seven-year bond should pay. No bond trades at seven years, so the fair value has to be interpolated, and interpolation is a choice.</t>
  </si>
  <si>
    <t xml:space="preserve">The bond being priced</t>
  </si>
  <si>
    <t xml:space="preserve">input</t>
  </si>
  <si>
    <t xml:space="preserve">value</t>
  </si>
  <si>
    <t xml:space="preserve">Target maturity, years</t>
  </si>
  <si>
    <t xml:space="preserve">Reoffer spread over mid-swaps, bp</t>
  </si>
  <si>
    <t xml:space="preserve">Tenor, years</t>
  </si>
  <si>
    <t xml:space="preserve">Annual coupon</t>
  </si>
  <si>
    <t xml:space="preserve">Seven-year euro mid-swap at 30 June 2026</t>
  </si>
  <si>
    <t xml:space="preserve">The coupon and the mid-swap set the reoffer yield, and the reoffer yield sets the annuity factor at which a basis point of concession is discounted.</t>
  </si>
  <si>
    <t xml:space="preserve">The size at which basis points are valued</t>
  </si>
  <si>
    <t xml:space="preserve">Amount raised, EUR</t>
  </si>
  <si>
    <t xml:space="preserve">Size at which the span between conventions is valued, EUR</t>
  </si>
  <si>
    <t xml:space="preserve">The two are the same on this transaction. They are separated so that you can ask what a convention would be worth on a size you have not yet raised.</t>
  </si>
  <si>
    <t xml:space="preserve">The reoffer, and the factor that discounts a basis point</t>
  </si>
  <si>
    <t xml:space="preserve">The yield, the price, the annuity factor and the modified duration, built off one cash-flow ladder.</t>
  </si>
  <si>
    <t xml:space="preserve">The reoffer yield</t>
  </si>
  <si>
    <t xml:space="preserve">quantity</t>
  </si>
  <si>
    <t xml:space="preserve">Seven-year euro mid-swap</t>
  </si>
  <si>
    <t xml:space="preserve">Reoffer spread, bp</t>
  </si>
  <si>
    <t xml:space="preserve">Reoffer yield</t>
  </si>
  <si>
    <t xml:space="preserve">The cash flows, per 100 of nominal</t>
  </si>
  <si>
    <t xml:space="preserve">year</t>
  </si>
  <si>
    <t xml:space="preserve">cash flow</t>
  </si>
  <si>
    <t xml:space="preserve">discount factor</t>
  </si>
  <si>
    <t xml:space="preserve">present value</t>
  </si>
  <si>
    <t xml:space="preserve">year x present value</t>
  </si>
  <si>
    <t xml:space="preserve">Fifteen rows are laid out; the tenor decides how many carry a cash flow. Change the tenor on Inputs and the ladder lengthens or shortens by itself.</t>
  </si>
  <si>
    <t xml:space="preserve">What the ladder gives</t>
  </si>
  <si>
    <t xml:space="preserve">Reoffer price, per 100</t>
  </si>
  <si>
    <t xml:space="preserve">Annuity factor over the tenor</t>
  </si>
  <si>
    <t xml:space="preserve">Annuity factor, closed form, as a cross-check</t>
  </si>
  <si>
    <t xml:space="preserve">The two readings of the annuity factor, difference</t>
  </si>
  <si>
    <t xml:space="preserve">Macaulay duration, years</t>
  </si>
  <si>
    <t xml:space="preserve">Modified duration, years</t>
  </si>
  <si>
    <t xml:space="preserve">Modified duration less the annuity factor, years</t>
  </si>
  <si>
    <t xml:space="preserve">At par the two are the same object. The bond priced at 99.585, which is why the last line is not zero. Set the coupon equal to the reoffer yield and watch it go to zero.</t>
  </si>
  <si>
    <t xml:space="preserve">The four conventions, side by side</t>
  </si>
  <si>
    <t xml:space="preserve">One target maturity, three quotations, four defensible readings of the space between them.</t>
  </si>
  <si>
    <t xml:space="preserve">The bracketing points</t>
  </si>
  <si>
    <t xml:space="preserve">Index of the lower bracketing quotation</t>
  </si>
  <si>
    <t xml:space="preserve">Lower bracketing maturity, years</t>
  </si>
  <si>
    <t xml:space="preserve">Lower bracketing spread, bp</t>
  </si>
  <si>
    <t xml:space="preserve">Upper bracketing maturity, years</t>
  </si>
  <si>
    <t xml:space="preserve">Upper bracketing spread, bp</t>
  </si>
  <si>
    <t xml:space="preserve">Least-squares slope, bp a year</t>
  </si>
  <si>
    <t xml:space="preserve">Least-squares intercept, bp</t>
  </si>
  <si>
    <t xml:space="preserve">Three of the four conventions bridge the two quotations that bracket the target. The fourth fits a line to all three and passes through none of them.</t>
  </si>
  <si>
    <t xml:space="preserve">The four conventions</t>
  </si>
  <si>
    <t xml:space="preserve">convention</t>
  </si>
  <si>
    <t xml:space="preserve">fair value, bp</t>
  </si>
  <si>
    <t xml:space="preserve">implied concession, bp</t>
  </si>
  <si>
    <t xml:space="preserve">present value of the concession, EUR</t>
  </si>
  <si>
    <t xml:space="preserve">difference from the syndicate's reading, EUR</t>
  </si>
  <si>
    <t xml:space="preserve">linear in maturity</t>
  </si>
  <si>
    <t xml:space="preserve">least squares on three points</t>
  </si>
  <si>
    <t xml:space="preserve">linear in the square root of time</t>
  </si>
  <si>
    <t xml:space="preserve">linear in the logarithm of maturity</t>
  </si>
  <si>
    <t xml:space="preserve">All four are defensible and the book prints all four. The syndicate declared the first. It is also the one that gives the lowest fair value, and therefore the highest concession it can report.</t>
  </si>
  <si>
    <t xml:space="preserve">The span, and what it is worth</t>
  </si>
  <si>
    <t xml:space="preserve">Highest fair value, bp</t>
  </si>
  <si>
    <t xml:space="preserve">Lowest fair value, bp</t>
  </si>
  <si>
    <t xml:space="preserve">Span of the four fair values, bp</t>
  </si>
  <si>
    <t xml:space="preserve">Highest concession, bp</t>
  </si>
  <si>
    <t xml:space="preserve">Lowest concession, bp</t>
  </si>
  <si>
    <t xml:space="preserve">Span of the four concessions, bp</t>
  </si>
  <si>
    <t xml:space="preserve">Span as a share of the largest concession</t>
  </si>
  <si>
    <t xml:space="preserve">Present value of one basis point at the size entered, EUR</t>
  </si>
  <si>
    <t xml:space="preserve">Euro value of the span at the size entered</t>
  </si>
  <si>
    <t xml:space="preserve">Coupon supplement under the syndicate's reading, EUR a year</t>
  </si>
  <si>
    <t xml:space="preserve">The same supplement added up over the tenor, EUR</t>
  </si>
  <si>
    <t xml:space="preserve">What discounting takes off, EUR</t>
  </si>
  <si>
    <t xml:space="preserve">Do the four fair values straddle the reoffer spread?</t>
  </si>
  <si>
    <t xml:space="preserve">Guard: the syndicate's convention gives the lowest fair value</t>
  </si>
  <si>
    <t xml:space="preserve">Guard: each concession is the reoffer spread less its fair value</t>
  </si>
  <si>
    <t xml:space="preserve">Guard: the span of the concessions equals the span of the fair values</t>
  </si>
  <si>
    <t xml:space="preserve">Guard: the softest convention gives a negative concession</t>
  </si>
  <si>
    <t xml:space="preserve">The rows above are the whole argument of Chapter 2 in nine lines: four defensible readings, one span, and a euro figure for the span at the size you are raising.</t>
  </si>
  <si>
    <t xml:space="preserve">Two further sizes, on the same curve</t>
  </si>
  <si>
    <t xml:space="preserve">size, EUR</t>
  </si>
  <si>
    <t xml:space="preserve">present value of one basis point, EUR</t>
  </si>
  <si>
    <t xml:space="preserve">euro value of the span</t>
  </si>
  <si>
    <t xml:space="preserve">Two sizes you may edit. On some curves the span is a rounding error; on Ardennes' it was not.</t>
  </si>
  <si>
    <t xml:space="preserve">Does each interpolation return the quotation it was given?</t>
  </si>
  <si>
    <t xml:space="preserve">quotation</t>
  </si>
  <si>
    <t xml:space="preserve">quoted spread, bp</t>
  </si>
  <si>
    <t xml:space="preserve">linear in root time</t>
  </si>
  <si>
    <t xml:space="preserve">linear in the logarithm</t>
  </si>
  <si>
    <t xml:space="preserve">An interpolation that does not return its own input at its own input maturity is not an interpolation. The three rows above are the guard, live.</t>
  </si>
  <si>
    <t xml:space="preserve">The least-squares line, at the maturities it was fitted to</t>
  </si>
  <si>
    <t xml:space="preserve">fitted spread, bp</t>
  </si>
  <si>
    <t xml:space="preserve">residual, bp</t>
  </si>
  <si>
    <t xml:space="preserve">Least squares is not an interpolation. It is a fit, and it passes through none of the three points. That is the whole of its difference from the first convention on this curve, and it is worth a few thousand euros.</t>
  </si>
  <si>
    <t xml:space="preserve">The first experiment, computed</t>
  </si>
  <si>
    <t xml:space="preserve">Move applied to the upper bracketing quotation, bp</t>
  </si>
  <si>
    <t xml:space="preserve">Upper bracketing spread after the move, bp</t>
  </si>
  <si>
    <t xml:space="preserve">Linear in maturity, after the move, bp</t>
  </si>
  <si>
    <t xml:space="preserve">Its concession, bp</t>
  </si>
  <si>
    <t xml:space="preserve">Linear in the logarithm of maturity, after the move, bp</t>
  </si>
  <si>
    <t xml:space="preserve">Does the logarithmic concession change sign? 1 for yes</t>
  </si>
  <si>
    <t xml:space="preserve">Nine basis points off the nine-year bond take the logarithmic reading from 122.78 to 116.88, below the reoffer spread, and its concession from minus 0.78 to plus 5.12. The move is an input you may edit; the Inputs sheet is untouched.</t>
  </si>
  <si>
    <t xml:space="preserve">Checks</t>
  </si>
  <si>
    <t xml:space="preserve">Each line sets a figure printed in the book beside the figure this workbook computes.</t>
  </si>
  <si>
    <t xml:space="preserve">Column C carries the figure as the book prints it, at the precision the book prints it. Column D is a live formula over the inputs. The tolerance on each line is half a unit of the last printed digit. If a line reads FAIL, the workbook is wrong, not the book.</t>
  </si>
  <si>
    <t xml:space="preserve">Ch.</t>
  </si>
  <si>
    <t xml:space="preserve">Figure</t>
  </si>
  <si>
    <t xml:space="preserve">Printed</t>
  </si>
  <si>
    <t xml:space="preserve">Workbook</t>
  </si>
  <si>
    <t xml:space="preserve">Difference</t>
  </si>
  <si>
    <t xml:space="preserve">Result</t>
  </si>
  <si>
    <t xml:space="preserve">2</t>
  </si>
  <si>
    <t xml:space="preserve">Fair value at seven years, linear in maturity, bp</t>
  </si>
  <si>
    <t xml:space="preserve">Fair value at seven years, least squares on three points, bp</t>
  </si>
  <si>
    <t xml:space="preserve">Fair value at seven years, linear in the square root of time, bp</t>
  </si>
  <si>
    <t xml:space="preserve">Fair value at seven years, linear in the logarithm of maturity, bp</t>
  </si>
  <si>
    <t xml:space="preserve">Implied concession, linear in maturity, bp</t>
  </si>
  <si>
    <t xml:space="preserve">Implied concession, least squares on three points, bp</t>
  </si>
  <si>
    <t xml:space="preserve">Implied concession, linear in the square root of time, bp</t>
  </si>
  <si>
    <t xml:space="preserve">Implied concession, linear in the logarithm of maturity, bp</t>
  </si>
  <si>
    <t xml:space="preserve">Span of the four implied concessions, bp</t>
  </si>
  <si>
    <t xml:space="preserve">Lowest fair value of the four, bp</t>
  </si>
  <si>
    <t xml:space="preserve">Highest fair value of the four, bp</t>
  </si>
  <si>
    <t xml:space="preserve">Highest concession of the four, bp</t>
  </si>
  <si>
    <t xml:space="preserve">Lowest concession of the four, bp</t>
  </si>
  <si>
    <t xml:space="preserve">Reoffer spread at which the bond priced, bp</t>
  </si>
  <si>
    <t xml:space="preserve">Target maturity of the new bond, years</t>
  </si>
  <si>
    <t xml:space="preserve">7</t>
  </si>
  <si>
    <t xml:space="preserve">Annuity factor over seven years</t>
  </si>
  <si>
    <t xml:space="preserve">4</t>
  </si>
  <si>
    <t xml:space="preserve">Present value of one basis point on EUR 500,000,000</t>
  </si>
  <si>
    <t xml:space="preserve">Euro value of the span between the four conventions</t>
  </si>
  <si>
    <t xml:space="preserve">16</t>
  </si>
  <si>
    <t xml:space="preserve">The same supplement added up over seven years, EUR</t>
  </si>
  <si>
    <t xml:space="preserve">What discounting at the annuity factor takes off, EUR</t>
  </si>
  <si>
    <t xml:space="preserve">Present value of the concession, linear reading, EUR</t>
  </si>
  <si>
    <t xml:space="preserve">Present value of the concession, logarithmic reading, EUR</t>
  </si>
  <si>
    <t xml:space="preserve">Difference between those two present values, EUR</t>
  </si>
  <si>
    <t xml:space="preserve">The comparable-set choice, as the book converts it: 0.03 bp priced</t>
  </si>
  <si>
    <t xml:space="preserve">-</t>
  </si>
  <si>
    <t xml:space="preserve">Model: the same choice without the rounding, EUR</t>
  </si>
  <si>
    <t xml:space="preserve">Model: euro value of the span at EUR 1,000,000,000</t>
  </si>
  <si>
    <t xml:space="preserve">Model: least-squares slope, bp a year</t>
  </si>
  <si>
    <t xml:space="preserve">Model: least-squares intercept, bp</t>
  </si>
  <si>
    <t xml:space="preserve">Model: the least-squares line at 4.12 years, bp</t>
  </si>
  <si>
    <t xml:space="preserve">Guard: linear in maturity returns 62 bp at 1.58 years</t>
  </si>
  <si>
    <t xml:space="preserve">Guard: linear in root time returns 62 bp at 1.58 years</t>
  </si>
  <si>
    <t xml:space="preserve">Guard: linear in the logarithm returns 62 bp at 1.58 years</t>
  </si>
  <si>
    <t xml:space="preserve">Guard: linear in maturity returns 88 bp at 4.12 years</t>
  </si>
  <si>
    <t xml:space="preserve">Guard: linear in root time returns 88 bp at 4.12 years</t>
  </si>
  <si>
    <t xml:space="preserve">Guard: linear in the logarithm returns 88 bp at 4.12 years</t>
  </si>
  <si>
    <t xml:space="preserve">Guard: linear in maturity returns 141 bp at 9.24 years</t>
  </si>
  <si>
    <t xml:space="preserve">Guard: linear in root time returns 141 bp at 9.24 years</t>
  </si>
  <si>
    <t xml:space="preserve">Guard: linear in the logarithm returns 141 bp at 9.24 years</t>
  </si>
  <si>
    <t xml:space="preserve">Guard: the softest convention gives a negative concession, 1 for yes</t>
  </si>
  <si>
    <t xml:space="preserve">Guard: the four fair values straddle the reoffer spread, 1 for yes</t>
  </si>
  <si>
    <t xml:space="preserve">Guard: the two readings of the annuity factor agree</t>
  </si>
  <si>
    <t xml:space="preserve">Model: the first experiment, logarithmic reading with the nine-year quotation at 132 bp</t>
  </si>
  <si>
    <t xml:space="preserve">Model: the first experiment, its concession, bp</t>
  </si>
  <si>
    <t xml:space="preserve">Guard: in the first experiment the logarithmic concession changes sign, 1 for yes</t>
  </si>
  <si>
    <t xml:space="preserve">Checks in this workbook</t>
  </si>
  <si>
    <t xml:space="preserve">Failures</t>
  </si>
</sst>
</file>

<file path=xl/styles.xml><?xml version="1.0" encoding="utf-8"?>
<styleSheet xmlns="http://schemas.openxmlformats.org/spreadsheetml/2006/main">
  <numFmts count="13">
    <numFmt numFmtId="164" formatCode="General"/>
    <numFmt numFmtId="165" formatCode="0.0000;\-0.0000"/>
    <numFmt numFmtId="166" formatCode="0.00;\-0.00"/>
    <numFmt numFmtId="167" formatCode="0"/>
    <numFmt numFmtId="168" formatCode="0.0000%;\-0.0000%"/>
    <numFmt numFmtId="169" formatCode="#,##0;\-#,##0"/>
    <numFmt numFmtId="170" formatCode="0.00000;\-0.00000"/>
    <numFmt numFmtId="171" formatCode="0.00000000"/>
    <numFmt numFmtId="172" formatCode="0.00000000000"/>
    <numFmt numFmtId="173" formatCode="0.0000000"/>
    <numFmt numFmtId="174" formatCode="0.00%;\-0.00%"/>
    <numFmt numFmtId="175" formatCode="#,##0.00;\-#,##0.00"/>
    <numFmt numFmtId="176" formatCode="@"/>
  </numFmts>
  <fonts count="12">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sz val="10"/>
      <color rgb="FF5A6A70"/>
      <name val="Calibri"/>
      <family val="0"/>
      <charset val="1"/>
    </font>
    <font>
      <b val="true"/>
      <sz val="12"/>
      <color rgb="FF1F4E5F"/>
      <name val="Calibri"/>
      <family val="0"/>
      <charset val="1"/>
    </font>
    <font>
      <sz val="11"/>
      <color rgb="FF1A1A1A"/>
      <name val="Calibri"/>
      <family val="0"/>
      <charset val="1"/>
    </font>
    <font>
      <b val="true"/>
      <sz val="10"/>
      <color rgb="FFFFFFFF"/>
      <name val="Calibri"/>
      <family val="0"/>
      <charset val="1"/>
    </font>
    <font>
      <b val="true"/>
      <sz val="11"/>
      <color rgb="FF0B4FA0"/>
      <name val="Calibri"/>
      <family val="0"/>
      <charset val="1"/>
    </font>
    <font>
      <sz val="9"/>
      <color rgb="FF5A6A70"/>
      <name val="Calibri"/>
      <family val="0"/>
      <charset val="1"/>
    </font>
    <font>
      <b val="true"/>
      <sz val="11"/>
      <color rgb="FF1A1A1A"/>
      <name val="Calibri"/>
      <family val="0"/>
      <charset val="1"/>
    </font>
  </fonts>
  <fills count="4">
    <fill>
      <patternFill patternType="none"/>
    </fill>
    <fill>
      <patternFill patternType="gray125"/>
    </fill>
    <fill>
      <patternFill patternType="solid">
        <fgColor rgb="FF1F4E5F"/>
        <bgColor rgb="FF0B4FA0"/>
      </patternFill>
    </fill>
    <fill>
      <patternFill patternType="solid">
        <fgColor rgb="FFFFF6D8"/>
        <bgColor rgb="FFFFFFFF"/>
      </patternFill>
    </fill>
  </fills>
  <borders count="3">
    <border diagonalUp="false" diagonalDown="false">
      <left/>
      <right/>
      <top/>
      <bottom/>
      <diagonal/>
    </border>
    <border diagonalUp="false" diagonalDown="false">
      <left/>
      <right/>
      <top/>
      <bottom style="thin">
        <color rgb="FFBFCBD1"/>
      </bottom>
      <diagonal/>
    </border>
    <border diagonalUp="false" diagonalDown="false">
      <left/>
      <right/>
      <top style="thin">
        <color rgb="FFBFCBD1"/>
      </top>
      <bottom style="thin">
        <color rgb="FFBFCBD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2" xfId="0" applyFont="true" applyBorder="true" applyAlignment="true" applyProtection="false">
      <alignment horizontal="left" vertical="bottom" textRotation="0" wrapText="true" indent="0" shrinkToFit="false"/>
      <protection locked="true" hidden="false"/>
    </xf>
    <xf numFmtId="164" fontId="8" fillId="2" borderId="2" xfId="0" applyFont="true" applyBorder="true" applyAlignment="true" applyProtection="false">
      <alignment horizontal="right" vertical="bottom" textRotation="0" wrapText="true" indent="0" shrinkToFit="false"/>
      <protection locked="true" hidden="false"/>
    </xf>
    <xf numFmtId="164" fontId="9" fillId="3" borderId="2" xfId="0" applyFont="true" applyBorder="true" applyAlignment="false" applyProtection="false">
      <alignment horizontal="general" vertical="bottom" textRotation="0" wrapText="false" indent="0" shrinkToFit="false"/>
      <protection locked="true" hidden="false"/>
    </xf>
    <xf numFmtId="165" fontId="9" fillId="3" borderId="2" xfId="0" applyFont="true" applyBorder="true" applyAlignment="false" applyProtection="false">
      <alignment horizontal="general" vertical="bottom" textRotation="0" wrapText="false" indent="0" shrinkToFit="false"/>
      <protection locked="true" hidden="false"/>
    </xf>
    <xf numFmtId="166" fontId="9" fillId="3" borderId="2"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7" fontId="9" fillId="3" borderId="2" xfId="0" applyFont="true" applyBorder="true" applyAlignment="false" applyProtection="false">
      <alignment horizontal="general" vertical="bottom" textRotation="0" wrapText="false" indent="0" shrinkToFit="false"/>
      <protection locked="true" hidden="false"/>
    </xf>
    <xf numFmtId="168" fontId="9" fillId="3" borderId="2" xfId="0" applyFont="true" applyBorder="true" applyAlignment="false" applyProtection="false">
      <alignment horizontal="general" vertical="bottom" textRotation="0" wrapText="false" indent="0" shrinkToFit="false"/>
      <protection locked="true" hidden="false"/>
    </xf>
    <xf numFmtId="169" fontId="9" fillId="3" borderId="2" xfId="0" applyFont="true" applyBorder="tru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8" fontId="11"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70" fontId="11"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75" fontId="11" fillId="0" borderId="0" xfId="0" applyFont="true" applyBorder="false" applyAlignment="false" applyProtection="false">
      <alignment horizontal="general" vertical="bottom" textRotation="0" wrapText="false" indent="0" shrinkToFit="false"/>
      <protection locked="true" hidden="false"/>
    </xf>
    <xf numFmtId="169" fontId="11" fillId="0"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76" fontId="11"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BD1"/>
      <rgbColor rgb="FF808080"/>
      <rgbColor rgb="FF9999FF"/>
      <rgbColor rgb="FF993366"/>
      <rgbColor rgb="FFFFF6D8"/>
      <rgbColor rgb="FFCCFFFF"/>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2"/>
  </cols>
  <sheetData>
    <row r="1" customFormat="false" ht="19.7" hidden="false" customHeight="false" outlineLevel="0" collapsed="false">
      <c r="A1" s="1" t="s">
        <v>0</v>
      </c>
    </row>
    <row r="2" customFormat="false" ht="15" hidden="false" customHeight="false" outlineLevel="0" collapsed="false">
      <c r="A2" s="2" t="s">
        <v>1</v>
      </c>
    </row>
    <row r="5" customFormat="false" ht="15" hidden="false" customHeight="false" outlineLevel="0" collapsed="false">
      <c r="A5" s="3" t="s">
        <v>2</v>
      </c>
    </row>
    <row r="7" customFormat="false" ht="55.2" hidden="false" customHeight="false" outlineLevel="0" collapsed="false">
      <c r="A7" s="4" t="s">
        <v>3</v>
      </c>
    </row>
    <row r="9" customFormat="false" ht="15" hidden="false" customHeight="false" outlineLevel="0" collapsed="false">
      <c r="A9" s="3" t="s">
        <v>4</v>
      </c>
    </row>
    <row r="11" customFormat="false" ht="55.2" hidden="false" customHeight="false" outlineLevel="0" collapsed="false">
      <c r="A11" s="4" t="s">
        <v>5</v>
      </c>
    </row>
    <row r="13" customFormat="false" ht="15" hidden="false" customHeight="false" outlineLevel="0" collapsed="false">
      <c r="A13" s="3" t="s">
        <v>6</v>
      </c>
    </row>
    <row r="15" customFormat="false" ht="41.75" hidden="false" customHeight="false" outlineLevel="0" collapsed="false">
      <c r="A15" s="4" t="s">
        <v>7</v>
      </c>
    </row>
    <row r="17" customFormat="false" ht="15" hidden="false" customHeight="false" outlineLevel="0" collapsed="false">
      <c r="A17" s="3" t="s">
        <v>8</v>
      </c>
    </row>
    <row r="19" customFormat="false" ht="28.35" hidden="false" customHeight="false" outlineLevel="0" collapsed="false">
      <c r="A19" s="4" t="s">
        <v>9</v>
      </c>
    </row>
    <row r="21" customFormat="false" ht="15" hidden="false" customHeight="false" outlineLevel="0" collapsed="false">
      <c r="A21" s="3" t="s">
        <v>10</v>
      </c>
    </row>
    <row r="23" customFormat="false" ht="41.75" hidden="false" customHeight="false" outlineLevel="0" collapsed="false">
      <c r="A23" s="4" t="s">
        <v>11</v>
      </c>
    </row>
    <row r="25" customFormat="false" ht="15" hidden="false" customHeight="false" outlineLevel="0" collapsed="false">
      <c r="A25" s="3" t="s">
        <v>12</v>
      </c>
    </row>
    <row r="27" customFormat="false" ht="55.2" hidden="false" customHeight="false" outlineLevel="0" collapsed="false">
      <c r="A27" s="4"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2" min="2" style="0" width="20"/>
    <col collapsed="false" customWidth="true" hidden="false" outlineLevel="0" max="3" min="3" style="0" width="22"/>
    <col collapsed="false" customWidth="true" hidden="false" outlineLevel="0" max="5" min="4" style="0" width="18"/>
  </cols>
  <sheetData>
    <row r="1" customFormat="false" ht="19.7" hidden="false" customHeight="false" outlineLevel="0" collapsed="false">
      <c r="A1" s="1" t="s">
        <v>14</v>
      </c>
    </row>
    <row r="2" customFormat="false" ht="15" hidden="false" customHeight="false" outlineLevel="0" collapsed="false">
      <c r="A2" s="2" t="s">
        <v>15</v>
      </c>
    </row>
    <row r="5" customFormat="false" ht="15" hidden="false" customHeight="false" outlineLevel="0" collapsed="false">
      <c r="A5" s="3" t="s">
        <v>16</v>
      </c>
    </row>
    <row r="7" customFormat="false" ht="23.85" hidden="false" customHeight="false" outlineLevel="0" collapsed="false">
      <c r="A7" s="5" t="s">
        <v>17</v>
      </c>
      <c r="B7" s="6" t="s">
        <v>18</v>
      </c>
      <c r="C7" s="6" t="s">
        <v>19</v>
      </c>
    </row>
    <row r="8" customFormat="false" ht="15" hidden="false" customHeight="false" outlineLevel="0" collapsed="false">
      <c r="A8" s="7" t="s">
        <v>20</v>
      </c>
      <c r="B8" s="8" t="n">
        <v>1.58</v>
      </c>
      <c r="C8" s="9" t="n">
        <v>62</v>
      </c>
    </row>
    <row r="9" customFormat="false" ht="15" hidden="false" customHeight="false" outlineLevel="0" collapsed="false">
      <c r="A9" s="7" t="s">
        <v>21</v>
      </c>
      <c r="B9" s="8" t="n">
        <v>4.12</v>
      </c>
      <c r="C9" s="9" t="n">
        <v>88</v>
      </c>
    </row>
    <row r="10" customFormat="false" ht="15" hidden="false" customHeight="false" outlineLevel="0" collapsed="false">
      <c r="A10" s="7" t="s">
        <v>22</v>
      </c>
      <c r="B10" s="8" t="n">
        <v>9.24</v>
      </c>
      <c r="C10" s="9" t="n">
        <v>141</v>
      </c>
    </row>
    <row r="12" customFormat="false" ht="15" hidden="false" customHeight="false" outlineLevel="0" collapsed="false">
      <c r="A12" s="10" t="s">
        <v>23</v>
      </c>
    </row>
    <row r="13" customFormat="false" ht="15" hidden="false" customHeight="false" outlineLevel="0" collapsed="false">
      <c r="A13" s="10" t="s">
        <v>24</v>
      </c>
    </row>
    <row r="16" customFormat="false" ht="15" hidden="false" customHeight="false" outlineLevel="0" collapsed="false">
      <c r="A16" s="3" t="s">
        <v>25</v>
      </c>
    </row>
    <row r="18" customFormat="false" ht="15" hidden="false" customHeight="false" outlineLevel="0" collapsed="false">
      <c r="A18" s="5" t="s">
        <v>26</v>
      </c>
      <c r="B18" s="6" t="s">
        <v>27</v>
      </c>
    </row>
    <row r="19" customFormat="false" ht="15" hidden="false" customHeight="false" outlineLevel="0" collapsed="false">
      <c r="A19" s="11" t="s">
        <v>28</v>
      </c>
      <c r="B19" s="8" t="n">
        <v>7</v>
      </c>
    </row>
    <row r="20" customFormat="false" ht="15" hidden="false" customHeight="false" outlineLevel="0" collapsed="false">
      <c r="A20" s="11" t="s">
        <v>29</v>
      </c>
      <c r="B20" s="9" t="n">
        <v>122</v>
      </c>
    </row>
    <row r="21" customFormat="false" ht="15" hidden="false" customHeight="false" outlineLevel="0" collapsed="false">
      <c r="A21" s="11" t="s">
        <v>30</v>
      </c>
      <c r="B21" s="12" t="n">
        <v>7</v>
      </c>
    </row>
    <row r="22" customFormat="false" ht="15" hidden="false" customHeight="false" outlineLevel="0" collapsed="false">
      <c r="A22" s="11" t="s">
        <v>31</v>
      </c>
      <c r="B22" s="13" t="n">
        <v>0.0425</v>
      </c>
    </row>
    <row r="23" customFormat="false" ht="15" hidden="false" customHeight="false" outlineLevel="0" collapsed="false">
      <c r="A23" s="11" t="s">
        <v>32</v>
      </c>
      <c r="B23" s="13" t="n">
        <v>0.031</v>
      </c>
    </row>
    <row r="25" customFormat="false" ht="15" hidden="false" customHeight="false" outlineLevel="0" collapsed="false">
      <c r="A25" s="10" t="s">
        <v>33</v>
      </c>
    </row>
    <row r="28" customFormat="false" ht="15" hidden="false" customHeight="false" outlineLevel="0" collapsed="false">
      <c r="A28" s="3" t="s">
        <v>34</v>
      </c>
    </row>
    <row r="30" customFormat="false" ht="15" hidden="false" customHeight="false" outlineLevel="0" collapsed="false">
      <c r="A30" s="5" t="s">
        <v>26</v>
      </c>
      <c r="B30" s="6" t="s">
        <v>27</v>
      </c>
    </row>
    <row r="31" customFormat="false" ht="15" hidden="false" customHeight="false" outlineLevel="0" collapsed="false">
      <c r="A31" s="11" t="s">
        <v>35</v>
      </c>
      <c r="B31" s="14" t="n">
        <v>500000000</v>
      </c>
    </row>
    <row r="32" customFormat="false" ht="15" hidden="false" customHeight="false" outlineLevel="0" collapsed="false">
      <c r="A32" s="11" t="s">
        <v>36</v>
      </c>
      <c r="B32" s="14" t="n">
        <v>500000000</v>
      </c>
    </row>
    <row r="34" customFormat="false" ht="15" hidden="false" customHeight="false" outlineLevel="0" collapsed="false">
      <c r="A34" s="10" t="s">
        <v>37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4" min="2" style="0" width="18"/>
    <col collapsed="false" customWidth="true" hidden="false" outlineLevel="0" max="5" min="5" style="0" width="20"/>
  </cols>
  <sheetData>
    <row r="1" customFormat="false" ht="19.7" hidden="false" customHeight="false" outlineLevel="0" collapsed="false">
      <c r="A1" s="1" t="s">
        <v>38</v>
      </c>
    </row>
    <row r="2" customFormat="false" ht="15" hidden="false" customHeight="false" outlineLevel="0" collapsed="false">
      <c r="A2" s="2" t="s">
        <v>39</v>
      </c>
    </row>
    <row r="5" customFormat="false" ht="15" hidden="false" customHeight="false" outlineLevel="0" collapsed="false">
      <c r="A5" s="3" t="s">
        <v>40</v>
      </c>
    </row>
    <row r="7" customFormat="false" ht="15" hidden="false" customHeight="false" outlineLevel="0" collapsed="false">
      <c r="A7" s="5" t="s">
        <v>41</v>
      </c>
      <c r="B7" s="6" t="s">
        <v>27</v>
      </c>
    </row>
    <row r="8" customFormat="false" ht="15" hidden="false" customHeight="false" outlineLevel="0" collapsed="false">
      <c r="A8" s="11" t="s">
        <v>42</v>
      </c>
      <c r="B8" s="15" t="n">
        <f aca="false">MidSwap</f>
        <v>0.031</v>
      </c>
    </row>
    <row r="9" customFormat="false" ht="15" hidden="false" customHeight="false" outlineLevel="0" collapsed="false">
      <c r="A9" s="11" t="s">
        <v>43</v>
      </c>
      <c r="B9" s="16" t="n">
        <f aca="false">ReofferSpr</f>
        <v>122</v>
      </c>
    </row>
    <row r="10" customFormat="false" ht="15" hidden="false" customHeight="false" outlineLevel="0" collapsed="false">
      <c r="A10" s="11" t="s">
        <v>44</v>
      </c>
      <c r="B10" s="17" t="n">
        <f aca="false">MidSwap+ReofferSpr/10000</f>
        <v>0.0432</v>
      </c>
    </row>
    <row r="12" customFormat="false" ht="15" hidden="false" customHeight="false" outlineLevel="0" collapsed="false">
      <c r="A12" s="3" t="s">
        <v>45</v>
      </c>
    </row>
    <row r="14" customFormat="false" ht="15" hidden="false" customHeight="false" outlineLevel="0" collapsed="false">
      <c r="A14" s="5" t="s">
        <v>46</v>
      </c>
      <c r="B14" s="6" t="s">
        <v>47</v>
      </c>
      <c r="C14" s="6" t="s">
        <v>48</v>
      </c>
      <c r="D14" s="6" t="s">
        <v>49</v>
      </c>
      <c r="E14" s="6" t="s">
        <v>50</v>
      </c>
    </row>
    <row r="15" customFormat="false" ht="15" hidden="false" customHeight="false" outlineLevel="0" collapsed="false">
      <c r="A15" s="18" t="n">
        <v>1</v>
      </c>
      <c r="B15" s="19" t="n">
        <f aca="false">IF($A15&lt;=Tenor,Coupon*100+IF($A15=Tenor,100,0),0)</f>
        <v>4.25</v>
      </c>
      <c r="C15" s="20" t="n">
        <f aca="false">IF($A15&lt;=Tenor,(1+Yld)^-$A15,0)</f>
        <v>0.958588957055215</v>
      </c>
      <c r="D15" s="19" t="n">
        <f aca="false">$B15*$C15</f>
        <v>4.07400306748466</v>
      </c>
      <c r="E15" s="19" t="n">
        <f aca="false">$A15*$D15</f>
        <v>4.07400306748466</v>
      </c>
    </row>
    <row r="16" customFormat="false" ht="15" hidden="false" customHeight="false" outlineLevel="0" collapsed="false">
      <c r="A16" s="18" t="n">
        <v>2</v>
      </c>
      <c r="B16" s="19" t="n">
        <f aca="false">IF($A16&lt;=Tenor,Coupon*100+IF($A16=Tenor,100,0),0)</f>
        <v>4.25</v>
      </c>
      <c r="C16" s="20" t="n">
        <f aca="false">IF($A16&lt;=Tenor,(1+Yld)^-$A16,0)</f>
        <v>0.918892788588204</v>
      </c>
      <c r="D16" s="19" t="n">
        <f aca="false">$B16*$C16</f>
        <v>3.90529435149987</v>
      </c>
      <c r="E16" s="19" t="n">
        <f aca="false">$A16*$D16</f>
        <v>7.81058870299974</v>
      </c>
    </row>
    <row r="17" customFormat="false" ht="15" hidden="false" customHeight="false" outlineLevel="0" collapsed="false">
      <c r="A17" s="18" t="n">
        <v>3</v>
      </c>
      <c r="B17" s="19" t="n">
        <f aca="false">IF($A17&lt;=Tenor,Coupon*100+IF($A17=Tenor,100,0),0)</f>
        <v>4.25</v>
      </c>
      <c r="C17" s="20" t="n">
        <f aca="false">IF($A17&lt;=Tenor,(1+Yld)^-$A17,0)</f>
        <v>0.880840479858325</v>
      </c>
      <c r="D17" s="19" t="n">
        <f aca="false">$B17*$C17</f>
        <v>3.74357203939788</v>
      </c>
      <c r="E17" s="19" t="n">
        <f aca="false">$A17*$D17</f>
        <v>11.2307161181936</v>
      </c>
    </row>
    <row r="18" customFormat="false" ht="15" hidden="false" customHeight="false" outlineLevel="0" collapsed="false">
      <c r="A18" s="18" t="n">
        <v>4</v>
      </c>
      <c r="B18" s="19" t="n">
        <f aca="false">IF($A18&lt;=Tenor,Coupon*100+IF($A18=Tenor,100,0),0)</f>
        <v>4.25</v>
      </c>
      <c r="C18" s="20" t="n">
        <f aca="false">IF($A18&lt;=Tenor,(1+Yld)^-$A18,0)</f>
        <v>0.844363956919407</v>
      </c>
      <c r="D18" s="19" t="n">
        <f aca="false">$B18*$C18</f>
        <v>3.58854681690748</v>
      </c>
      <c r="E18" s="19" t="n">
        <f aca="false">$A18*$D18</f>
        <v>14.3541872676299</v>
      </c>
    </row>
    <row r="19" customFormat="false" ht="15" hidden="false" customHeight="false" outlineLevel="0" collapsed="false">
      <c r="A19" s="18" t="n">
        <v>5</v>
      </c>
      <c r="B19" s="19" t="n">
        <f aca="false">IF($A19&lt;=Tenor,Coupon*100+IF($A19=Tenor,100,0),0)</f>
        <v>4.25</v>
      </c>
      <c r="C19" s="20" t="n">
        <f aca="false">IF($A19&lt;=Tenor,(1+Yld)^-$A19,0)</f>
        <v>0.809397964838388</v>
      </c>
      <c r="D19" s="19" t="n">
        <f aca="false">$B19*$C19</f>
        <v>3.43994135056315</v>
      </c>
      <c r="E19" s="19" t="n">
        <f aca="false">$A19*$D19</f>
        <v>17.1997067528158</v>
      </c>
    </row>
    <row r="20" customFormat="false" ht="15" hidden="false" customHeight="false" outlineLevel="0" collapsed="false">
      <c r="A20" s="18" t="n">
        <v>6</v>
      </c>
      <c r="B20" s="19" t="n">
        <f aca="false">IF($A20&lt;=Tenor,Coupon*100+IF($A20=Tenor,100,0),0)</f>
        <v>4.25</v>
      </c>
      <c r="C20" s="20" t="n">
        <f aca="false">IF($A20&lt;=Tenor,(1+Yld)^-$A20,0)</f>
        <v>0.775879950957044</v>
      </c>
      <c r="D20" s="19" t="n">
        <f aca="false">$B20*$C20</f>
        <v>3.29748979156744</v>
      </c>
      <c r="E20" s="19" t="n">
        <f aca="false">$A20*$D20</f>
        <v>19.7849387494046</v>
      </c>
    </row>
    <row r="21" customFormat="false" ht="15" hidden="false" customHeight="false" outlineLevel="0" collapsed="false">
      <c r="A21" s="18" t="n">
        <v>7</v>
      </c>
      <c r="B21" s="19" t="n">
        <f aca="false">IF($A21&lt;=Tenor,Coupon*100+IF($A21=Tenor,100,0),0)</f>
        <v>104.25</v>
      </c>
      <c r="C21" s="20" t="n">
        <f aca="false">IF($A21&lt;=Tenor,(1+Yld)^-$A21,0)</f>
        <v>0.743749952987964</v>
      </c>
      <c r="D21" s="19" t="n">
        <f aca="false">$B21*$C21</f>
        <v>77.5359325989953</v>
      </c>
      <c r="E21" s="19" t="n">
        <f aca="false">$A21*$D21</f>
        <v>542.751528192967</v>
      </c>
    </row>
    <row r="22" customFormat="false" ht="15" hidden="false" customHeight="false" outlineLevel="0" collapsed="false">
      <c r="A22" s="18" t="n">
        <v>8</v>
      </c>
      <c r="B22" s="19" t="n">
        <f aca="false">IF($A22&lt;=Tenor,Coupon*100+IF($A22=Tenor,100,0),0)</f>
        <v>0</v>
      </c>
      <c r="C22" s="20" t="n">
        <f aca="false">IF($A22&lt;=Tenor,(1+Yld)^-$A22,0)</f>
        <v>0</v>
      </c>
      <c r="D22" s="19" t="n">
        <f aca="false">$B22*$C22</f>
        <v>0</v>
      </c>
      <c r="E22" s="19" t="n">
        <f aca="false">$A22*$D22</f>
        <v>0</v>
      </c>
    </row>
    <row r="23" customFormat="false" ht="15" hidden="false" customHeight="false" outlineLevel="0" collapsed="false">
      <c r="A23" s="18" t="n">
        <v>9</v>
      </c>
      <c r="B23" s="19" t="n">
        <f aca="false">IF($A23&lt;=Tenor,Coupon*100+IF($A23=Tenor,100,0),0)</f>
        <v>0</v>
      </c>
      <c r="C23" s="20" t="n">
        <f aca="false">IF($A23&lt;=Tenor,(1+Yld)^-$A23,0)</f>
        <v>0</v>
      </c>
      <c r="D23" s="19" t="n">
        <f aca="false">$B23*$C23</f>
        <v>0</v>
      </c>
      <c r="E23" s="19" t="n">
        <f aca="false">$A23*$D23</f>
        <v>0</v>
      </c>
    </row>
    <row r="24" customFormat="false" ht="15" hidden="false" customHeight="false" outlineLevel="0" collapsed="false">
      <c r="A24" s="18" t="n">
        <v>10</v>
      </c>
      <c r="B24" s="19" t="n">
        <f aca="false">IF($A24&lt;=Tenor,Coupon*100+IF($A24=Tenor,100,0),0)</f>
        <v>0</v>
      </c>
      <c r="C24" s="20" t="n">
        <f aca="false">IF($A24&lt;=Tenor,(1+Yld)^-$A24,0)</f>
        <v>0</v>
      </c>
      <c r="D24" s="19" t="n">
        <f aca="false">$B24*$C24</f>
        <v>0</v>
      </c>
      <c r="E24" s="19" t="n">
        <f aca="false">$A24*$D24</f>
        <v>0</v>
      </c>
    </row>
    <row r="25" customFormat="false" ht="15" hidden="false" customHeight="false" outlineLevel="0" collapsed="false">
      <c r="A25" s="18" t="n">
        <v>11</v>
      </c>
      <c r="B25" s="19" t="n">
        <f aca="false">IF($A25&lt;=Tenor,Coupon*100+IF($A25=Tenor,100,0),0)</f>
        <v>0</v>
      </c>
      <c r="C25" s="20" t="n">
        <f aca="false">IF($A25&lt;=Tenor,(1+Yld)^-$A25,0)</f>
        <v>0</v>
      </c>
      <c r="D25" s="19" t="n">
        <f aca="false">$B25*$C25</f>
        <v>0</v>
      </c>
      <c r="E25" s="19" t="n">
        <f aca="false">$A25*$D25</f>
        <v>0</v>
      </c>
    </row>
    <row r="26" customFormat="false" ht="15" hidden="false" customHeight="false" outlineLevel="0" collapsed="false">
      <c r="A26" s="18" t="n">
        <v>12</v>
      </c>
      <c r="B26" s="19" t="n">
        <f aca="false">IF($A26&lt;=Tenor,Coupon*100+IF($A26=Tenor,100,0),0)</f>
        <v>0</v>
      </c>
      <c r="C26" s="20" t="n">
        <f aca="false">IF($A26&lt;=Tenor,(1+Yld)^-$A26,0)</f>
        <v>0</v>
      </c>
      <c r="D26" s="19" t="n">
        <f aca="false">$B26*$C26</f>
        <v>0</v>
      </c>
      <c r="E26" s="19" t="n">
        <f aca="false">$A26*$D26</f>
        <v>0</v>
      </c>
    </row>
    <row r="27" customFormat="false" ht="15" hidden="false" customHeight="false" outlineLevel="0" collapsed="false">
      <c r="A27" s="18" t="n">
        <v>13</v>
      </c>
      <c r="B27" s="19" t="n">
        <f aca="false">IF($A27&lt;=Tenor,Coupon*100+IF($A27=Tenor,100,0),0)</f>
        <v>0</v>
      </c>
      <c r="C27" s="20" t="n">
        <f aca="false">IF($A27&lt;=Tenor,(1+Yld)^-$A27,0)</f>
        <v>0</v>
      </c>
      <c r="D27" s="19" t="n">
        <f aca="false">$B27*$C27</f>
        <v>0</v>
      </c>
      <c r="E27" s="19" t="n">
        <f aca="false">$A27*$D27</f>
        <v>0</v>
      </c>
    </row>
    <row r="28" customFormat="false" ht="15" hidden="false" customHeight="false" outlineLevel="0" collapsed="false">
      <c r="A28" s="18" t="n">
        <v>14</v>
      </c>
      <c r="B28" s="19" t="n">
        <f aca="false">IF($A28&lt;=Tenor,Coupon*100+IF($A28=Tenor,100,0),0)</f>
        <v>0</v>
      </c>
      <c r="C28" s="20" t="n">
        <f aca="false">IF($A28&lt;=Tenor,(1+Yld)^-$A28,0)</f>
        <v>0</v>
      </c>
      <c r="D28" s="19" t="n">
        <f aca="false">$B28*$C28</f>
        <v>0</v>
      </c>
      <c r="E28" s="19" t="n">
        <f aca="false">$A28*$D28</f>
        <v>0</v>
      </c>
    </row>
    <row r="29" customFormat="false" ht="15" hidden="false" customHeight="false" outlineLevel="0" collapsed="false">
      <c r="A29" s="18" t="n">
        <v>15</v>
      </c>
      <c r="B29" s="19" t="n">
        <f aca="false">IF($A29&lt;=Tenor,Coupon*100+IF($A29=Tenor,100,0),0)</f>
        <v>0</v>
      </c>
      <c r="C29" s="20" t="n">
        <f aca="false">IF($A29&lt;=Tenor,(1+Yld)^-$A29,0)</f>
        <v>0</v>
      </c>
      <c r="D29" s="19" t="n">
        <f aca="false">$B29*$C29</f>
        <v>0</v>
      </c>
      <c r="E29" s="19" t="n">
        <f aca="false">$A29*$D29</f>
        <v>0</v>
      </c>
    </row>
    <row r="31" customFormat="false" ht="15" hidden="false" customHeight="false" outlineLevel="0" collapsed="false">
      <c r="A31" s="10" t="s">
        <v>51</v>
      </c>
    </row>
    <row r="34" customFormat="false" ht="15" hidden="false" customHeight="false" outlineLevel="0" collapsed="false">
      <c r="A34" s="3" t="s">
        <v>52</v>
      </c>
    </row>
    <row r="36" customFormat="false" ht="15" hidden="false" customHeight="false" outlineLevel="0" collapsed="false">
      <c r="A36" s="5" t="s">
        <v>41</v>
      </c>
      <c r="B36" s="6" t="s">
        <v>27</v>
      </c>
    </row>
    <row r="37" customFormat="false" ht="15" hidden="false" customHeight="false" outlineLevel="0" collapsed="false">
      <c r="A37" s="11" t="s">
        <v>53</v>
      </c>
      <c r="B37" s="21" t="n">
        <f aca="false">SUM($D$15:$D$29)</f>
        <v>99.5847800164157</v>
      </c>
    </row>
    <row r="38" customFormat="false" ht="15" hidden="false" customHeight="false" outlineLevel="0" collapsed="false">
      <c r="A38" s="11" t="s">
        <v>54</v>
      </c>
      <c r="B38" s="21" t="n">
        <f aca="false">SUM($C$15:$C$29)</f>
        <v>5.93171405120455</v>
      </c>
    </row>
    <row r="39" customFormat="false" ht="15" hidden="false" customHeight="false" outlineLevel="0" collapsed="false">
      <c r="A39" s="11" t="s">
        <v>55</v>
      </c>
      <c r="B39" s="19" t="n">
        <f aca="false">(1-(1+Yld)^-Tenor)/Yld</f>
        <v>5.93171405120453</v>
      </c>
    </row>
    <row r="40" customFormat="false" ht="15" hidden="false" customHeight="false" outlineLevel="0" collapsed="false">
      <c r="A40" s="11" t="s">
        <v>56</v>
      </c>
      <c r="B40" s="22" t="n">
        <f aca="false">$B$38-$B$39</f>
        <v>0</v>
      </c>
    </row>
    <row r="41" customFormat="false" ht="15" hidden="false" customHeight="false" outlineLevel="0" collapsed="false">
      <c r="A41" s="11" t="s">
        <v>57</v>
      </c>
      <c r="B41" s="19" t="n">
        <f aca="false">SUM($E$15:$E$29)/$B$37</f>
        <v>6.19779115593521</v>
      </c>
    </row>
    <row r="42" customFormat="false" ht="15" hidden="false" customHeight="false" outlineLevel="0" collapsed="false">
      <c r="A42" s="11" t="s">
        <v>58</v>
      </c>
      <c r="B42" s="21" t="n">
        <f aca="false">$B$41/(1+Yld)</f>
        <v>5.94113416021397</v>
      </c>
    </row>
    <row r="43" customFormat="false" ht="15" hidden="false" customHeight="false" outlineLevel="0" collapsed="false">
      <c r="A43" s="11" t="s">
        <v>59</v>
      </c>
      <c r="B43" s="23" t="n">
        <f aca="false">$B$42-$B$38</f>
        <v>0.00942010900942236</v>
      </c>
    </row>
    <row r="45" customFormat="false" ht="15" hidden="false" customHeight="false" outlineLevel="0" collapsed="false">
      <c r="A45" s="10" t="s">
        <v>60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9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8"/>
    <col collapsed="false" customWidth="true" hidden="false" outlineLevel="0" max="3" min="3" style="0" width="20"/>
    <col collapsed="false" customWidth="true" hidden="false" outlineLevel="0" max="4" min="4" style="0" width="24"/>
    <col collapsed="false" customWidth="true" hidden="false" outlineLevel="0" max="5" min="5" style="0" width="26"/>
    <col collapsed="false" customWidth="true" hidden="false" outlineLevel="0" max="6" min="6" style="0" width="18"/>
  </cols>
  <sheetData>
    <row r="1" customFormat="false" ht="19.7" hidden="false" customHeight="false" outlineLevel="0" collapsed="false">
      <c r="A1" s="1" t="s">
        <v>61</v>
      </c>
    </row>
    <row r="2" customFormat="false" ht="15" hidden="false" customHeight="false" outlineLevel="0" collapsed="false">
      <c r="A2" s="2" t="s">
        <v>62</v>
      </c>
    </row>
    <row r="5" customFormat="false" ht="15" hidden="false" customHeight="false" outlineLevel="0" collapsed="false">
      <c r="A5" s="3" t="s">
        <v>63</v>
      </c>
    </row>
    <row r="7" customFormat="false" ht="15" hidden="false" customHeight="false" outlineLevel="0" collapsed="false">
      <c r="A7" s="5" t="s">
        <v>41</v>
      </c>
      <c r="B7" s="6" t="s">
        <v>27</v>
      </c>
    </row>
    <row r="8" customFormat="false" ht="15" hidden="false" customHeight="false" outlineLevel="0" collapsed="false">
      <c r="A8" s="11" t="s">
        <v>64</v>
      </c>
      <c r="B8" s="18" t="n">
        <f aca="false">MAX(1,MIN(COUNT(CurveMat)-1,MATCH(TargetMat,CurveMat,1)))</f>
        <v>2</v>
      </c>
    </row>
    <row r="9" customFormat="false" ht="15" hidden="false" customHeight="false" outlineLevel="0" collapsed="false">
      <c r="A9" s="11" t="s">
        <v>65</v>
      </c>
      <c r="B9" s="24" t="n">
        <f aca="false">INDEX(CurveMat,$B$8)</f>
        <v>4.12</v>
      </c>
    </row>
    <row r="10" customFormat="false" ht="15" hidden="false" customHeight="false" outlineLevel="0" collapsed="false">
      <c r="A10" s="11" t="s">
        <v>66</v>
      </c>
      <c r="B10" s="16" t="n">
        <f aca="false">INDEX(CurveSpr,$B$8)</f>
        <v>88</v>
      </c>
    </row>
    <row r="11" customFormat="false" ht="15" hidden="false" customHeight="false" outlineLevel="0" collapsed="false">
      <c r="A11" s="11" t="s">
        <v>67</v>
      </c>
      <c r="B11" s="24" t="n">
        <f aca="false">INDEX(CurveMat,$B$8+1)</f>
        <v>9.24</v>
      </c>
    </row>
    <row r="12" customFormat="false" ht="15" hidden="false" customHeight="false" outlineLevel="0" collapsed="false">
      <c r="A12" s="11" t="s">
        <v>68</v>
      </c>
      <c r="B12" s="16" t="n">
        <f aca="false">INDEX(CurveSpr,$B$8+1)</f>
        <v>141</v>
      </c>
    </row>
    <row r="13" customFormat="false" ht="15" hidden="false" customHeight="false" outlineLevel="0" collapsed="false">
      <c r="A13" s="11" t="s">
        <v>69</v>
      </c>
      <c r="B13" s="19" t="n">
        <f aca="false">SLOPE(CurveSpr,CurveMat)</f>
        <v>10.3188470532594</v>
      </c>
    </row>
    <row r="14" customFormat="false" ht="15" hidden="false" customHeight="false" outlineLevel="0" collapsed="false">
      <c r="A14" s="11" t="s">
        <v>70</v>
      </c>
      <c r="B14" s="19" t="n">
        <f aca="false">INTERCEPT(CurveSpr,CurveMat)</f>
        <v>45.6121416747681</v>
      </c>
    </row>
    <row r="16" customFormat="false" ht="15" hidden="false" customHeight="false" outlineLevel="0" collapsed="false">
      <c r="A16" s="10" t="s">
        <v>71</v>
      </c>
    </row>
    <row r="19" customFormat="false" ht="15" hidden="false" customHeight="false" outlineLevel="0" collapsed="false">
      <c r="A19" s="3" t="s">
        <v>72</v>
      </c>
    </row>
    <row r="21" customFormat="false" ht="23.85" hidden="false" customHeight="false" outlineLevel="0" collapsed="false">
      <c r="A21" s="5" t="s">
        <v>73</v>
      </c>
      <c r="B21" s="6" t="s">
        <v>74</v>
      </c>
      <c r="C21" s="6" t="s">
        <v>75</v>
      </c>
      <c r="D21" s="6" t="s">
        <v>76</v>
      </c>
      <c r="E21" s="6" t="s">
        <v>77</v>
      </c>
    </row>
    <row r="22" customFormat="false" ht="15" hidden="false" customHeight="false" outlineLevel="0" collapsed="false">
      <c r="A22" s="11" t="s">
        <v>78</v>
      </c>
      <c r="B22" s="24" t="n">
        <f aca="false">$B$10+($B$12-$B$10)*(TargetMat-$B$9)/($B$11-$B$9)</f>
        <v>117.8125</v>
      </c>
      <c r="C22" s="24" t="n">
        <f aca="false">ReofferSpr-$B22</f>
        <v>4.1875</v>
      </c>
      <c r="D22" s="25" t="n">
        <f aca="false">$C22/10000*ValSize*Annuity</f>
        <v>1241952.62947095</v>
      </c>
      <c r="E22" s="25" t="n">
        <f aca="false">$D22-$D$22</f>
        <v>0</v>
      </c>
    </row>
    <row r="23" customFormat="false" ht="15" hidden="false" customHeight="false" outlineLevel="0" collapsed="false">
      <c r="A23" s="11" t="s">
        <v>79</v>
      </c>
      <c r="B23" s="24" t="n">
        <f aca="false">$B$14+$B$13*TargetMat</f>
        <v>117.844071047584</v>
      </c>
      <c r="C23" s="24" t="n">
        <f aca="false">ReofferSpr-$B23</f>
        <v>4.15592895241599</v>
      </c>
      <c r="D23" s="25" t="n">
        <f aca="false">$C23/10000*ValSize*Annuity</f>
        <v>1232589.10814269</v>
      </c>
      <c r="E23" s="25" t="n">
        <f aca="false">$D23-$D$22</f>
        <v>-9363.52132826578</v>
      </c>
    </row>
    <row r="24" customFormat="false" ht="15" hidden="false" customHeight="false" outlineLevel="0" collapsed="false">
      <c r="A24" s="11" t="s">
        <v>80</v>
      </c>
      <c r="B24" s="24" t="n">
        <f aca="false">$B$10+($B$12-$B$10)*(SQRT(TargetMat)-SQRT($B$9))/(SQRT($B$11)-SQRT($B$9))</f>
        <v>120.324663166297</v>
      </c>
      <c r="C24" s="24" t="n">
        <f aca="false">ReofferSpr-$B24</f>
        <v>1.67533683370297</v>
      </c>
      <c r="D24" s="25" t="n">
        <f aca="false">$C24/10000*ValSize*Annuity</f>
        <v>496880.951848823</v>
      </c>
      <c r="E24" s="25" t="n">
        <f aca="false">$D24-$D$22</f>
        <v>-745071.677622129</v>
      </c>
    </row>
    <row r="25" customFormat="false" ht="15" hidden="false" customHeight="false" outlineLevel="0" collapsed="false">
      <c r="A25" s="11" t="s">
        <v>81</v>
      </c>
      <c r="B25" s="24" t="n">
        <f aca="false">$B$10+($B$12-$B$10)*(LN(TargetMat)-LN($B$9))/(LN($B$11)-LN($B$9))</f>
        <v>122.78198898463</v>
      </c>
      <c r="C25" s="24" t="n">
        <f aca="false">ReofferSpr-$B25</f>
        <v>-0.781988984629805</v>
      </c>
      <c r="D25" s="25" t="n">
        <f aca="false">$C25/10000*ValSize*Annuity</f>
        <v>-231926.75240079</v>
      </c>
      <c r="E25" s="25" t="n">
        <f aca="false">$D25-$D$22</f>
        <v>-1473879.38187174</v>
      </c>
    </row>
    <row r="27" customFormat="false" ht="15" hidden="false" customHeight="false" outlineLevel="0" collapsed="false">
      <c r="A27" s="10" t="s">
        <v>82</v>
      </c>
    </row>
    <row r="30" customFormat="false" ht="15" hidden="false" customHeight="false" outlineLevel="0" collapsed="false">
      <c r="A30" s="3" t="s">
        <v>83</v>
      </c>
    </row>
    <row r="32" customFormat="false" ht="15" hidden="false" customHeight="false" outlineLevel="0" collapsed="false">
      <c r="A32" s="5" t="s">
        <v>41</v>
      </c>
      <c r="B32" s="6" t="s">
        <v>27</v>
      </c>
    </row>
    <row r="33" customFormat="false" ht="15" hidden="false" customHeight="false" outlineLevel="0" collapsed="false">
      <c r="A33" s="11" t="s">
        <v>84</v>
      </c>
      <c r="B33" s="24" t="n">
        <f aca="false">MAX($B$22:$B$25)</f>
        <v>122.78198898463</v>
      </c>
    </row>
    <row r="34" customFormat="false" ht="15" hidden="false" customHeight="false" outlineLevel="0" collapsed="false">
      <c r="A34" s="11" t="s">
        <v>85</v>
      </c>
      <c r="B34" s="24" t="n">
        <f aca="false">MIN($B$22:$B$25)</f>
        <v>117.8125</v>
      </c>
    </row>
    <row r="35" customFormat="false" ht="15" hidden="false" customHeight="false" outlineLevel="0" collapsed="false">
      <c r="A35" s="11" t="s">
        <v>86</v>
      </c>
      <c r="B35" s="26" t="n">
        <f aca="false">$B$33-$B$34</f>
        <v>4.96948898462981</v>
      </c>
    </row>
    <row r="36" customFormat="false" ht="15" hidden="false" customHeight="false" outlineLevel="0" collapsed="false">
      <c r="A36" s="11" t="s">
        <v>87</v>
      </c>
      <c r="B36" s="24" t="n">
        <f aca="false">MAX($C$22:$C$25)</f>
        <v>4.1875</v>
      </c>
    </row>
    <row r="37" customFormat="false" ht="15" hidden="false" customHeight="false" outlineLevel="0" collapsed="false">
      <c r="A37" s="11" t="s">
        <v>88</v>
      </c>
      <c r="B37" s="24" t="n">
        <f aca="false">MIN($C$22:$C$25)</f>
        <v>-0.781988984629805</v>
      </c>
    </row>
    <row r="38" customFormat="false" ht="15" hidden="false" customHeight="false" outlineLevel="0" collapsed="false">
      <c r="A38" s="11" t="s">
        <v>89</v>
      </c>
      <c r="B38" s="26" t="n">
        <f aca="false">$B$36-$B$37</f>
        <v>4.96948898462981</v>
      </c>
    </row>
    <row r="39" customFormat="false" ht="15" hidden="false" customHeight="false" outlineLevel="0" collapsed="false">
      <c r="A39" s="11" t="s">
        <v>90</v>
      </c>
      <c r="B39" s="27" t="n">
        <f aca="false">$B$38/$B$36</f>
        <v>1.18674363812055</v>
      </c>
    </row>
    <row r="40" customFormat="false" ht="15" hidden="false" customHeight="false" outlineLevel="0" collapsed="false">
      <c r="A40" s="11" t="s">
        <v>91</v>
      </c>
      <c r="B40" s="28" t="n">
        <f aca="false">ValSize/10000*Annuity</f>
        <v>296585.702560227</v>
      </c>
    </row>
    <row r="41" customFormat="false" ht="15" hidden="false" customHeight="false" outlineLevel="0" collapsed="false">
      <c r="A41" s="11" t="s">
        <v>92</v>
      </c>
      <c r="B41" s="29" t="n">
        <f aca="false">$B$35*$B$40</f>
        <v>1473879.38187174</v>
      </c>
    </row>
    <row r="42" customFormat="false" ht="15" hidden="false" customHeight="false" outlineLevel="0" collapsed="false">
      <c r="A42" s="11" t="s">
        <v>93</v>
      </c>
      <c r="B42" s="25" t="n">
        <f aca="false">$C$22/10000*ValSize</f>
        <v>209375</v>
      </c>
    </row>
    <row r="43" customFormat="false" ht="15" hidden="false" customHeight="false" outlineLevel="0" collapsed="false">
      <c r="A43" s="11" t="s">
        <v>94</v>
      </c>
      <c r="B43" s="25" t="n">
        <f aca="false">$B$42*Tenor</f>
        <v>1465625</v>
      </c>
    </row>
    <row r="44" customFormat="false" ht="15" hidden="false" customHeight="false" outlineLevel="0" collapsed="false">
      <c r="A44" s="11" t="s">
        <v>95</v>
      </c>
      <c r="B44" s="25" t="n">
        <f aca="false">$B$43-$D$22</f>
        <v>223672.370529048</v>
      </c>
    </row>
    <row r="45" customFormat="false" ht="15" hidden="false" customHeight="false" outlineLevel="0" collapsed="false">
      <c r="A45" s="11" t="s">
        <v>96</v>
      </c>
      <c r="B45" s="18" t="n">
        <f aca="false">IF(AND($B$34&lt;ReofferSpr,$B$33&gt;ReofferSpr),1,0)</f>
        <v>1</v>
      </c>
    </row>
    <row r="46" customFormat="false" ht="15" hidden="false" customHeight="false" outlineLevel="0" collapsed="false">
      <c r="A46" s="11" t="s">
        <v>97</v>
      </c>
      <c r="B46" s="22" t="n">
        <f aca="false">$B$22-$B$34</f>
        <v>0</v>
      </c>
    </row>
    <row r="47" customFormat="false" ht="15" hidden="false" customHeight="false" outlineLevel="0" collapsed="false">
      <c r="A47" s="11" t="s">
        <v>98</v>
      </c>
      <c r="B47" s="22" t="n">
        <f aca="false">SUMPRODUCT(ABS($C$22:$C$25-(ReofferSpr-$B$22:$B$25)))</f>
        <v>0</v>
      </c>
    </row>
    <row r="48" customFormat="false" ht="15" hidden="false" customHeight="false" outlineLevel="0" collapsed="false">
      <c r="A48" s="11" t="s">
        <v>99</v>
      </c>
      <c r="B48" s="22" t="n">
        <f aca="false">$B$38-$B$35</f>
        <v>0</v>
      </c>
    </row>
    <row r="49" customFormat="false" ht="15" hidden="false" customHeight="false" outlineLevel="0" collapsed="false">
      <c r="A49" s="11" t="s">
        <v>100</v>
      </c>
      <c r="B49" s="18" t="n">
        <f aca="false">IF($B$37&lt;0,1,0)</f>
        <v>1</v>
      </c>
    </row>
    <row r="51" customFormat="false" ht="15" hidden="false" customHeight="false" outlineLevel="0" collapsed="false">
      <c r="A51" s="10" t="s">
        <v>101</v>
      </c>
    </row>
    <row r="54" customFormat="false" ht="15" hidden="false" customHeight="false" outlineLevel="0" collapsed="false">
      <c r="A54" s="3" t="s">
        <v>102</v>
      </c>
    </row>
    <row r="56" customFormat="false" ht="23.85" hidden="false" customHeight="false" outlineLevel="0" collapsed="false">
      <c r="A56" s="5" t="s">
        <v>103</v>
      </c>
      <c r="B56" s="6" t="s">
        <v>104</v>
      </c>
      <c r="C56" s="6" t="s">
        <v>105</v>
      </c>
    </row>
    <row r="57" customFormat="false" ht="15" hidden="false" customHeight="false" outlineLevel="0" collapsed="false">
      <c r="A57" s="14" t="n">
        <v>250000000</v>
      </c>
      <c r="B57" s="30" t="n">
        <f aca="false">$A57/10000*Annuity</f>
        <v>148292.851280114</v>
      </c>
      <c r="C57" s="25" t="n">
        <f aca="false">$B57*$B$35</f>
        <v>736939.690935871</v>
      </c>
    </row>
    <row r="58" customFormat="false" ht="15" hidden="false" customHeight="false" outlineLevel="0" collapsed="false">
      <c r="A58" s="14" t="n">
        <v>1000000000</v>
      </c>
      <c r="B58" s="30" t="n">
        <f aca="false">$A58/10000*Annuity</f>
        <v>593171.405120455</v>
      </c>
      <c r="C58" s="25" t="n">
        <f aca="false">$B58*$B$35</f>
        <v>2947758.76374348</v>
      </c>
    </row>
    <row r="60" customFormat="false" ht="15" hidden="false" customHeight="false" outlineLevel="0" collapsed="false">
      <c r="A60" s="10" t="s">
        <v>106</v>
      </c>
    </row>
    <row r="63" customFormat="false" ht="15" hidden="false" customHeight="false" outlineLevel="0" collapsed="false">
      <c r="A63" s="3" t="s">
        <v>107</v>
      </c>
    </row>
    <row r="65" customFormat="false" ht="23.85" hidden="false" customHeight="false" outlineLevel="0" collapsed="false">
      <c r="A65" s="5" t="s">
        <v>108</v>
      </c>
      <c r="B65" s="6" t="s">
        <v>18</v>
      </c>
      <c r="C65" s="6" t="s">
        <v>109</v>
      </c>
      <c r="D65" s="6" t="s">
        <v>78</v>
      </c>
      <c r="E65" s="6" t="s">
        <v>110</v>
      </c>
      <c r="F65" s="6" t="s">
        <v>111</v>
      </c>
    </row>
    <row r="66" customFormat="false" ht="15" hidden="false" customHeight="false" outlineLevel="0" collapsed="false">
      <c r="A66" s="11" t="str">
        <f aca="false">INDEX(CurveLbl,1)</f>
        <v>2.500% March 2028</v>
      </c>
      <c r="B66" s="24" t="n">
        <f aca="false">INDEX(CurveMat,1)</f>
        <v>1.58</v>
      </c>
      <c r="C66" s="16" t="n">
        <f aca="false">INDEX(CurveSpr,1)</f>
        <v>62</v>
      </c>
      <c r="D66" s="24" t="n">
        <f aca="false">INDEX(CurveSpr,MAX(1,MIN(COUNT(CurveMat)-1,MATCH($B66,CurveMat,1))))+(INDEX(CurveSpr,MAX(1,MIN(COUNT(CurveMat)-1,MATCH($B66,CurveMat,1)))+1)-INDEX(CurveSpr,MAX(1,MIN(COUNT(CurveMat)-1,MATCH($B66,CurveMat,1)))))*($B66-INDEX(CurveMat,MAX(1,MIN(COUNT(CurveMat)-1,MATCH($B66,CurveMat,1)))))/(INDEX(CurveMat,MAX(1,MIN(COUNT(CurveMat)-1,MATCH($B66,CurveMat,1)))+1)-INDEX(CurveMat,MAX(1,MIN(COUNT(CurveMat)-1,MATCH($B66,CurveMat,1)))))</f>
        <v>62</v>
      </c>
      <c r="E66" s="24" t="n">
        <f aca="false">INDEX(CurveSpr,MAX(1,MIN(COUNT(CurveMat)-1,MATCH($B66,CurveMat,1))))+(INDEX(CurveSpr,MAX(1,MIN(COUNT(CurveMat)-1,MATCH($B66,CurveMat,1)))+1)-INDEX(CurveSpr,MAX(1,MIN(COUNT(CurveMat)-1,MATCH($B66,CurveMat,1)))))*(SQRT($B66)-SQRT(INDEX(CurveMat,MAX(1,MIN(COUNT(CurveMat)-1,MATCH($B66,CurveMat,1))))))/(SQRT(INDEX(CurveMat,MAX(1,MIN(COUNT(CurveMat)-1,MATCH($B66,CurveMat,1)))+1))-SQRT(INDEX(CurveMat,MAX(1,MIN(COUNT(CurveMat)-1,MATCH($B66,CurveMat,1))))))</f>
        <v>62</v>
      </c>
      <c r="F66" s="24" t="n">
        <f aca="false">INDEX(CurveSpr,MAX(1,MIN(COUNT(CurveMat)-1,MATCH($B66,CurveMat,1))))+(INDEX(CurveSpr,MAX(1,MIN(COUNT(CurveMat)-1,MATCH($B66,CurveMat,1)))+1)-INDEX(CurveSpr,MAX(1,MIN(COUNT(CurveMat)-1,MATCH($B66,CurveMat,1)))))*(LN($B66)-LN(INDEX(CurveMat,MAX(1,MIN(COUNT(CurveMat)-1,MATCH($B66,CurveMat,1))))))/(LN(INDEX(CurveMat,MAX(1,MIN(COUNT(CurveMat)-1,MATCH($B66,CurveMat,1)))+1))-LN(INDEX(CurveMat,MAX(1,MIN(COUNT(CurveMat)-1,MATCH($B66,CurveMat,1))))))</f>
        <v>62</v>
      </c>
    </row>
    <row r="67" customFormat="false" ht="15" hidden="false" customHeight="false" outlineLevel="0" collapsed="false">
      <c r="A67" s="11" t="str">
        <f aca="false">INDEX(CurveLbl,2)</f>
        <v>3.250% September 2030</v>
      </c>
      <c r="B67" s="24" t="n">
        <f aca="false">INDEX(CurveMat,2)</f>
        <v>4.12</v>
      </c>
      <c r="C67" s="16" t="n">
        <f aca="false">INDEX(CurveSpr,2)</f>
        <v>88</v>
      </c>
      <c r="D67" s="24" t="n">
        <f aca="false">INDEX(CurveSpr,MAX(1,MIN(COUNT(CurveMat)-1,MATCH($B67,CurveMat,1))))+(INDEX(CurveSpr,MAX(1,MIN(COUNT(CurveMat)-1,MATCH($B67,CurveMat,1)))+1)-INDEX(CurveSpr,MAX(1,MIN(COUNT(CurveMat)-1,MATCH($B67,CurveMat,1)))))*($B67-INDEX(CurveMat,MAX(1,MIN(COUNT(CurveMat)-1,MATCH($B67,CurveMat,1)))))/(INDEX(CurveMat,MAX(1,MIN(COUNT(CurveMat)-1,MATCH($B67,CurveMat,1)))+1)-INDEX(CurveMat,MAX(1,MIN(COUNT(CurveMat)-1,MATCH($B67,CurveMat,1)))))</f>
        <v>88</v>
      </c>
      <c r="E67" s="24" t="n">
        <f aca="false">INDEX(CurveSpr,MAX(1,MIN(COUNT(CurveMat)-1,MATCH($B67,CurveMat,1))))+(INDEX(CurveSpr,MAX(1,MIN(COUNT(CurveMat)-1,MATCH($B67,CurveMat,1)))+1)-INDEX(CurveSpr,MAX(1,MIN(COUNT(CurveMat)-1,MATCH($B67,CurveMat,1)))))*(SQRT($B67)-SQRT(INDEX(CurveMat,MAX(1,MIN(COUNT(CurveMat)-1,MATCH($B67,CurveMat,1))))))/(SQRT(INDEX(CurveMat,MAX(1,MIN(COUNT(CurveMat)-1,MATCH($B67,CurveMat,1)))+1))-SQRT(INDEX(CurveMat,MAX(1,MIN(COUNT(CurveMat)-1,MATCH($B67,CurveMat,1))))))</f>
        <v>88</v>
      </c>
      <c r="F67" s="24" t="n">
        <f aca="false">INDEX(CurveSpr,MAX(1,MIN(COUNT(CurveMat)-1,MATCH($B67,CurveMat,1))))+(INDEX(CurveSpr,MAX(1,MIN(COUNT(CurveMat)-1,MATCH($B67,CurveMat,1)))+1)-INDEX(CurveSpr,MAX(1,MIN(COUNT(CurveMat)-1,MATCH($B67,CurveMat,1)))))*(LN($B67)-LN(INDEX(CurveMat,MAX(1,MIN(COUNT(CurveMat)-1,MATCH($B67,CurveMat,1))))))/(LN(INDEX(CurveMat,MAX(1,MIN(COUNT(CurveMat)-1,MATCH($B67,CurveMat,1)))+1))-LN(INDEX(CurveMat,MAX(1,MIN(COUNT(CurveMat)-1,MATCH($B67,CurveMat,1))))))</f>
        <v>88</v>
      </c>
    </row>
    <row r="68" customFormat="false" ht="15" hidden="false" customHeight="false" outlineLevel="0" collapsed="false">
      <c r="A68" s="11" t="str">
        <f aca="false">INDEX(CurveLbl,3)</f>
        <v>1.875% January 2036</v>
      </c>
      <c r="B68" s="24" t="n">
        <f aca="false">INDEX(CurveMat,3)</f>
        <v>9.24</v>
      </c>
      <c r="C68" s="16" t="n">
        <f aca="false">INDEX(CurveSpr,3)</f>
        <v>141</v>
      </c>
      <c r="D68" s="24" t="n">
        <f aca="false">INDEX(CurveSpr,MAX(1,MIN(COUNT(CurveMat)-1,MATCH($B68,CurveMat,1))))+(INDEX(CurveSpr,MAX(1,MIN(COUNT(CurveMat)-1,MATCH($B68,CurveMat,1)))+1)-INDEX(CurveSpr,MAX(1,MIN(COUNT(CurveMat)-1,MATCH($B68,CurveMat,1)))))*($B68-INDEX(CurveMat,MAX(1,MIN(COUNT(CurveMat)-1,MATCH($B68,CurveMat,1)))))/(INDEX(CurveMat,MAX(1,MIN(COUNT(CurveMat)-1,MATCH($B68,CurveMat,1)))+1)-INDEX(CurveMat,MAX(1,MIN(COUNT(CurveMat)-1,MATCH($B68,CurveMat,1)))))</f>
        <v>141</v>
      </c>
      <c r="E68" s="24" t="n">
        <f aca="false">INDEX(CurveSpr,MAX(1,MIN(COUNT(CurveMat)-1,MATCH($B68,CurveMat,1))))+(INDEX(CurveSpr,MAX(1,MIN(COUNT(CurveMat)-1,MATCH($B68,CurveMat,1)))+1)-INDEX(CurveSpr,MAX(1,MIN(COUNT(CurveMat)-1,MATCH($B68,CurveMat,1)))))*(SQRT($B68)-SQRT(INDEX(CurveMat,MAX(1,MIN(COUNT(CurveMat)-1,MATCH($B68,CurveMat,1))))))/(SQRT(INDEX(CurveMat,MAX(1,MIN(COUNT(CurveMat)-1,MATCH($B68,CurveMat,1)))+1))-SQRT(INDEX(CurveMat,MAX(1,MIN(COUNT(CurveMat)-1,MATCH($B68,CurveMat,1))))))</f>
        <v>141</v>
      </c>
      <c r="F68" s="24" t="n">
        <f aca="false">INDEX(CurveSpr,MAX(1,MIN(COUNT(CurveMat)-1,MATCH($B68,CurveMat,1))))+(INDEX(CurveSpr,MAX(1,MIN(COUNT(CurveMat)-1,MATCH($B68,CurveMat,1)))+1)-INDEX(CurveSpr,MAX(1,MIN(COUNT(CurveMat)-1,MATCH($B68,CurveMat,1)))))*(LN($B68)-LN(INDEX(CurveMat,MAX(1,MIN(COUNT(CurveMat)-1,MATCH($B68,CurveMat,1))))))/(LN(INDEX(CurveMat,MAX(1,MIN(COUNT(CurveMat)-1,MATCH($B68,CurveMat,1)))+1))-LN(INDEX(CurveMat,MAX(1,MIN(COUNT(CurveMat)-1,MATCH($B68,CurveMat,1))))))</f>
        <v>141</v>
      </c>
    </row>
    <row r="70" customFormat="false" ht="15" hidden="false" customHeight="false" outlineLevel="0" collapsed="false">
      <c r="A70" s="10" t="s">
        <v>112</v>
      </c>
    </row>
    <row r="73" customFormat="false" ht="15" hidden="false" customHeight="false" outlineLevel="0" collapsed="false">
      <c r="A73" s="3" t="s">
        <v>113</v>
      </c>
    </row>
    <row r="75" customFormat="false" ht="15" hidden="false" customHeight="false" outlineLevel="0" collapsed="false">
      <c r="A75" s="5" t="s">
        <v>18</v>
      </c>
      <c r="B75" s="6" t="s">
        <v>109</v>
      </c>
      <c r="C75" s="6" t="s">
        <v>114</v>
      </c>
      <c r="D75" s="6" t="s">
        <v>115</v>
      </c>
    </row>
    <row r="76" customFormat="false" ht="15" hidden="false" customHeight="false" outlineLevel="0" collapsed="false">
      <c r="A76" s="24" t="n">
        <f aca="false">INDEX(CurveMat,1)</f>
        <v>1.58</v>
      </c>
      <c r="B76" s="16" t="n">
        <f aca="false">INDEX(CurveSpr,1)</f>
        <v>62</v>
      </c>
      <c r="C76" s="24" t="n">
        <f aca="false">$B$14+$B$13*$A76</f>
        <v>61.915920018918</v>
      </c>
      <c r="D76" s="24" t="n">
        <f aca="false">$C76-$B76</f>
        <v>-0.084079981082013</v>
      </c>
    </row>
    <row r="77" customFormat="false" ht="15" hidden="false" customHeight="false" outlineLevel="0" collapsed="false">
      <c r="A77" s="24" t="n">
        <f aca="false">INDEX(CurveMat,2)</f>
        <v>4.12</v>
      </c>
      <c r="B77" s="16" t="n">
        <f aca="false">INDEX(CurveSpr,2)</f>
        <v>88</v>
      </c>
      <c r="C77" s="24" t="n">
        <f aca="false">$B$14+$B$13*$A77</f>
        <v>88.1257915341969</v>
      </c>
      <c r="D77" s="24" t="n">
        <f aca="false">$C77-$B77</f>
        <v>0.125791534196907</v>
      </c>
    </row>
    <row r="78" customFormat="false" ht="15" hidden="false" customHeight="false" outlineLevel="0" collapsed="false">
      <c r="A78" s="24" t="n">
        <f aca="false">INDEX(CurveMat,3)</f>
        <v>9.24</v>
      </c>
      <c r="B78" s="16" t="n">
        <f aca="false">INDEX(CurveSpr,3)</f>
        <v>141</v>
      </c>
      <c r="C78" s="24" t="n">
        <f aca="false">$B$14+$B$13*$A78</f>
        <v>140.958288446885</v>
      </c>
      <c r="D78" s="24" t="n">
        <f aca="false">$C78-$B78</f>
        <v>-0.0417115531149079</v>
      </c>
    </row>
    <row r="80" customFormat="false" ht="15" hidden="false" customHeight="false" outlineLevel="0" collapsed="false">
      <c r="A80" s="10" t="s">
        <v>116</v>
      </c>
    </row>
    <row r="83" customFormat="false" ht="15" hidden="false" customHeight="false" outlineLevel="0" collapsed="false">
      <c r="A83" s="3" t="s">
        <v>117</v>
      </c>
    </row>
    <row r="85" customFormat="false" ht="15" hidden="false" customHeight="false" outlineLevel="0" collapsed="false">
      <c r="A85" s="5" t="s">
        <v>41</v>
      </c>
      <c r="B85" s="6" t="s">
        <v>27</v>
      </c>
    </row>
    <row r="86" customFormat="false" ht="15" hidden="false" customHeight="false" outlineLevel="0" collapsed="false">
      <c r="A86" s="11" t="s">
        <v>118</v>
      </c>
      <c r="B86" s="9" t="n">
        <v>-9</v>
      </c>
    </row>
    <row r="87" customFormat="false" ht="15" hidden="false" customHeight="false" outlineLevel="0" collapsed="false">
      <c r="A87" s="11" t="s">
        <v>119</v>
      </c>
      <c r="B87" s="16" t="n">
        <f aca="false">$B$12+$B$86</f>
        <v>132</v>
      </c>
    </row>
    <row r="88" customFormat="false" ht="15" hidden="false" customHeight="false" outlineLevel="0" collapsed="false">
      <c r="A88" s="11" t="s">
        <v>120</v>
      </c>
      <c r="B88" s="24" t="n">
        <f aca="false">$B$10+($B$87-$B$10)*(TargetMat-$B$9)/($B$11-$B$9)</f>
        <v>112.75</v>
      </c>
    </row>
    <row r="89" customFormat="false" ht="15" hidden="false" customHeight="false" outlineLevel="0" collapsed="false">
      <c r="A89" s="11" t="s">
        <v>121</v>
      </c>
      <c r="B89" s="24" t="n">
        <f aca="false">ReofferSpr-$B$88</f>
        <v>9.25</v>
      </c>
    </row>
    <row r="90" customFormat="false" ht="15" hidden="false" customHeight="false" outlineLevel="0" collapsed="false">
      <c r="A90" s="11" t="s">
        <v>122</v>
      </c>
      <c r="B90" s="24" t="n">
        <f aca="false">$B$10+($B$87-$B$10)*(LN(TargetMat)-LN($B$9))/(LN($B$11)-LN($B$9))</f>
        <v>116.875613496674</v>
      </c>
    </row>
    <row r="91" customFormat="false" ht="15" hidden="false" customHeight="false" outlineLevel="0" collapsed="false">
      <c r="A91" s="11" t="s">
        <v>121</v>
      </c>
      <c r="B91" s="24" t="n">
        <f aca="false">ReofferSpr-$B$90</f>
        <v>5.12438650332621</v>
      </c>
    </row>
    <row r="92" customFormat="false" ht="15" hidden="false" customHeight="false" outlineLevel="0" collapsed="false">
      <c r="A92" s="11" t="s">
        <v>123</v>
      </c>
      <c r="B92" s="18" t="n">
        <f aca="false">IF(SIGN($B$91)&lt;&gt;SIGN($C$25),1,0)</f>
        <v>1</v>
      </c>
    </row>
    <row r="94" customFormat="false" ht="15" hidden="false" customHeight="false" outlineLevel="0" collapsed="false">
      <c r="A94" s="10" t="s">
        <v>124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6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78"/>
    <col collapsed="false" customWidth="true" hidden="false" outlineLevel="0" max="4" min="3" style="0" width="20"/>
    <col collapsed="false" customWidth="true" hidden="false" outlineLevel="0" max="5" min="5" style="0" width="16"/>
    <col collapsed="false" customWidth="true" hidden="false" outlineLevel="0" max="6" min="6" style="0" width="11"/>
  </cols>
  <sheetData>
    <row r="1" customFormat="false" ht="19.7" hidden="false" customHeight="false" outlineLevel="0" collapsed="false">
      <c r="A1" s="1" t="s">
        <v>125</v>
      </c>
    </row>
    <row r="2" customFormat="false" ht="15" hidden="false" customHeight="false" outlineLevel="0" collapsed="false">
      <c r="A2" s="2" t="s">
        <v>126</v>
      </c>
    </row>
    <row r="5" customFormat="false" ht="15" hidden="false" customHeight="false" outlineLevel="0" collapsed="false">
      <c r="A5" s="10" t="s">
        <v>127</v>
      </c>
    </row>
    <row r="7" customFormat="false" ht="15" hidden="false" customHeight="false" outlineLevel="0" collapsed="false">
      <c r="A7" s="5" t="s">
        <v>128</v>
      </c>
      <c r="B7" s="6" t="s">
        <v>129</v>
      </c>
      <c r="C7" s="6" t="s">
        <v>130</v>
      </c>
      <c r="D7" s="6" t="s">
        <v>131</v>
      </c>
      <c r="E7" s="6" t="s">
        <v>132</v>
      </c>
      <c r="F7" s="6" t="s">
        <v>133</v>
      </c>
    </row>
    <row r="8" customFormat="false" ht="15" hidden="false" customHeight="false" outlineLevel="0" collapsed="false">
      <c r="A8" s="11" t="s">
        <v>134</v>
      </c>
      <c r="B8" s="11" t="s">
        <v>135</v>
      </c>
      <c r="C8" s="24" t="n">
        <v>117.81</v>
      </c>
      <c r="D8" s="24" t="n">
        <f aca="false">'The four conventions'!$B$22</f>
        <v>117.8125</v>
      </c>
      <c r="E8" s="20" t="n">
        <f aca="false">D8-C8</f>
        <v>0.00249999999999773</v>
      </c>
      <c r="F8" s="31" t="str">
        <f aca="false">IF(ABS(E8)&lt;=0.005,"PASS","FAIL")</f>
        <v>PASS</v>
      </c>
    </row>
    <row r="9" customFormat="false" ht="15" hidden="false" customHeight="false" outlineLevel="0" collapsed="false">
      <c r="A9" s="11" t="s">
        <v>134</v>
      </c>
      <c r="B9" s="11" t="s">
        <v>136</v>
      </c>
      <c r="C9" s="24" t="n">
        <v>117.84</v>
      </c>
      <c r="D9" s="24" t="n">
        <f aca="false">'The four conventions'!$B$23</f>
        <v>117.844071047584</v>
      </c>
      <c r="E9" s="20" t="n">
        <f aca="false">D9-C9</f>
        <v>0.00407104758400578</v>
      </c>
      <c r="F9" s="31" t="str">
        <f aca="false">IF(ABS(E9)&lt;=0.005,"PASS","FAIL")</f>
        <v>PASS</v>
      </c>
    </row>
    <row r="10" customFormat="false" ht="15" hidden="false" customHeight="false" outlineLevel="0" collapsed="false">
      <c r="A10" s="11" t="s">
        <v>134</v>
      </c>
      <c r="B10" s="11" t="s">
        <v>137</v>
      </c>
      <c r="C10" s="24" t="n">
        <v>120.32</v>
      </c>
      <c r="D10" s="24" t="n">
        <f aca="false">'The four conventions'!$B$24</f>
        <v>120.324663166297</v>
      </c>
      <c r="E10" s="20" t="n">
        <f aca="false">D10-C10</f>
        <v>0.00466316629703556</v>
      </c>
      <c r="F10" s="31" t="str">
        <f aca="false">IF(ABS(E10)&lt;=0.005,"PASS","FAIL")</f>
        <v>PASS</v>
      </c>
    </row>
    <row r="11" customFormat="false" ht="15" hidden="false" customHeight="false" outlineLevel="0" collapsed="false">
      <c r="A11" s="11" t="s">
        <v>134</v>
      </c>
      <c r="B11" s="11" t="s">
        <v>138</v>
      </c>
      <c r="C11" s="24" t="n">
        <v>122.78</v>
      </c>
      <c r="D11" s="24" t="n">
        <f aca="false">'The four conventions'!$B$25</f>
        <v>122.78198898463</v>
      </c>
      <c r="E11" s="20" t="n">
        <f aca="false">D11-C11</f>
        <v>0.00198898462980424</v>
      </c>
      <c r="F11" s="31" t="str">
        <f aca="false">IF(ABS(E11)&lt;=0.005,"PASS","FAIL")</f>
        <v>PASS</v>
      </c>
    </row>
    <row r="12" customFormat="false" ht="15" hidden="false" customHeight="false" outlineLevel="0" collapsed="false">
      <c r="A12" s="11" t="s">
        <v>134</v>
      </c>
      <c r="B12" s="11" t="s">
        <v>139</v>
      </c>
      <c r="C12" s="24" t="n">
        <v>4.19</v>
      </c>
      <c r="D12" s="24" t="n">
        <f aca="false">'The four conventions'!$C$22</f>
        <v>4.1875</v>
      </c>
      <c r="E12" s="20" t="n">
        <f aca="false">D12-C12</f>
        <v>-0.00250000000000039</v>
      </c>
      <c r="F12" s="31" t="str">
        <f aca="false">IF(ABS(E12)&lt;=0.005,"PASS","FAIL")</f>
        <v>PASS</v>
      </c>
    </row>
    <row r="13" customFormat="false" ht="15" hidden="false" customHeight="false" outlineLevel="0" collapsed="false">
      <c r="A13" s="11" t="s">
        <v>134</v>
      </c>
      <c r="B13" s="11" t="s">
        <v>140</v>
      </c>
      <c r="C13" s="24" t="n">
        <v>4.16</v>
      </c>
      <c r="D13" s="24" t="n">
        <f aca="false">'The four conventions'!$C$23</f>
        <v>4.15592895241599</v>
      </c>
      <c r="E13" s="20" t="n">
        <f aca="false">D13-C13</f>
        <v>-0.00407104758400934</v>
      </c>
      <c r="F13" s="31" t="str">
        <f aca="false">IF(ABS(E13)&lt;=0.005,"PASS","FAIL")</f>
        <v>PASS</v>
      </c>
    </row>
    <row r="14" customFormat="false" ht="15" hidden="false" customHeight="false" outlineLevel="0" collapsed="false">
      <c r="A14" s="11" t="s">
        <v>134</v>
      </c>
      <c r="B14" s="11" t="s">
        <v>141</v>
      </c>
      <c r="C14" s="24" t="n">
        <v>1.68</v>
      </c>
      <c r="D14" s="24" t="n">
        <f aca="false">'The four conventions'!$C$24</f>
        <v>1.67533683370297</v>
      </c>
      <c r="E14" s="20" t="n">
        <f aca="false">D14-C14</f>
        <v>-0.00466316629702868</v>
      </c>
      <c r="F14" s="31" t="str">
        <f aca="false">IF(ABS(E14)&lt;=0.005,"PASS","FAIL")</f>
        <v>PASS</v>
      </c>
    </row>
    <row r="15" customFormat="false" ht="15" hidden="false" customHeight="false" outlineLevel="0" collapsed="false">
      <c r="A15" s="11" t="s">
        <v>134</v>
      </c>
      <c r="B15" s="11" t="s">
        <v>142</v>
      </c>
      <c r="C15" s="24" t="n">
        <v>-0.78</v>
      </c>
      <c r="D15" s="24" t="n">
        <f aca="false">'The four conventions'!$C$25</f>
        <v>-0.781988984629805</v>
      </c>
      <c r="E15" s="20" t="n">
        <f aca="false">D15-C15</f>
        <v>-0.00198898462980535</v>
      </c>
      <c r="F15" s="31" t="str">
        <f aca="false">IF(ABS(E15)&lt;=0.005,"PASS","FAIL")</f>
        <v>PASS</v>
      </c>
    </row>
    <row r="16" customFormat="false" ht="15" hidden="false" customHeight="false" outlineLevel="0" collapsed="false">
      <c r="A16" s="11" t="s">
        <v>134</v>
      </c>
      <c r="B16" s="11" t="s">
        <v>86</v>
      </c>
      <c r="C16" s="24" t="n">
        <v>4.97</v>
      </c>
      <c r="D16" s="24" t="n">
        <f aca="false">'The four conventions'!$B$35</f>
        <v>4.96948898462981</v>
      </c>
      <c r="E16" s="20" t="n">
        <f aca="false">D16-C16</f>
        <v>-0.000511015370194379</v>
      </c>
      <c r="F16" s="31" t="str">
        <f aca="false">IF(ABS(E16)&lt;=0.005,"PASS","FAIL")</f>
        <v>PASS</v>
      </c>
    </row>
    <row r="17" customFormat="false" ht="15" hidden="false" customHeight="false" outlineLevel="0" collapsed="false">
      <c r="A17" s="11" t="s">
        <v>134</v>
      </c>
      <c r="B17" s="11" t="s">
        <v>143</v>
      </c>
      <c r="C17" s="24" t="n">
        <v>4.97</v>
      </c>
      <c r="D17" s="24" t="n">
        <f aca="false">'The four conventions'!$B$38</f>
        <v>4.96948898462981</v>
      </c>
      <c r="E17" s="20" t="n">
        <f aca="false">D17-C17</f>
        <v>-0.000511015370194379</v>
      </c>
      <c r="F17" s="31" t="str">
        <f aca="false">IF(ABS(E17)&lt;=0.005,"PASS","FAIL")</f>
        <v>PASS</v>
      </c>
    </row>
    <row r="18" customFormat="false" ht="15" hidden="false" customHeight="false" outlineLevel="0" collapsed="false">
      <c r="A18" s="11" t="s">
        <v>134</v>
      </c>
      <c r="B18" s="11" t="s">
        <v>90</v>
      </c>
      <c r="C18" s="27" t="n">
        <v>1.19</v>
      </c>
      <c r="D18" s="27" t="n">
        <f aca="false">'The four conventions'!$B$39</f>
        <v>1.18674363812055</v>
      </c>
      <c r="E18" s="20" t="n">
        <f aca="false">D18-C18</f>
        <v>-0.00325636187944944</v>
      </c>
      <c r="F18" s="31" t="str">
        <f aca="false">IF(ABS(E18)&lt;=0.005,"PASS","FAIL")</f>
        <v>PASS</v>
      </c>
    </row>
    <row r="19" customFormat="false" ht="15" hidden="false" customHeight="false" outlineLevel="0" collapsed="false">
      <c r="A19" s="11" t="s">
        <v>134</v>
      </c>
      <c r="B19" s="11" t="s">
        <v>144</v>
      </c>
      <c r="C19" s="24" t="n">
        <v>117.81</v>
      </c>
      <c r="D19" s="24" t="n">
        <f aca="false">'The four conventions'!$B$34</f>
        <v>117.8125</v>
      </c>
      <c r="E19" s="20" t="n">
        <f aca="false">D19-C19</f>
        <v>0.00249999999999773</v>
      </c>
      <c r="F19" s="31" t="str">
        <f aca="false">IF(ABS(E19)&lt;=0.005,"PASS","FAIL")</f>
        <v>PASS</v>
      </c>
    </row>
    <row r="20" customFormat="false" ht="15" hidden="false" customHeight="false" outlineLevel="0" collapsed="false">
      <c r="A20" s="11" t="s">
        <v>134</v>
      </c>
      <c r="B20" s="11" t="s">
        <v>145</v>
      </c>
      <c r="C20" s="24" t="n">
        <v>122.78</v>
      </c>
      <c r="D20" s="24" t="n">
        <f aca="false">'The four conventions'!$B$33</f>
        <v>122.78198898463</v>
      </c>
      <c r="E20" s="20" t="n">
        <f aca="false">D20-C20</f>
        <v>0.00198898462980424</v>
      </c>
      <c r="F20" s="31" t="str">
        <f aca="false">IF(ABS(E20)&lt;=0.005,"PASS","FAIL")</f>
        <v>PASS</v>
      </c>
    </row>
    <row r="21" customFormat="false" ht="15" hidden="false" customHeight="false" outlineLevel="0" collapsed="false">
      <c r="A21" s="11" t="s">
        <v>134</v>
      </c>
      <c r="B21" s="11" t="s">
        <v>146</v>
      </c>
      <c r="C21" s="24" t="n">
        <v>4.19</v>
      </c>
      <c r="D21" s="24" t="n">
        <f aca="false">'The four conventions'!$B$36</f>
        <v>4.1875</v>
      </c>
      <c r="E21" s="20" t="n">
        <f aca="false">D21-C21</f>
        <v>-0.00250000000000039</v>
      </c>
      <c r="F21" s="31" t="str">
        <f aca="false">IF(ABS(E21)&lt;=0.005,"PASS","FAIL")</f>
        <v>PASS</v>
      </c>
    </row>
    <row r="22" customFormat="false" ht="15" hidden="false" customHeight="false" outlineLevel="0" collapsed="false">
      <c r="A22" s="11" t="s">
        <v>134</v>
      </c>
      <c r="B22" s="11" t="s">
        <v>147</v>
      </c>
      <c r="C22" s="24" t="n">
        <v>-0.78</v>
      </c>
      <c r="D22" s="24" t="n">
        <f aca="false">'The four conventions'!$B$37</f>
        <v>-0.781988984629805</v>
      </c>
      <c r="E22" s="20" t="n">
        <f aca="false">D22-C22</f>
        <v>-0.00198898462980535</v>
      </c>
      <c r="F22" s="31" t="str">
        <f aca="false">IF(ABS(E22)&lt;=0.005,"PASS","FAIL")</f>
        <v>PASS</v>
      </c>
    </row>
    <row r="23" customFormat="false" ht="15" hidden="false" customHeight="false" outlineLevel="0" collapsed="false">
      <c r="A23" s="11" t="s">
        <v>134</v>
      </c>
      <c r="B23" s="11" t="s">
        <v>148</v>
      </c>
      <c r="C23" s="16" t="n">
        <v>122</v>
      </c>
      <c r="D23" s="16" t="n">
        <f aca="false">ReofferSpr</f>
        <v>122</v>
      </c>
      <c r="E23" s="20" t="n">
        <f aca="false">D23-C23</f>
        <v>0</v>
      </c>
      <c r="F23" s="31" t="str">
        <f aca="false">IF(ABS(E23)&lt;=0.000000005,"PASS","FAIL")</f>
        <v>PASS</v>
      </c>
    </row>
    <row r="24" customFormat="false" ht="15" hidden="false" customHeight="false" outlineLevel="0" collapsed="false">
      <c r="A24" s="11" t="s">
        <v>134</v>
      </c>
      <c r="B24" s="11" t="s">
        <v>149</v>
      </c>
      <c r="C24" s="24" t="n">
        <v>7</v>
      </c>
      <c r="D24" s="24" t="n">
        <f aca="false">TargetMat</f>
        <v>7</v>
      </c>
      <c r="E24" s="20" t="n">
        <f aca="false">D24-C24</f>
        <v>0</v>
      </c>
      <c r="F24" s="31" t="str">
        <f aca="false">IF(ABS(E24)&lt;=0.000000005,"PASS","FAIL")</f>
        <v>PASS</v>
      </c>
    </row>
    <row r="25" customFormat="false" ht="15" hidden="false" customHeight="false" outlineLevel="0" collapsed="false">
      <c r="A25" s="11" t="s">
        <v>134</v>
      </c>
      <c r="B25" s="11" t="s">
        <v>65</v>
      </c>
      <c r="C25" s="24" t="n">
        <v>4.12</v>
      </c>
      <c r="D25" s="24" t="n">
        <f aca="false">'The four conventions'!$B$9</f>
        <v>4.12</v>
      </c>
      <c r="E25" s="20" t="n">
        <f aca="false">D25-C25</f>
        <v>0</v>
      </c>
      <c r="F25" s="31" t="str">
        <f aca="false">IF(ABS(E25)&lt;=0.000000005,"PASS","FAIL")</f>
        <v>PASS</v>
      </c>
    </row>
    <row r="26" customFormat="false" ht="15" hidden="false" customHeight="false" outlineLevel="0" collapsed="false">
      <c r="A26" s="11" t="s">
        <v>134</v>
      </c>
      <c r="B26" s="11" t="s">
        <v>66</v>
      </c>
      <c r="C26" s="16" t="n">
        <v>88</v>
      </c>
      <c r="D26" s="16" t="n">
        <f aca="false">'The four conventions'!$B$10</f>
        <v>88</v>
      </c>
      <c r="E26" s="20" t="n">
        <f aca="false">D26-C26</f>
        <v>0</v>
      </c>
      <c r="F26" s="31" t="str">
        <f aca="false">IF(ABS(E26)&lt;=0.000000005,"PASS","FAIL")</f>
        <v>PASS</v>
      </c>
    </row>
    <row r="27" customFormat="false" ht="15" hidden="false" customHeight="false" outlineLevel="0" collapsed="false">
      <c r="A27" s="11" t="s">
        <v>134</v>
      </c>
      <c r="B27" s="11" t="s">
        <v>67</v>
      </c>
      <c r="C27" s="24" t="n">
        <v>9.24</v>
      </c>
      <c r="D27" s="24" t="n">
        <f aca="false">'The four conventions'!$B$11</f>
        <v>9.24</v>
      </c>
      <c r="E27" s="20" t="n">
        <f aca="false">D27-C27</f>
        <v>0</v>
      </c>
      <c r="F27" s="31" t="str">
        <f aca="false">IF(ABS(E27)&lt;=0.000000005,"PASS","FAIL")</f>
        <v>PASS</v>
      </c>
    </row>
    <row r="28" customFormat="false" ht="15" hidden="false" customHeight="false" outlineLevel="0" collapsed="false">
      <c r="A28" s="11" t="s">
        <v>134</v>
      </c>
      <c r="B28" s="11" t="s">
        <v>68</v>
      </c>
      <c r="C28" s="16" t="n">
        <v>141</v>
      </c>
      <c r="D28" s="16" t="n">
        <f aca="false">'The four conventions'!$B$12</f>
        <v>141</v>
      </c>
      <c r="E28" s="20" t="n">
        <f aca="false">D28-C28</f>
        <v>0</v>
      </c>
      <c r="F28" s="31" t="str">
        <f aca="false">IF(ABS(E28)&lt;=0.000000005,"PASS","FAIL")</f>
        <v>PASS</v>
      </c>
    </row>
    <row r="29" customFormat="false" ht="15" hidden="false" customHeight="false" outlineLevel="0" collapsed="false">
      <c r="A29" s="11" t="s">
        <v>150</v>
      </c>
      <c r="B29" s="11" t="s">
        <v>44</v>
      </c>
      <c r="C29" s="15" t="n">
        <v>0.0432</v>
      </c>
      <c r="D29" s="15" t="n">
        <f aca="false">Yld</f>
        <v>0.0432</v>
      </c>
      <c r="E29" s="20" t="n">
        <f aca="false">D29-C29</f>
        <v>0</v>
      </c>
      <c r="F29" s="31" t="str">
        <f aca="false">IF(ABS(E29)&lt;=0.0000005,"PASS","FAIL")</f>
        <v>PASS</v>
      </c>
    </row>
    <row r="30" customFormat="false" ht="15" hidden="false" customHeight="false" outlineLevel="0" collapsed="false">
      <c r="A30" s="11" t="s">
        <v>150</v>
      </c>
      <c r="B30" s="11" t="s">
        <v>53</v>
      </c>
      <c r="C30" s="19" t="n">
        <v>99.585</v>
      </c>
      <c r="D30" s="19" t="n">
        <f aca="false">Price</f>
        <v>99.5847800164157</v>
      </c>
      <c r="E30" s="20" t="n">
        <f aca="false">D30-C30</f>
        <v>-0.000219983584258898</v>
      </c>
      <c r="F30" s="31" t="str">
        <f aca="false">IF(ABS(E30)&lt;=0.0005,"PASS","FAIL")</f>
        <v>PASS</v>
      </c>
    </row>
    <row r="31" customFormat="false" ht="15" hidden="false" customHeight="false" outlineLevel="0" collapsed="false">
      <c r="A31" s="11" t="s">
        <v>150</v>
      </c>
      <c r="B31" s="11" t="s">
        <v>151</v>
      </c>
      <c r="C31" s="19" t="n">
        <v>5.93171</v>
      </c>
      <c r="D31" s="19" t="n">
        <f aca="false">Annuity</f>
        <v>5.93171405120455</v>
      </c>
      <c r="E31" s="20" t="n">
        <f aca="false">D31-C31</f>
        <v>4.05120454782804E-006</v>
      </c>
      <c r="F31" s="31" t="str">
        <f aca="false">IF(ABS(E31)&lt;=0.000005,"PASS","FAIL")</f>
        <v>PASS</v>
      </c>
    </row>
    <row r="32" customFormat="false" ht="15" hidden="false" customHeight="false" outlineLevel="0" collapsed="false">
      <c r="A32" s="11" t="s">
        <v>152</v>
      </c>
      <c r="B32" s="11" t="s">
        <v>58</v>
      </c>
      <c r="C32" s="19" t="n">
        <v>5.94113</v>
      </c>
      <c r="D32" s="19" t="n">
        <f aca="false">ModDur</f>
        <v>5.94113416021397</v>
      </c>
      <c r="E32" s="20" t="n">
        <f aca="false">D32-C32</f>
        <v>4.16021396976163E-006</v>
      </c>
      <c r="F32" s="31" t="str">
        <f aca="false">IF(ABS(E32)&lt;=0.000005,"PASS","FAIL")</f>
        <v>PASS</v>
      </c>
    </row>
    <row r="33" customFormat="false" ht="15" hidden="false" customHeight="false" outlineLevel="0" collapsed="false">
      <c r="A33" s="11" t="s">
        <v>150</v>
      </c>
      <c r="B33" s="11" t="s">
        <v>153</v>
      </c>
      <c r="C33" s="30" t="n">
        <v>296586</v>
      </c>
      <c r="D33" s="30" t="n">
        <f aca="false">'The four conventions'!$B$40</f>
        <v>296585.702560227</v>
      </c>
      <c r="E33" s="20" t="n">
        <f aca="false">D33-C33</f>
        <v>-0.297439772635698</v>
      </c>
      <c r="F33" s="31" t="str">
        <f aca="false">IF(ABS(E33)&lt;=0.5,"PASS","FAIL")</f>
        <v>PASS</v>
      </c>
    </row>
    <row r="34" customFormat="false" ht="15" hidden="false" customHeight="false" outlineLevel="0" collapsed="false">
      <c r="A34" s="11" t="s">
        <v>134</v>
      </c>
      <c r="B34" s="11" t="s">
        <v>154</v>
      </c>
      <c r="C34" s="25" t="n">
        <v>1473880</v>
      </c>
      <c r="D34" s="25" t="n">
        <f aca="false">'The four conventions'!$B$41</f>
        <v>1473879.38187174</v>
      </c>
      <c r="E34" s="20" t="n">
        <f aca="false">D34-C34</f>
        <v>-0.61812825826928</v>
      </c>
      <c r="F34" s="31" t="str">
        <f aca="false">IF(ABS(E34)&lt;=1,"PASS","FAIL")</f>
        <v>PASS</v>
      </c>
    </row>
    <row r="35" customFormat="false" ht="15" hidden="false" customHeight="false" outlineLevel="0" collapsed="false">
      <c r="A35" s="11" t="s">
        <v>150</v>
      </c>
      <c r="B35" s="11" t="s">
        <v>93</v>
      </c>
      <c r="C35" s="25" t="n">
        <v>209375</v>
      </c>
      <c r="D35" s="25" t="n">
        <f aca="false">'The four conventions'!$B$42</f>
        <v>209375</v>
      </c>
      <c r="E35" s="20" t="n">
        <f aca="false">D35-C35</f>
        <v>0</v>
      </c>
      <c r="F35" s="31" t="str">
        <f aca="false">IF(ABS(E35)&lt;=0.5,"PASS","FAIL")</f>
        <v>PASS</v>
      </c>
    </row>
    <row r="36" customFormat="false" ht="15" hidden="false" customHeight="false" outlineLevel="0" collapsed="false">
      <c r="A36" s="11" t="s">
        <v>155</v>
      </c>
      <c r="B36" s="11" t="s">
        <v>156</v>
      </c>
      <c r="C36" s="25" t="n">
        <v>1465625</v>
      </c>
      <c r="D36" s="25" t="n">
        <f aca="false">'The four conventions'!$B$43</f>
        <v>1465625</v>
      </c>
      <c r="E36" s="20" t="n">
        <f aca="false">D36-C36</f>
        <v>0</v>
      </c>
      <c r="F36" s="31" t="str">
        <f aca="false">IF(ABS(E36)&lt;=0.5,"PASS","FAIL")</f>
        <v>PASS</v>
      </c>
    </row>
    <row r="37" customFormat="false" ht="15" hidden="false" customHeight="false" outlineLevel="0" collapsed="false">
      <c r="A37" s="11" t="s">
        <v>155</v>
      </c>
      <c r="B37" s="11" t="s">
        <v>157</v>
      </c>
      <c r="C37" s="25" t="n">
        <v>223672</v>
      </c>
      <c r="D37" s="25" t="n">
        <f aca="false">'The four conventions'!$B$44</f>
        <v>223672.370529048</v>
      </c>
      <c r="E37" s="20" t="n">
        <f aca="false">D37-C37</f>
        <v>0.370529047911987</v>
      </c>
      <c r="F37" s="31" t="str">
        <f aca="false">IF(ABS(E37)&lt;=0.5,"PASS","FAIL")</f>
        <v>PASS</v>
      </c>
    </row>
    <row r="38" customFormat="false" ht="15" hidden="false" customHeight="false" outlineLevel="0" collapsed="false">
      <c r="A38" s="11" t="s">
        <v>150</v>
      </c>
      <c r="B38" s="11" t="s">
        <v>158</v>
      </c>
      <c r="C38" s="25" t="n">
        <v>1241953</v>
      </c>
      <c r="D38" s="25" t="n">
        <f aca="false">'The four conventions'!$D$22</f>
        <v>1241952.62947095</v>
      </c>
      <c r="E38" s="20" t="n">
        <f aca="false">D38-C38</f>
        <v>-0.370529047911987</v>
      </c>
      <c r="F38" s="31" t="str">
        <f aca="false">IF(ABS(E38)&lt;=0.5,"PASS","FAIL")</f>
        <v>PASS</v>
      </c>
    </row>
    <row r="39" customFormat="false" ht="15" hidden="false" customHeight="false" outlineLevel="0" collapsed="false">
      <c r="A39" s="11" t="s">
        <v>150</v>
      </c>
      <c r="B39" s="11" t="s">
        <v>159</v>
      </c>
      <c r="C39" s="25" t="n">
        <v>-231927</v>
      </c>
      <c r="D39" s="25" t="n">
        <f aca="false">'The four conventions'!$D$25</f>
        <v>-231926.75240079</v>
      </c>
      <c r="E39" s="20" t="n">
        <f aca="false">D39-C39</f>
        <v>0.24759921032819</v>
      </c>
      <c r="F39" s="31" t="str">
        <f aca="false">IF(ABS(E39)&lt;=0.5,"PASS","FAIL")</f>
        <v>PASS</v>
      </c>
    </row>
    <row r="40" customFormat="false" ht="15" hidden="false" customHeight="false" outlineLevel="0" collapsed="false">
      <c r="A40" s="11" t="s">
        <v>150</v>
      </c>
      <c r="B40" s="11" t="s">
        <v>160</v>
      </c>
      <c r="C40" s="25" t="n">
        <v>1473880</v>
      </c>
      <c r="D40" s="25" t="n">
        <f aca="false">'The four conventions'!$D$22-'The four conventions'!$D$25</f>
        <v>1473879.38187174</v>
      </c>
      <c r="E40" s="20" t="n">
        <f aca="false">D40-C40</f>
        <v>-0.61812825826928</v>
      </c>
      <c r="F40" s="31" t="str">
        <f aca="false">IF(ABS(E40)&lt;=1,"PASS","FAIL")</f>
        <v>PASS</v>
      </c>
    </row>
    <row r="41" customFormat="false" ht="15" hidden="false" customHeight="false" outlineLevel="0" collapsed="false">
      <c r="A41" s="11" t="s">
        <v>155</v>
      </c>
      <c r="B41" s="11" t="s">
        <v>161</v>
      </c>
      <c r="C41" s="25" t="n">
        <v>8898</v>
      </c>
      <c r="D41" s="25" t="n">
        <f aca="false">ROUND('The four conventions'!$B$23-'The four conventions'!$B$22,2)*'The four conventions'!$B$40</f>
        <v>8897.57107680682</v>
      </c>
      <c r="E41" s="20" t="n">
        <f aca="false">D41-C41</f>
        <v>-0.428923193179799</v>
      </c>
      <c r="F41" s="31" t="str">
        <f aca="false">IF(ABS(E41)&lt;=0.5,"PASS","FAIL")</f>
        <v>PASS</v>
      </c>
    </row>
    <row r="42" customFormat="false" ht="15" hidden="false" customHeight="false" outlineLevel="0" collapsed="false">
      <c r="A42" s="11" t="s">
        <v>162</v>
      </c>
      <c r="B42" s="11" t="s">
        <v>163</v>
      </c>
      <c r="C42" s="30" t="n">
        <v>9363.52</v>
      </c>
      <c r="D42" s="30" t="n">
        <f aca="false">('The four conventions'!$B$23-'The four conventions'!$B$22)*'The four conventions'!$B$40</f>
        <v>9363.52132826574</v>
      </c>
      <c r="E42" s="20" t="n">
        <f aca="false">D42-C42</f>
        <v>0.00132826573462808</v>
      </c>
      <c r="F42" s="31" t="str">
        <f aca="false">IF(ABS(E42)&lt;=0.005,"PASS","FAIL")</f>
        <v>PASS</v>
      </c>
    </row>
    <row r="43" customFormat="false" ht="15" hidden="false" customHeight="false" outlineLevel="0" collapsed="false">
      <c r="A43" s="11" t="s">
        <v>162</v>
      </c>
      <c r="B43" s="11" t="s">
        <v>164</v>
      </c>
      <c r="C43" s="30" t="n">
        <v>2947758.76</v>
      </c>
      <c r="D43" s="30" t="n">
        <f aca="false">'The four conventions'!$C$58</f>
        <v>2947758.76374348</v>
      </c>
      <c r="E43" s="20" t="n">
        <f aca="false">D43-C43</f>
        <v>0.00374348368495703</v>
      </c>
      <c r="F43" s="31" t="str">
        <f aca="false">IF(ABS(E43)&lt;=0.005,"PASS","FAIL")</f>
        <v>PASS</v>
      </c>
    </row>
    <row r="44" customFormat="false" ht="15" hidden="false" customHeight="false" outlineLevel="0" collapsed="false">
      <c r="A44" s="11" t="s">
        <v>162</v>
      </c>
      <c r="B44" s="11" t="s">
        <v>165</v>
      </c>
      <c r="C44" s="19" t="n">
        <v>10.31885</v>
      </c>
      <c r="D44" s="19" t="n">
        <f aca="false">'The four conventions'!$B$13</f>
        <v>10.3188470532594</v>
      </c>
      <c r="E44" s="20" t="n">
        <f aca="false">D44-C44</f>
        <v>-2.94674058487487E-006</v>
      </c>
      <c r="F44" s="31" t="str">
        <f aca="false">IF(ABS(E44)&lt;=0.000005,"PASS","FAIL")</f>
        <v>PASS</v>
      </c>
    </row>
    <row r="45" customFormat="false" ht="15" hidden="false" customHeight="false" outlineLevel="0" collapsed="false">
      <c r="A45" s="11" t="s">
        <v>162</v>
      </c>
      <c r="B45" s="11" t="s">
        <v>166</v>
      </c>
      <c r="C45" s="19" t="n">
        <v>45.61214</v>
      </c>
      <c r="D45" s="19" t="n">
        <f aca="false">'The four conventions'!$B$14</f>
        <v>45.6121416747681</v>
      </c>
      <c r="E45" s="20" t="n">
        <f aca="false">D45-C45</f>
        <v>1.67476811441247E-006</v>
      </c>
      <c r="F45" s="31" t="str">
        <f aca="false">IF(ABS(E45)&lt;=0.000005,"PASS","FAIL")</f>
        <v>PASS</v>
      </c>
    </row>
    <row r="46" customFormat="false" ht="15" hidden="false" customHeight="false" outlineLevel="0" collapsed="false">
      <c r="A46" s="11" t="s">
        <v>162</v>
      </c>
      <c r="B46" s="11" t="s">
        <v>167</v>
      </c>
      <c r="C46" s="24" t="n">
        <v>88.12579</v>
      </c>
      <c r="D46" s="24" t="n">
        <f aca="false">'The four conventions'!$C$77</f>
        <v>88.1257915341969</v>
      </c>
      <c r="E46" s="20" t="n">
        <f aca="false">D46-C46</f>
        <v>1.5341969117344E-006</v>
      </c>
      <c r="F46" s="31" t="str">
        <f aca="false">IF(ABS(E46)&lt;=0.000005,"PASS","FAIL")</f>
        <v>PASS</v>
      </c>
    </row>
    <row r="47" customFormat="false" ht="15" hidden="false" customHeight="false" outlineLevel="0" collapsed="false">
      <c r="A47" s="11" t="s">
        <v>134</v>
      </c>
      <c r="B47" s="11" t="s">
        <v>168</v>
      </c>
      <c r="C47" s="24" t="n">
        <v>62</v>
      </c>
      <c r="D47" s="24" t="n">
        <f aca="false">'The four conventions'!$D$66</f>
        <v>62</v>
      </c>
      <c r="E47" s="20" t="n">
        <f aca="false">D47-C47</f>
        <v>0</v>
      </c>
      <c r="F47" s="31" t="str">
        <f aca="false">IF(ABS(E47)&lt;=0.000000005,"PASS","FAIL")</f>
        <v>PASS</v>
      </c>
    </row>
    <row r="48" customFormat="false" ht="15" hidden="false" customHeight="false" outlineLevel="0" collapsed="false">
      <c r="A48" s="11" t="s">
        <v>134</v>
      </c>
      <c r="B48" s="11" t="s">
        <v>169</v>
      </c>
      <c r="C48" s="24" t="n">
        <v>62</v>
      </c>
      <c r="D48" s="24" t="n">
        <f aca="false">'The four conventions'!$E$66</f>
        <v>62</v>
      </c>
      <c r="E48" s="20" t="n">
        <f aca="false">D48-C48</f>
        <v>0</v>
      </c>
      <c r="F48" s="31" t="str">
        <f aca="false">IF(ABS(E48)&lt;=0.000000005,"PASS","FAIL")</f>
        <v>PASS</v>
      </c>
    </row>
    <row r="49" customFormat="false" ht="15" hidden="false" customHeight="false" outlineLevel="0" collapsed="false">
      <c r="A49" s="11" t="s">
        <v>134</v>
      </c>
      <c r="B49" s="11" t="s">
        <v>170</v>
      </c>
      <c r="C49" s="24" t="n">
        <v>62</v>
      </c>
      <c r="D49" s="24" t="n">
        <f aca="false">'The four conventions'!$F$66</f>
        <v>62</v>
      </c>
      <c r="E49" s="20" t="n">
        <f aca="false">D49-C49</f>
        <v>0</v>
      </c>
      <c r="F49" s="31" t="str">
        <f aca="false">IF(ABS(E49)&lt;=0.000000005,"PASS","FAIL")</f>
        <v>PASS</v>
      </c>
    </row>
    <row r="50" customFormat="false" ht="15" hidden="false" customHeight="false" outlineLevel="0" collapsed="false">
      <c r="A50" s="11" t="s">
        <v>134</v>
      </c>
      <c r="B50" s="11" t="s">
        <v>171</v>
      </c>
      <c r="C50" s="24" t="n">
        <v>88</v>
      </c>
      <c r="D50" s="24" t="n">
        <f aca="false">'The four conventions'!$D$67</f>
        <v>88</v>
      </c>
      <c r="E50" s="20" t="n">
        <f aca="false">D50-C50</f>
        <v>0</v>
      </c>
      <c r="F50" s="31" t="str">
        <f aca="false">IF(ABS(E50)&lt;=0.000000005,"PASS","FAIL")</f>
        <v>PASS</v>
      </c>
    </row>
    <row r="51" customFormat="false" ht="15" hidden="false" customHeight="false" outlineLevel="0" collapsed="false">
      <c r="A51" s="11" t="s">
        <v>134</v>
      </c>
      <c r="B51" s="11" t="s">
        <v>172</v>
      </c>
      <c r="C51" s="24" t="n">
        <v>88</v>
      </c>
      <c r="D51" s="24" t="n">
        <f aca="false">'The four conventions'!$E$67</f>
        <v>88</v>
      </c>
      <c r="E51" s="20" t="n">
        <f aca="false">D51-C51</f>
        <v>0</v>
      </c>
      <c r="F51" s="31" t="str">
        <f aca="false">IF(ABS(E51)&lt;=0.000000005,"PASS","FAIL")</f>
        <v>PASS</v>
      </c>
    </row>
    <row r="52" customFormat="false" ht="15" hidden="false" customHeight="false" outlineLevel="0" collapsed="false">
      <c r="A52" s="11" t="s">
        <v>134</v>
      </c>
      <c r="B52" s="11" t="s">
        <v>173</v>
      </c>
      <c r="C52" s="24" t="n">
        <v>88</v>
      </c>
      <c r="D52" s="24" t="n">
        <f aca="false">'The four conventions'!$F$67</f>
        <v>88</v>
      </c>
      <c r="E52" s="20" t="n">
        <f aca="false">D52-C52</f>
        <v>0</v>
      </c>
      <c r="F52" s="31" t="str">
        <f aca="false">IF(ABS(E52)&lt;=0.000000005,"PASS","FAIL")</f>
        <v>PASS</v>
      </c>
    </row>
    <row r="53" customFormat="false" ht="15" hidden="false" customHeight="false" outlineLevel="0" collapsed="false">
      <c r="A53" s="11" t="s">
        <v>134</v>
      </c>
      <c r="B53" s="11" t="s">
        <v>174</v>
      </c>
      <c r="C53" s="24" t="n">
        <v>141</v>
      </c>
      <c r="D53" s="24" t="n">
        <f aca="false">'The four conventions'!$D$68</f>
        <v>141</v>
      </c>
      <c r="E53" s="20" t="n">
        <f aca="false">D53-C53</f>
        <v>0</v>
      </c>
      <c r="F53" s="31" t="str">
        <f aca="false">IF(ABS(E53)&lt;=0.000000005,"PASS","FAIL")</f>
        <v>PASS</v>
      </c>
    </row>
    <row r="54" customFormat="false" ht="15" hidden="false" customHeight="false" outlineLevel="0" collapsed="false">
      <c r="A54" s="11" t="s">
        <v>134</v>
      </c>
      <c r="B54" s="11" t="s">
        <v>175</v>
      </c>
      <c r="C54" s="24" t="n">
        <v>141</v>
      </c>
      <c r="D54" s="24" t="n">
        <f aca="false">'The four conventions'!$E$68</f>
        <v>141</v>
      </c>
      <c r="E54" s="20" t="n">
        <f aca="false">D54-C54</f>
        <v>0</v>
      </c>
      <c r="F54" s="31" t="str">
        <f aca="false">IF(ABS(E54)&lt;=0.000000005,"PASS","FAIL")</f>
        <v>PASS</v>
      </c>
    </row>
    <row r="55" customFormat="false" ht="15" hidden="false" customHeight="false" outlineLevel="0" collapsed="false">
      <c r="A55" s="11" t="s">
        <v>134</v>
      </c>
      <c r="B55" s="11" t="s">
        <v>176</v>
      </c>
      <c r="C55" s="24" t="n">
        <v>141</v>
      </c>
      <c r="D55" s="24" t="n">
        <f aca="false">'The four conventions'!$F$68</f>
        <v>141</v>
      </c>
      <c r="E55" s="20" t="n">
        <f aca="false">D55-C55</f>
        <v>0</v>
      </c>
      <c r="F55" s="31" t="str">
        <f aca="false">IF(ABS(E55)&lt;=0.000000005,"PASS","FAIL")</f>
        <v>PASS</v>
      </c>
    </row>
    <row r="56" customFormat="false" ht="15" hidden="false" customHeight="false" outlineLevel="0" collapsed="false">
      <c r="A56" s="11" t="s">
        <v>134</v>
      </c>
      <c r="B56" s="11" t="s">
        <v>97</v>
      </c>
      <c r="C56" s="22" t="n">
        <v>0</v>
      </c>
      <c r="D56" s="22" t="n">
        <f aca="false">'The four conventions'!$B$46</f>
        <v>0</v>
      </c>
      <c r="E56" s="20" t="n">
        <f aca="false">D56-C56</f>
        <v>0</v>
      </c>
      <c r="F56" s="31" t="str">
        <f aca="false">IF(ABS(E56)&lt;=0.000000000001,"PASS","FAIL")</f>
        <v>PASS</v>
      </c>
    </row>
    <row r="57" customFormat="false" ht="15" hidden="false" customHeight="false" outlineLevel="0" collapsed="false">
      <c r="A57" s="11" t="s">
        <v>134</v>
      </c>
      <c r="B57" s="11" t="s">
        <v>98</v>
      </c>
      <c r="C57" s="22" t="n">
        <v>0</v>
      </c>
      <c r="D57" s="22" t="n">
        <f aca="false">'The four conventions'!$B$47</f>
        <v>0</v>
      </c>
      <c r="E57" s="20" t="n">
        <f aca="false">D57-C57</f>
        <v>0</v>
      </c>
      <c r="F57" s="31" t="str">
        <f aca="false">IF(ABS(E57)&lt;=0.000000000001,"PASS","FAIL")</f>
        <v>PASS</v>
      </c>
    </row>
    <row r="58" customFormat="false" ht="15" hidden="false" customHeight="false" outlineLevel="0" collapsed="false">
      <c r="A58" s="11" t="s">
        <v>134</v>
      </c>
      <c r="B58" s="11" t="s">
        <v>99</v>
      </c>
      <c r="C58" s="22" t="n">
        <v>0</v>
      </c>
      <c r="D58" s="22" t="n">
        <f aca="false">'The four conventions'!$B$48</f>
        <v>0</v>
      </c>
      <c r="E58" s="20" t="n">
        <f aca="false">D58-C58</f>
        <v>0</v>
      </c>
      <c r="F58" s="31" t="str">
        <f aca="false">IF(ABS(E58)&lt;=0.000000000001,"PASS","FAIL")</f>
        <v>PASS</v>
      </c>
    </row>
    <row r="59" customFormat="false" ht="15" hidden="false" customHeight="false" outlineLevel="0" collapsed="false">
      <c r="A59" s="11" t="s">
        <v>134</v>
      </c>
      <c r="B59" s="11" t="s">
        <v>177</v>
      </c>
      <c r="C59" s="18" t="n">
        <v>1</v>
      </c>
      <c r="D59" s="18" t="n">
        <f aca="false">'The four conventions'!$B$49</f>
        <v>1</v>
      </c>
      <c r="E59" s="20" t="n">
        <f aca="false">D59-C59</f>
        <v>0</v>
      </c>
      <c r="F59" s="31" t="str">
        <f aca="false">IF(ABS(E59)&lt;=0.000000000001,"PASS","FAIL")</f>
        <v>PASS</v>
      </c>
    </row>
    <row r="60" customFormat="false" ht="15" hidden="false" customHeight="false" outlineLevel="0" collapsed="false">
      <c r="A60" s="11" t="s">
        <v>155</v>
      </c>
      <c r="B60" s="11" t="s">
        <v>178</v>
      </c>
      <c r="C60" s="18" t="n">
        <v>1</v>
      </c>
      <c r="D60" s="18" t="n">
        <f aca="false">'The four conventions'!$B$45</f>
        <v>1</v>
      </c>
      <c r="E60" s="20" t="n">
        <f aca="false">D60-C60</f>
        <v>0</v>
      </c>
      <c r="F60" s="31" t="str">
        <f aca="false">IF(ABS(E60)&lt;=0.000000000001,"PASS","FAIL")</f>
        <v>PASS</v>
      </c>
    </row>
    <row r="61" customFormat="false" ht="15" hidden="false" customHeight="false" outlineLevel="0" collapsed="false">
      <c r="A61" s="11" t="s">
        <v>150</v>
      </c>
      <c r="B61" s="11" t="s">
        <v>179</v>
      </c>
      <c r="C61" s="22" t="n">
        <v>0</v>
      </c>
      <c r="D61" s="22" t="n">
        <f aca="false">'The reoffer'!$B$40</f>
        <v>0</v>
      </c>
      <c r="E61" s="20" t="n">
        <f aca="false">D61-C61</f>
        <v>0</v>
      </c>
      <c r="F61" s="31" t="str">
        <f aca="false">IF(ABS(E61)&lt;=0.00000000001,"PASS","FAIL")</f>
        <v>PASS</v>
      </c>
    </row>
    <row r="62" customFormat="false" ht="15" hidden="false" customHeight="false" outlineLevel="0" collapsed="false">
      <c r="A62" s="11" t="s">
        <v>162</v>
      </c>
      <c r="B62" s="11" t="s">
        <v>180</v>
      </c>
      <c r="C62" s="16" t="n">
        <v>116.88</v>
      </c>
      <c r="D62" s="16" t="n">
        <f aca="false">'The four conventions'!$B$90</f>
        <v>116.875613496674</v>
      </c>
      <c r="E62" s="20" t="n">
        <f aca="false">D62-C62</f>
        <v>-0.00438650332620227</v>
      </c>
      <c r="F62" s="31" t="str">
        <f aca="false">IF(ABS(E62)&lt;=0.005,"PASS","FAIL")</f>
        <v>PASS</v>
      </c>
    </row>
    <row r="63" customFormat="false" ht="15" hidden="false" customHeight="false" outlineLevel="0" collapsed="false">
      <c r="A63" s="11" t="s">
        <v>162</v>
      </c>
      <c r="B63" s="11" t="s">
        <v>181</v>
      </c>
      <c r="C63" s="16" t="n">
        <v>5.12</v>
      </c>
      <c r="D63" s="16" t="n">
        <f aca="false">'The four conventions'!$B$91</f>
        <v>5.12438650332621</v>
      </c>
      <c r="E63" s="20" t="n">
        <f aca="false">D63-C63</f>
        <v>0.00438650332620671</v>
      </c>
      <c r="F63" s="31" t="str">
        <f aca="false">IF(ABS(E63)&lt;=0.005,"PASS","FAIL")</f>
        <v>PASS</v>
      </c>
    </row>
    <row r="64" customFormat="false" ht="15" hidden="false" customHeight="false" outlineLevel="0" collapsed="false">
      <c r="A64" s="11" t="s">
        <v>162</v>
      </c>
      <c r="B64" s="11" t="s">
        <v>182</v>
      </c>
      <c r="C64" s="22" t="n">
        <v>1</v>
      </c>
      <c r="D64" s="22" t="n">
        <f aca="false">'The four conventions'!$B$92</f>
        <v>1</v>
      </c>
      <c r="E64" s="20" t="n">
        <f aca="false">D64-C64</f>
        <v>0</v>
      </c>
      <c r="F64" s="31" t="str">
        <f aca="false">IF(ABS(E64)&lt;=0.000000000001,"PASS","FAIL")</f>
        <v>PASS</v>
      </c>
    </row>
    <row r="66" customFormat="false" ht="15" hidden="false" customHeight="false" outlineLevel="0" collapsed="false">
      <c r="B66" s="32" t="s">
        <v>183</v>
      </c>
      <c r="C66" s="32" t="n">
        <v>57</v>
      </c>
      <c r="D66" s="32" t="n">
        <f aca="false">COUNTIF($F$8:$F$64,"PASS")</f>
        <v>57</v>
      </c>
    </row>
    <row r="67" customFormat="false" ht="15" hidden="false" customHeight="false" outlineLevel="0" collapsed="false">
      <c r="B67" s="32" t="s">
        <v>184</v>
      </c>
      <c r="D67" s="32" t="n">
        <f aca="false">COUNTIF($F$8:$F$64,"FAIL")</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2026-08-30T14:06:01Z</dcterms:created>
  <dc:creator>openpyxl</dc:creator>
  <dc:description/>
  <dc:language>en-US</dc:language>
  <cp:lastModifiedBy/>
  <dcterms:modified xsi:type="dcterms:W3CDTF">2026-09-24T19:41:55Z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