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officedocument/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Compatibility="false"/>
  <workbookProtection/>
  <bookViews>
    <workbookView showHorizontalScroll="true" showVerticalScroll="true" showSheetTabs="true" xWindow="0" yWindow="0" windowWidth="16384" windowHeight="8192" tabRatio="600" firstSheet="0" activeTab="0"/>
  </bookViews>
  <sheets>
    <sheet name="Read me" sheetId="1" state="visible" r:id="rId3"/>
    <sheet name="Inputs" sheetId="2" state="visible" r:id="rId4"/>
    <sheet name="The four references" sheetId="3" state="visible" r:id="rId5"/>
    <sheet name="The leak counterfactual" sheetId="4" state="visible" r:id="rId6"/>
    <sheet name="The cost of the placement" sheetId="5" state="visible" r:id="rId7"/>
    <sheet name="Dilution" sheetId="6" state="visible" r:id="rId8"/>
    <sheet name="Checks" sheetId="7" state="visible" r:id="rId9"/>
  </sheets>
  <definedNames>
    <definedName function="false" hidden="false" name="CommRate" vbProcedure="false">Inputs!$B$11</definedName>
    <definedName function="false" hidden="false" name="PlacePrice" vbProcedure="false">Inputs!$B$10</definedName>
    <definedName function="false" hidden="false" name="RefLbl" vbProcedure="false">Inputs!$A$19:$A$22</definedName>
    <definedName function="false" hidden="false" name="RefLvl" vbProcedure="false">Inputs!$B$19:$B$22</definedName>
    <definedName function="false" hidden="false" name="RefPreLeak" vbProcedure="false">Inputs!$B$31</definedName>
    <definedName function="false" hidden="false" name="RefQuoted" vbProcedure="false">Inputs!$B$30</definedName>
    <definedName function="false" hidden="false" name="SharesNew" vbProcedure="false">Inputs!$B$9</definedName>
    <definedName function="false" hidden="false" name="SharesOld" vbProcedure="false">Inputs!$B$8</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<sst xmlns="http://schemas.openxmlformats.org/spreadsheetml/2006/main" count="281" uniqueCount="183">
  <si>
    <t xml:space="preserve">Capital Markets - The Placement Workbook</t>
  </si>
  <si>
    <t xml:space="preserve">Companion workbook 3, by Julian R. Sterling</t>
  </si>
  <si>
    <t xml:space="preserve">What this workbook does</t>
  </si>
  <si>
    <t xml:space="preserve">It takes a share count, a placement price and four references at which the shares actually traded, and returns the discount quoted against each one; the cost of the placement split into commission, placement discount and the cost of the wall-crossing leak; and the dilution with and without the leak. The four references are inputs. So is the one the announcement quotes.</t>
  </si>
  <si>
    <t xml:space="preserve">The counterfactual, and why it is where it is</t>
  </si>
  <si>
    <t xml:space="preserve">The cost of the leak is computed at a constant discount, not at a constant number of shares. An accelerated placement is sized in proceeds and the price is set at a discount to a reference, so the coherent question is what price the same discount would have produced off the pre-leak close - EUR 41.3591 rather than EUR 40.55 - and how many more shares had to be issued to raise the same money. The constant-share-count reading is shown beside it, at EUR 8,075,000, and it overstates the cost by EUR 388,586. It is the single most common error in this calculation.</t>
  </si>
  <si>
    <t xml:space="preserve">The first experiment to run</t>
  </si>
  <si>
    <t xml:space="preserve">On Inputs, change the reference the announcement quotes from the last close to the thirty-day volume weighted average. The discount falls from 4.81 to 2.99 per cent and nothing whatever has happened to the transaction. The span of the four references is worth EUR 15,675,000 on this placement, which is 3.70 times the commission the treasury team negotiated line by line.</t>
  </si>
  <si>
    <t xml:space="preserve">The one number to keep an eye on</t>
  </si>
  <si>
    <t xml:space="preserve">The uninvoiced share, on The cost of the placement. At 86.50 per cent it is the mirror image of the bond, where the invoiced commission was the larger line. Same issuer, same treasury team, same half-year. A generalisation that holds on one of these transactions and fails on the other was never a generalisation.</t>
  </si>
  <si>
    <t xml:space="preserve">On the checks</t>
  </si>
  <si>
    <t xml:space="preserve">The Checks sheet reproduces by formula each figure printed in Chapters 12 to 15 that this workbook touches, and adds the guards: that the two readings of the leak cost agree when both are valued at the pre-leak price, that the four discounts are all positive, and that the constant-discount counterfactual costs less than the constant-share-count one.</t>
  </si>
  <si>
    <t xml:space="preserve">Revised 24 September 2026</t>
  </si>
  <si>
    <t xml:space="preserve">Re-verified: every figure the book prints still reproduces. The note on The cost of the placement said the uninvoiced cost is six and a half times the commission; it is 6.41 times (27,161,414 against 4,237,475). The same sheet now shows the leak as 1.81 times the commission and proves that the fall in the reference during the soundings, 1.96 per cent, is the share of the issue the leak costs. Four checks added, sixty in all.</t>
  </si>
  <si>
    <t xml:space="preserve">Inputs - Ardennes Industries SA, accelerated equity placement</t>
  </si>
  <si>
    <t xml:space="preserve">Blue on pale yellow is an input, and you may edit it. Everything else in this file is a formula over these cells.</t>
  </si>
  <si>
    <t xml:space="preserve">The placement</t>
  </si>
  <si>
    <t xml:space="preserve">input</t>
  </si>
  <si>
    <t xml:space="preserve">value</t>
  </si>
  <si>
    <t xml:space="preserve">Shares already in issue</t>
  </si>
  <si>
    <t xml:space="preserve">Shares placed</t>
  </si>
  <si>
    <t xml:space="preserve">Placement price, EUR</t>
  </si>
  <si>
    <t xml:space="preserve">Commission, share of gross proceeds</t>
  </si>
  <si>
    <t xml:space="preserve">The commission rate is contracted. The Financial Conduct Authority's 2016 market study puts accelerated placements of this size at a mean of 1.05 per cent, with the central half between 0.70 and 1.25 per cent.</t>
  </si>
  <si>
    <t xml:space="preserve">The four references at which the shares actually traded</t>
  </si>
  <si>
    <t xml:space="preserve">reference</t>
  </si>
  <si>
    <t xml:space="preserve">level, EUR</t>
  </si>
  <si>
    <t xml:space="preserve">Thirty-day volume weighted average</t>
  </si>
  <si>
    <t xml:space="preserve">Last close</t>
  </si>
  <si>
    <t xml:space="preserve">Five-day volume weighted average</t>
  </si>
  <si>
    <t xml:space="preserve">Close before the wall-crossing</t>
  </si>
  <si>
    <t xml:space="preserve">All four are levels at which the share actually traded. None of them is wrong. The press release will quote one of them.</t>
  </si>
  <si>
    <t xml:space="preserve">Two choices that are made in an afternoon</t>
  </si>
  <si>
    <t xml:space="preserve">Row of the reference the announcement quotes</t>
  </si>
  <si>
    <t xml:space="preserve">Row of the reference standing before the wall-crossing</t>
  </si>
  <si>
    <t xml:space="preserve">There is no paper on whether a five-day or a thirty-day window is the correct denominator for an accelerated bookbuild, no market convention anybody could cite in a meeting, and no regulator's view. The decision is taken by people drafting an announcement under time pressure.</t>
  </si>
  <si>
    <t xml:space="preserve">Four references, four discounts</t>
  </si>
  <si>
    <t xml:space="preserve">The same placement price against each level at which the share traded.</t>
  </si>
  <si>
    <t xml:space="preserve">The discount on each</t>
  </si>
  <si>
    <t xml:space="preserve">discount</t>
  </si>
  <si>
    <t xml:space="preserve">discount in euros, at the share count</t>
  </si>
  <si>
    <t xml:space="preserve">difference from the quoted reference, EUR</t>
  </si>
  <si>
    <t xml:space="preserve">The last column is what the announcement would have said had it quoted a different one of the four. Nothing in the transaction changes down that column.</t>
  </si>
  <si>
    <t xml:space="preserve">The span, and what it is worth</t>
  </si>
  <si>
    <t xml:space="preserve">quantity</t>
  </si>
  <si>
    <t xml:space="preserve">Highest of the four discounts</t>
  </si>
  <si>
    <t xml:space="preserve">Lowest of the four discounts</t>
  </si>
  <si>
    <t xml:space="preserve">Span of the four discounts, percentage points</t>
  </si>
  <si>
    <t xml:space="preserve">Highest reference, EUR</t>
  </si>
  <si>
    <t xml:space="preserve">Lowest reference, EUR</t>
  </si>
  <si>
    <t xml:space="preserve">Euro value of the span of references, at the share count</t>
  </si>
  <si>
    <t xml:space="preserve">Discount in euros against the lowest reference</t>
  </si>
  <si>
    <t xml:space="preserve">Discount in euros against the highest reference</t>
  </si>
  <si>
    <t xml:space="preserve">Guard: all four discounts are positive, 1 for yes</t>
  </si>
  <si>
    <t xml:space="preserve">Level of the reference the announcement quotes, EUR</t>
  </si>
  <si>
    <t xml:space="preserve">Discount the announcement quotes</t>
  </si>
  <si>
    <t xml:space="preserve">Level of the reference standing before the leak, EUR</t>
  </si>
  <si>
    <t xml:space="preserve">All four references sit above the placement price, so all four discounts are positive. The choice of reference moves the magnitude and cannot turn a cost into a rebate - which is the opposite of what the interpolation convention does to the bond's concession.</t>
  </si>
  <si>
    <t xml:space="preserve">The wall-crossing leak, priced two ways</t>
  </si>
  <si>
    <t xml:space="preserve">One of the two readings is coherent with how an accelerated placement is sized. The other is the common error.</t>
  </si>
  <si>
    <t xml:space="preserve">What the leak did to the price</t>
  </si>
  <si>
    <t xml:space="preserve">Close before the wall-crossing, EUR</t>
  </si>
  <si>
    <t xml:space="preserve">Reference the announcement quotes, EUR</t>
  </si>
  <si>
    <t xml:space="preserve">Slippage in the reference between the two, EUR a share</t>
  </si>
  <si>
    <t xml:space="preserve">Discount actually struck, against the quoted reference</t>
  </si>
  <si>
    <t xml:space="preserve">Price the same discount would have produced off the pre-leak close, EUR</t>
  </si>
  <si>
    <t xml:space="preserve">Gross proceeds actually raised, EUR</t>
  </si>
  <si>
    <t xml:space="preserve">The two readings of the cost</t>
  </si>
  <si>
    <t xml:space="preserve">reading</t>
  </si>
  <si>
    <t xml:space="preserve">EUR</t>
  </si>
  <si>
    <t xml:space="preserve">At a constant discount: the same shares at the price the discount would have given</t>
  </si>
  <si>
    <t xml:space="preserve">At a constant share count: the same shares at the pre-leak close</t>
  </si>
  <si>
    <t xml:space="preserve">What the choice of counterfactual is worth</t>
  </si>
  <si>
    <t xml:space="preserve">The constant-share-count reading supposes the issuer would have sold the same 9,500,000 shares at a price 85 cents higher. It would not: a placement is sized in proceeds, and the price is set at a discount to whatever reference is standing.</t>
  </si>
  <si>
    <t xml:space="preserve">The same cost read as shares rather than euros</t>
  </si>
  <si>
    <t xml:space="preserve">Shares that would have raised the same proceeds without the leak</t>
  </si>
  <si>
    <t xml:space="preserve">Extra shares issued because of the leak</t>
  </si>
  <si>
    <t xml:space="preserve">Those extra shares as a share of the issue</t>
  </si>
  <si>
    <t xml:space="preserve">Guard: the two readings agree when both are valued at the pre-leak price, EUR</t>
  </si>
  <si>
    <t xml:space="preserve">Guard: the constant-discount reading costs less than the constant-share-count one, 1 for yes</t>
  </si>
  <si>
    <t xml:space="preserve">Two readings of one cost: at a constant share count the issuer loses proceeds, at constant proceeds it issues more shares. Valued at the price that would have been struck, they are the same euro.</t>
  </si>
  <si>
    <t xml:space="preserve">What the placement cost</t>
  </si>
  <si>
    <t xml:space="preserve">Three lines. One of them arrives on paper.</t>
  </si>
  <si>
    <t xml:space="preserve">The bill</t>
  </si>
  <si>
    <t xml:space="preserve">item</t>
  </si>
  <si>
    <t xml:space="preserve">share of gross proceeds</t>
  </si>
  <si>
    <t xml:space="preserve">Gross proceeds</t>
  </si>
  <si>
    <t xml:space="preserve">Commission</t>
  </si>
  <si>
    <t xml:space="preserve">Cost of the wall-crossing leak, at a constant discount</t>
  </si>
  <si>
    <t xml:space="preserve">Placement discount</t>
  </si>
  <si>
    <t xml:space="preserve">Total</t>
  </si>
  <si>
    <t xml:space="preserve">The placement discount is to the share what the concession is to the bond: the cost that appears on no invoice. A book whose thesis is that the heaviest cost is not invoiced cannot leave it out.</t>
  </si>
  <si>
    <t xml:space="preserve">Invoiced and uninvoiced</t>
  </si>
  <si>
    <t xml:space="preserve">Invoiced cost: the commission, EUR</t>
  </si>
  <si>
    <t xml:space="preserve">Uninvoiced cost: discount and leak, EUR</t>
  </si>
  <si>
    <t xml:space="preserve">Uninvoiced share of the total</t>
  </si>
  <si>
    <t xml:space="preserve">The placement discount as a multiple of the commission</t>
  </si>
  <si>
    <t xml:space="preserve">Cost per euro raised</t>
  </si>
  <si>
    <t xml:space="preserve">Guard: the total is the sum of its three lines</t>
  </si>
  <si>
    <t xml:space="preserve">On the bond the invoiced cost was the larger. Here the uninvoiced cost is 6.41 times it. What differs is not the honesty of the parties: a bond's uninvoiced cost is a few basis points of coupon, a placement's is several per cent of a share price.</t>
  </si>
  <si>
    <t xml:space="preserve">The bill under each of the four references</t>
  </si>
  <si>
    <t xml:space="preserve">placement discount, EUR</t>
  </si>
  <si>
    <t xml:space="preserve">total cost, EUR</t>
  </si>
  <si>
    <t xml:space="preserve">uninvoiced share</t>
  </si>
  <si>
    <t xml:space="preserve">cost per euro raised</t>
  </si>
  <si>
    <t xml:space="preserve">Span of the cost per euro raised across the four, percentage points</t>
  </si>
  <si>
    <t xml:space="preserve">The leak cost is held at its constant-discount value down this table, because the leak happened before any reference was chosen. What moves is only the reference the announcement quotes.</t>
  </si>
  <si>
    <t xml:space="preserve">The bill against the fee</t>
  </si>
  <si>
    <t xml:space="preserve">Discount and leak together, as a multiple of the commission</t>
  </si>
  <si>
    <t xml:space="preserve">The leak alone, as a multiple of the commission</t>
  </si>
  <si>
    <t xml:space="preserve">Fall in the reference during the soundings, share of the pre-leak close</t>
  </si>
  <si>
    <t xml:space="preserve">Extra shares the leak cost, share of the issue</t>
  </si>
  <si>
    <t xml:space="preserve">Guard: the two are the same number</t>
  </si>
  <si>
    <t xml:space="preserve">The discount and the leak together are 6.41 times the commission. The fall in the reference over the soundings is the share of the issue the leak costs, 1.96 per cent in both cases, and it is knowable from two closing prices.</t>
  </si>
  <si>
    <t xml:space="preserve">Dilution, with the leak and without it</t>
  </si>
  <si>
    <t xml:space="preserve">The same proceeds, raised at two prices, and the shares that separates them.</t>
  </si>
  <si>
    <t xml:space="preserve">As the placement was executed</t>
  </si>
  <si>
    <t xml:space="preserve">Shares in issue after the placement</t>
  </si>
  <si>
    <t xml:space="preserve">Dilution</t>
  </si>
  <si>
    <t xml:space="preserve">As it would have been without the leak</t>
  </si>
  <si>
    <t xml:space="preserve">Price the same discount would have given off the pre-leak close, EUR</t>
  </si>
  <si>
    <t xml:space="preserve">Shares needed to raise the same proceeds at that price</t>
  </si>
  <si>
    <t xml:space="preserve">Dilution without the leak</t>
  </si>
  <si>
    <t xml:space="preserve">Extra shares the leak cost</t>
  </si>
  <si>
    <t xml:space="preserve">Extra dilution the leak cost, percentage points</t>
  </si>
  <si>
    <t xml:space="preserve">Guard: both readings raise the same gross proceeds, EUR</t>
  </si>
  <si>
    <t xml:space="preserve">The leak is not only a cost in euros. It is 185,846 shares of permanent dilution, carried by every holder who did not take part, because the same money had to be raised at a lower price.</t>
  </si>
  <si>
    <t xml:space="preserve">Checks</t>
  </si>
  <si>
    <t xml:space="preserve">Each line sets a figure printed in the book beside the figure this workbook computes.</t>
  </si>
  <si>
    <t xml:space="preserve">Column C carries the figure as the book prints it, at the precision the book prints it. Column D is a live formula over the inputs. The tolerance on each line is half a unit of the last printed digit. If a line reads FAIL, the workbook is wrong, not the book.</t>
  </si>
  <si>
    <t xml:space="preserve">Ch.</t>
  </si>
  <si>
    <t xml:space="preserve">Figure</t>
  </si>
  <si>
    <t xml:space="preserve">Printed</t>
  </si>
  <si>
    <t xml:space="preserve">Workbook</t>
  </si>
  <si>
    <t xml:space="preserve">Difference</t>
  </si>
  <si>
    <t xml:space="preserve">Result</t>
  </si>
  <si>
    <t xml:space="preserve">13</t>
  </si>
  <si>
    <t xml:space="preserve">Reference level, thirty-day volume weighted average, EUR</t>
  </si>
  <si>
    <t xml:space="preserve">Discount against the thirty-day volume weighted average</t>
  </si>
  <si>
    <t xml:space="preserve">That discount in euros, thirty-day volume weighted average</t>
  </si>
  <si>
    <t xml:space="preserve">Reference level, last close, EUR</t>
  </si>
  <si>
    <t xml:space="preserve">Discount against the last close</t>
  </si>
  <si>
    <t xml:space="preserve">That discount in euros, last close</t>
  </si>
  <si>
    <t xml:space="preserve">Reference level, five-day volume weighted average, EUR</t>
  </si>
  <si>
    <t xml:space="preserve">Discount against the five-day volume weighted average</t>
  </si>
  <si>
    <t xml:space="preserve">That discount in euros, five-day volume weighted average</t>
  </si>
  <si>
    <t xml:space="preserve">Reference level, close before the wall-crossing, EUR</t>
  </si>
  <si>
    <t xml:space="preserve">Discount against the close before the wall-crossing</t>
  </si>
  <si>
    <t xml:space="preserve">That discount in euros, close before the wall-crossing</t>
  </si>
  <si>
    <t xml:space="preserve">16</t>
  </si>
  <si>
    <t xml:space="preserve">Euro value of the span of the four references</t>
  </si>
  <si>
    <t xml:space="preserve">14</t>
  </si>
  <si>
    <t xml:space="preserve">Gross proceeds, EUR</t>
  </si>
  <si>
    <t xml:space="preserve">Commission at 1.10 per cent, EUR</t>
  </si>
  <si>
    <t xml:space="preserve">Cost of the wall-crossing leak, at a constant discount, EUR</t>
  </si>
  <si>
    <t xml:space="preserve">Placement discount, EUR</t>
  </si>
  <si>
    <t xml:space="preserve">Total cost of the placement, EUR</t>
  </si>
  <si>
    <t xml:space="preserve">Uninvoiced share of that total</t>
  </si>
  <si>
    <t xml:space="preserve">15</t>
  </si>
  <si>
    <t xml:space="preserve">Cost per euro raised, placement</t>
  </si>
  <si>
    <t xml:space="preserve">12</t>
  </si>
  <si>
    <t xml:space="preserve">Slippage in the reference caused by the leak, EUR a share</t>
  </si>
  <si>
    <t xml:space="preserve">The leak read at a constant share count, EUR</t>
  </si>
  <si>
    <t xml:space="preserve">What the choice of counterfactual is worth, EUR</t>
  </si>
  <si>
    <t xml:space="preserve">What the leak attribution is worth, EUR</t>
  </si>
  <si>
    <t xml:space="preserve">-</t>
  </si>
  <si>
    <t xml:space="preserve">Model: shares that would have raised the same proceeds without the leak</t>
  </si>
  <si>
    <t xml:space="preserve">Model: dilution without the leak</t>
  </si>
  <si>
    <t xml:space="preserve">Model: extra dilution the leak cost, percentage points</t>
  </si>
  <si>
    <t xml:space="preserve">Model: total cost quoting the thirty-day volume weighted average, EUR</t>
  </si>
  <si>
    <t xml:space="preserve">Model: uninvoiced share quoting the thirty-day volume weighted average</t>
  </si>
  <si>
    <t xml:space="preserve">Model: total cost quoting the last close, EUR</t>
  </si>
  <si>
    <t xml:space="preserve">Model: uninvoiced share quoting the last close</t>
  </si>
  <si>
    <t xml:space="preserve">Model: total cost quoting the five-day volume weighted average, EUR</t>
  </si>
  <si>
    <t xml:space="preserve">Model: uninvoiced share quoting the five-day volume weighted average</t>
  </si>
  <si>
    <t xml:space="preserve">Model: total cost quoting the close before the wall-crossing, EUR</t>
  </si>
  <si>
    <t xml:space="preserve">Model: uninvoiced share quoting the close before the wall-crossing</t>
  </si>
  <si>
    <t xml:space="preserve">Span of the cost per euro raised across the four references, points</t>
  </si>
  <si>
    <t xml:space="preserve">Guard: the two readings of the leak agree at the pre-leak price, EUR</t>
  </si>
  <si>
    <t xml:space="preserve">Guard: both readings raise the same gross proceeds</t>
  </si>
  <si>
    <t xml:space="preserve">Guard: that fall is the share of the issue the leak costs</t>
  </si>
  <si>
    <t xml:space="preserve">Checks in this workbook</t>
  </si>
  <si>
    <t xml:space="preserve">Failures</t>
  </si>
</sst>
</file>

<file path=xl/styles.xml><?xml version="1.0" encoding="utf-8"?>
<styleSheet xmlns="http://schemas.openxmlformats.org/spreadsheetml/2006/main">
  <numFmts count="15">
    <numFmt numFmtId="164" formatCode="General"/>
    <numFmt numFmtId="165" formatCode="#,##0;\-#,##0"/>
    <numFmt numFmtId="166" formatCode="0.0000"/>
    <numFmt numFmtId="167" formatCode="0.0000%;\-0.0000%"/>
    <numFmt numFmtId="168" formatCode="0"/>
    <numFmt numFmtId="169" formatCode="0.00%;\-0.00%"/>
    <numFmt numFmtId="170" formatCode="0.0000;\-0.0000"/>
    <numFmt numFmtId="171" formatCode="0.00000000"/>
    <numFmt numFmtId="172" formatCode="0.00000001"/>
    <numFmt numFmtId="173" formatCode="@"/>
    <numFmt numFmtId="174" formatCode="0.00"/>
    <numFmt numFmtId="175" formatCode="0.00000%"/>
    <numFmt numFmtId="176" formatCode="#,##0.00;\-#,##0.00"/>
    <numFmt numFmtId="177" formatCode="0.00;\-0.00"/>
    <numFmt numFmtId="178" formatCode="0.00000000000"/>
  </numFmts>
  <fonts count="12">
    <font>
      <sz val="11"/>
      <color theme="1"/>
      <name val="Calibri"/>
      <family val="2"/>
      <charset val="1"/>
    </font>
    <font>
      <sz val="10"/>
      <name val="Arial"/>
      <family val="0"/>
    </font>
    <font>
      <sz val="10"/>
      <name val="Arial"/>
      <family val="0"/>
    </font>
    <font>
      <sz val="10"/>
      <name val="Arial"/>
      <family val="0"/>
    </font>
    <font>
      <b val="true"/>
      <sz val="16"/>
      <color rgb="FF1F4E5F"/>
      <name val="Calibri"/>
      <family val="0"/>
      <charset val="1"/>
    </font>
    <font>
      <sz val="10"/>
      <color rgb="FF5A6A70"/>
      <name val="Calibri"/>
      <family val="0"/>
      <charset val="1"/>
    </font>
    <font>
      <b val="true"/>
      <sz val="12"/>
      <color rgb="FF1F4E5F"/>
      <name val="Calibri"/>
      <family val="0"/>
      <charset val="1"/>
    </font>
    <font>
      <sz val="11"/>
      <color rgb="FF1A1A1A"/>
      <name val="Calibri"/>
      <family val="0"/>
      <charset val="1"/>
    </font>
    <font>
      <b val="true"/>
      <sz val="10"/>
      <color rgb="FFFFFFFF"/>
      <name val="Calibri"/>
      <family val="0"/>
      <charset val="1"/>
    </font>
    <font>
      <b val="true"/>
      <sz val="11"/>
      <color rgb="FF0B4FA0"/>
      <name val="Calibri"/>
      <family val="0"/>
      <charset val="1"/>
    </font>
    <font>
      <sz val="9"/>
      <color rgb="FF5A6A70"/>
      <name val="Calibri"/>
      <family val="0"/>
      <charset val="1"/>
    </font>
    <font>
      <b val="true"/>
      <sz val="11"/>
      <color rgb="FF1A1A1A"/>
      <name val="Calibri"/>
      <family val="0"/>
      <charset val="1"/>
    </font>
  </fonts>
  <fills count="4">
    <fill>
      <patternFill patternType="none"/>
    </fill>
    <fill>
      <patternFill patternType="gray125"/>
    </fill>
    <fill>
      <patternFill patternType="solid">
        <fgColor rgb="FF1F4E5F"/>
        <bgColor rgb="FF0B4FA0"/>
      </patternFill>
    </fill>
    <fill>
      <patternFill patternType="solid">
        <fgColor rgb="FFFFF6D8"/>
        <bgColor rgb="FFFFFFFF"/>
      </patternFill>
    </fill>
  </fills>
  <borders count="3">
    <border diagonalUp="false" diagonalDown="false">
      <left/>
      <right/>
      <top/>
      <bottom/>
      <diagonal/>
    </border>
    <border diagonalUp="false" diagonalDown="false">
      <left/>
      <right/>
      <top/>
      <bottom style="thin">
        <color rgb="FFBFCBD1"/>
      </bottom>
      <diagonal/>
    </border>
    <border diagonalUp="false" diagonalDown="false">
      <left/>
      <right/>
      <top style="thin">
        <color rgb="FFBFCBD1"/>
      </top>
      <bottom style="thin">
        <color rgb="FFBFCBD1"/>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4">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1"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2" borderId="2" xfId="0" applyFont="true" applyBorder="true" applyAlignment="true" applyProtection="false">
      <alignment horizontal="left" vertical="bottom" textRotation="0" wrapText="true" indent="0" shrinkToFit="false"/>
      <protection locked="true" hidden="false"/>
    </xf>
    <xf numFmtId="164" fontId="8" fillId="2" borderId="2" xfId="0" applyFont="true" applyBorder="true" applyAlignment="true" applyProtection="false">
      <alignment horizontal="right" vertical="bottom"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5" fontId="9" fillId="3" borderId="2" xfId="0" applyFont="true" applyBorder="true" applyAlignment="false" applyProtection="false">
      <alignment horizontal="general" vertical="bottom" textRotation="0" wrapText="false" indent="0" shrinkToFit="false"/>
      <protection locked="true" hidden="false"/>
    </xf>
    <xf numFmtId="166" fontId="9" fillId="3" borderId="2" xfId="0" applyFont="true" applyBorder="true" applyAlignment="false" applyProtection="false">
      <alignment horizontal="general" vertical="bottom" textRotation="0" wrapText="false" indent="0" shrinkToFit="false"/>
      <protection locked="true" hidden="false"/>
    </xf>
    <xf numFmtId="167" fontId="9" fillId="3" borderId="2" xfId="0" applyFont="true" applyBorder="tru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9" fillId="3" borderId="2" xfId="0" applyFont="true" applyBorder="true" applyAlignment="false" applyProtection="false">
      <alignment horizontal="general" vertical="bottom" textRotation="0" wrapText="false" indent="0" shrinkToFit="false"/>
      <protection locked="true" hidden="false"/>
    </xf>
    <xf numFmtId="168" fontId="9" fillId="3" borderId="2" xfId="0" applyFont="true" applyBorder="true" applyAlignment="false" applyProtection="false">
      <alignment horizontal="general" vertical="bottom" textRotation="0" wrapText="false" indent="0" shrinkToFit="false"/>
      <protection locked="true" hidden="false"/>
    </xf>
    <xf numFmtId="166" fontId="7" fillId="0" borderId="0" xfId="0" applyFont="true" applyBorder="false" applyAlignment="false" applyProtection="false">
      <alignment horizontal="general" vertical="bottom" textRotation="0" wrapText="false" indent="0" shrinkToFit="false"/>
      <protection locked="true" hidden="false"/>
    </xf>
    <xf numFmtId="169" fontId="7" fillId="0" borderId="0" xfId="0" applyFont="true" applyBorder="false" applyAlignment="false" applyProtection="false">
      <alignment horizontal="general" vertical="bottom" textRotation="0" wrapText="false" indent="0" shrinkToFit="false"/>
      <protection locked="true" hidden="false"/>
    </xf>
    <xf numFmtId="165" fontId="7" fillId="0" borderId="0" xfId="0" applyFont="true" applyBorder="false" applyAlignment="false" applyProtection="false">
      <alignment horizontal="general" vertical="bottom" textRotation="0" wrapText="false" indent="0" shrinkToFit="false"/>
      <protection locked="true" hidden="false"/>
    </xf>
    <xf numFmtId="170" fontId="11" fillId="0" borderId="0" xfId="0" applyFont="true" applyBorder="false" applyAlignment="false" applyProtection="false">
      <alignment horizontal="general" vertical="bottom" textRotation="0" wrapText="false" indent="0" shrinkToFit="false"/>
      <protection locked="true" hidden="false"/>
    </xf>
    <xf numFmtId="165" fontId="11" fillId="0" borderId="0" xfId="0" applyFont="true" applyBorder="false" applyAlignment="false" applyProtection="false">
      <alignment horizontal="general" vertical="bottom" textRotation="0" wrapText="false" indent="0" shrinkToFit="false"/>
      <protection locked="true" hidden="false"/>
    </xf>
    <xf numFmtId="168" fontId="7" fillId="0" borderId="0" xfId="0" applyFont="true" applyBorder="false" applyAlignment="false" applyProtection="false">
      <alignment horizontal="general" vertical="bottom" textRotation="0" wrapText="false" indent="0" shrinkToFit="false"/>
      <protection locked="true" hidden="false"/>
    </xf>
    <xf numFmtId="169" fontId="11" fillId="0" borderId="0" xfId="0" applyFont="true" applyBorder="false" applyAlignment="false" applyProtection="false">
      <alignment horizontal="general" vertical="bottom" textRotation="0" wrapText="false" indent="0" shrinkToFit="false"/>
      <protection locked="true" hidden="false"/>
    </xf>
    <xf numFmtId="166" fontId="11" fillId="0" borderId="0" xfId="0" applyFont="true" applyBorder="false" applyAlignment="false" applyProtection="false">
      <alignment horizontal="general" vertical="bottom" textRotation="0" wrapText="false" indent="0" shrinkToFit="false"/>
      <protection locked="true" hidden="false"/>
    </xf>
    <xf numFmtId="171" fontId="7"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70" fontId="7" fillId="0" borderId="0" xfId="0" applyFont="true" applyBorder="false" applyAlignment="false" applyProtection="false">
      <alignment horizontal="general" vertical="bottom" textRotation="0" wrapText="false" indent="0" shrinkToFit="false"/>
      <protection locked="true" hidden="false"/>
    </xf>
    <xf numFmtId="167" fontId="11" fillId="0" borderId="0" xfId="0" applyFont="true" applyBorder="false" applyAlignment="false" applyProtection="false">
      <alignment horizontal="general" vertical="bottom" textRotation="0" wrapText="false" indent="0" shrinkToFit="false"/>
      <protection locked="true" hidden="false"/>
    </xf>
    <xf numFmtId="167" fontId="7" fillId="0" borderId="0" xfId="0" applyFont="true" applyBorder="false" applyAlignment="false" applyProtection="false">
      <alignment horizontal="general" vertical="bottom" textRotation="0" wrapText="false" indent="0" shrinkToFit="false"/>
      <protection locked="true" hidden="false"/>
    </xf>
    <xf numFmtId="172" fontId="7" fillId="0" borderId="0" xfId="0" applyFont="true" applyBorder="false" applyAlignment="false" applyProtection="false">
      <alignment horizontal="general" vertical="bottom" textRotation="0" wrapText="false" indent="0" shrinkToFit="false"/>
      <protection locked="true" hidden="false"/>
    </xf>
    <xf numFmtId="173" fontId="11" fillId="0" borderId="0" xfId="0" applyFont="true" applyBorder="false" applyAlignment="false" applyProtection="false">
      <alignment horizontal="general" vertical="bottom" textRotation="0" wrapText="false" indent="0" shrinkToFit="false"/>
      <protection locked="true" hidden="false"/>
    </xf>
    <xf numFmtId="174" fontId="7" fillId="0" borderId="0" xfId="0" applyFont="true" applyBorder="false" applyAlignment="false" applyProtection="false">
      <alignment horizontal="general" vertical="bottom" textRotation="0" wrapText="false" indent="0" shrinkToFit="false"/>
      <protection locked="true" hidden="false"/>
    </xf>
    <xf numFmtId="175" fontId="7" fillId="0" borderId="0" xfId="0" applyFont="true" applyBorder="false" applyAlignment="false" applyProtection="false">
      <alignment horizontal="general" vertical="bottom" textRotation="0" wrapText="false" indent="0" shrinkToFit="false"/>
      <protection locked="true" hidden="false"/>
    </xf>
    <xf numFmtId="176" fontId="7" fillId="0" borderId="0" xfId="0" applyFont="true" applyBorder="false" applyAlignment="false" applyProtection="false">
      <alignment horizontal="general" vertical="bottom" textRotation="0" wrapText="false" indent="0" shrinkToFit="false"/>
      <protection locked="true" hidden="false"/>
    </xf>
    <xf numFmtId="177" fontId="7" fillId="0" borderId="0" xfId="0" applyFont="true" applyBorder="false" applyAlignment="false" applyProtection="false">
      <alignment horizontal="general" vertical="bottom" textRotation="0" wrapText="false" indent="0" shrinkToFit="false"/>
      <protection locked="true" hidden="false"/>
    </xf>
    <xf numFmtId="178" fontId="7"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CBD1"/>
      <rgbColor rgb="FF808080"/>
      <rgbColor rgb="FF9999FF"/>
      <rgbColor rgb="FF993366"/>
      <rgbColor rgb="FFFFF6D8"/>
      <rgbColor rgb="FFCCFFFF"/>
      <rgbColor rgb="FF660066"/>
      <rgbColor rgb="FFFF8080"/>
      <rgbColor rgb="FF0B4FA0"/>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A6A70"/>
      <rgbColor rgb="FF969696"/>
      <rgbColor rgb="FF1F4E5F"/>
      <rgbColor rgb="FF339966"/>
      <rgbColor rgb="FF003300"/>
      <rgbColor rgb="FF333300"/>
      <rgbColor rgb="FF993300"/>
      <rgbColor rgb="FF993366"/>
      <rgbColor rgb="FF333399"/>
      <rgbColor rgb="FF1A1A1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27"/>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12"/>
  </cols>
  <sheetData>
    <row r="1" customFormat="false" ht="19.7" hidden="false" customHeight="false" outlineLevel="0" collapsed="false">
      <c r="A1" s="1" t="s">
        <v>0</v>
      </c>
    </row>
    <row r="2" customFormat="false" ht="15" hidden="false" customHeight="false" outlineLevel="0" collapsed="false">
      <c r="A2" s="2" t="s">
        <v>1</v>
      </c>
    </row>
    <row r="5" customFormat="false" ht="15" hidden="false" customHeight="false" outlineLevel="0" collapsed="false">
      <c r="A5" s="3" t="s">
        <v>2</v>
      </c>
    </row>
    <row r="7" customFormat="false" ht="41.75" hidden="false" customHeight="false" outlineLevel="0" collapsed="false">
      <c r="A7" s="4" t="s">
        <v>3</v>
      </c>
    </row>
    <row r="9" customFormat="false" ht="15" hidden="false" customHeight="false" outlineLevel="0" collapsed="false">
      <c r="A9" s="3" t="s">
        <v>4</v>
      </c>
    </row>
    <row r="11" customFormat="false" ht="68.65" hidden="false" customHeight="false" outlineLevel="0" collapsed="false">
      <c r="A11" s="4" t="s">
        <v>5</v>
      </c>
    </row>
    <row r="13" customFormat="false" ht="15" hidden="false" customHeight="false" outlineLevel="0" collapsed="false">
      <c r="A13" s="3" t="s">
        <v>6</v>
      </c>
    </row>
    <row r="15" customFormat="false" ht="41.75" hidden="false" customHeight="false" outlineLevel="0" collapsed="false">
      <c r="A15" s="4" t="s">
        <v>7</v>
      </c>
    </row>
    <row r="17" customFormat="false" ht="15" hidden="false" customHeight="false" outlineLevel="0" collapsed="false">
      <c r="A17" s="3" t="s">
        <v>8</v>
      </c>
    </row>
    <row r="19" customFormat="false" ht="41.75" hidden="false" customHeight="false" outlineLevel="0" collapsed="false">
      <c r="A19" s="4" t="s">
        <v>9</v>
      </c>
    </row>
    <row r="21" customFormat="false" ht="15" hidden="false" customHeight="false" outlineLevel="0" collapsed="false">
      <c r="A21" s="3" t="s">
        <v>10</v>
      </c>
    </row>
    <row r="23" customFormat="false" ht="41.75" hidden="false" customHeight="false" outlineLevel="0" collapsed="false">
      <c r="A23" s="4" t="s">
        <v>11</v>
      </c>
    </row>
    <row r="25" customFormat="false" ht="15" hidden="false" customHeight="false" outlineLevel="0" collapsed="false">
      <c r="A25" s="3" t="s">
        <v>12</v>
      </c>
    </row>
    <row r="27" customFormat="false" ht="55.2" hidden="false" customHeight="false" outlineLevel="0" collapsed="false">
      <c r="A27" s="4" t="s">
        <v>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3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62"/>
    <col collapsed="false" customWidth="true" hidden="false" outlineLevel="0" max="2" min="2" style="0" width="20"/>
    <col collapsed="false" customWidth="true" hidden="false" outlineLevel="0" max="3" min="3" style="0" width="22"/>
  </cols>
  <sheetData>
    <row r="1" customFormat="false" ht="19.7" hidden="false" customHeight="false" outlineLevel="0" collapsed="false">
      <c r="A1" s="1" t="s">
        <v>14</v>
      </c>
    </row>
    <row r="2" customFormat="false" ht="15" hidden="false" customHeight="false" outlineLevel="0" collapsed="false">
      <c r="A2" s="2" t="s">
        <v>15</v>
      </c>
    </row>
    <row r="5" customFormat="false" ht="15" hidden="false" customHeight="false" outlineLevel="0" collapsed="false">
      <c r="A5" s="3" t="s">
        <v>16</v>
      </c>
    </row>
    <row r="7" customFormat="false" ht="15" hidden="false" customHeight="false" outlineLevel="0" collapsed="false">
      <c r="A7" s="5" t="s">
        <v>17</v>
      </c>
      <c r="B7" s="6" t="s">
        <v>18</v>
      </c>
    </row>
    <row r="8" customFormat="false" ht="15" hidden="false" customHeight="false" outlineLevel="0" collapsed="false">
      <c r="A8" s="7" t="s">
        <v>19</v>
      </c>
      <c r="B8" s="8" t="n">
        <v>118000000</v>
      </c>
    </row>
    <row r="9" customFormat="false" ht="15" hidden="false" customHeight="false" outlineLevel="0" collapsed="false">
      <c r="A9" s="7" t="s">
        <v>20</v>
      </c>
      <c r="B9" s="8" t="n">
        <v>9500000</v>
      </c>
    </row>
    <row r="10" customFormat="false" ht="15" hidden="false" customHeight="false" outlineLevel="0" collapsed="false">
      <c r="A10" s="7" t="s">
        <v>21</v>
      </c>
      <c r="B10" s="9" t="n">
        <v>40.55</v>
      </c>
    </row>
    <row r="11" customFormat="false" ht="15" hidden="false" customHeight="false" outlineLevel="0" collapsed="false">
      <c r="A11" s="7" t="s">
        <v>22</v>
      </c>
      <c r="B11" s="10" t="n">
        <v>0.011</v>
      </c>
    </row>
    <row r="13" customFormat="false" ht="15" hidden="false" customHeight="false" outlineLevel="0" collapsed="false">
      <c r="A13" s="11" t="s">
        <v>23</v>
      </c>
    </row>
    <row r="16" customFormat="false" ht="15" hidden="false" customHeight="false" outlineLevel="0" collapsed="false">
      <c r="A16" s="3" t="s">
        <v>24</v>
      </c>
    </row>
    <row r="18" customFormat="false" ht="15" hidden="false" customHeight="false" outlineLevel="0" collapsed="false">
      <c r="A18" s="5" t="s">
        <v>25</v>
      </c>
      <c r="B18" s="6" t="s">
        <v>26</v>
      </c>
    </row>
    <row r="19" customFormat="false" ht="15" hidden="false" customHeight="false" outlineLevel="0" collapsed="false">
      <c r="A19" s="12" t="s">
        <v>27</v>
      </c>
      <c r="B19" s="9" t="n">
        <v>41.8</v>
      </c>
    </row>
    <row r="20" customFormat="false" ht="15" hidden="false" customHeight="false" outlineLevel="0" collapsed="false">
      <c r="A20" s="12" t="s">
        <v>28</v>
      </c>
      <c r="B20" s="9" t="n">
        <v>42.6</v>
      </c>
    </row>
    <row r="21" customFormat="false" ht="15" hidden="false" customHeight="false" outlineLevel="0" collapsed="false">
      <c r="A21" s="12" t="s">
        <v>29</v>
      </c>
      <c r="B21" s="9" t="n">
        <v>43.12</v>
      </c>
    </row>
    <row r="22" customFormat="false" ht="15" hidden="false" customHeight="false" outlineLevel="0" collapsed="false">
      <c r="A22" s="12" t="s">
        <v>30</v>
      </c>
      <c r="B22" s="9" t="n">
        <v>43.45</v>
      </c>
    </row>
    <row r="24" customFormat="false" ht="15" hidden="false" customHeight="false" outlineLevel="0" collapsed="false">
      <c r="A24" s="11" t="s">
        <v>31</v>
      </c>
    </row>
    <row r="27" customFormat="false" ht="15" hidden="false" customHeight="false" outlineLevel="0" collapsed="false">
      <c r="A27" s="3" t="s">
        <v>32</v>
      </c>
    </row>
    <row r="29" customFormat="false" ht="15" hidden="false" customHeight="false" outlineLevel="0" collapsed="false">
      <c r="A29" s="5" t="s">
        <v>17</v>
      </c>
      <c r="B29" s="6" t="s">
        <v>18</v>
      </c>
    </row>
    <row r="30" customFormat="false" ht="15" hidden="false" customHeight="false" outlineLevel="0" collapsed="false">
      <c r="A30" s="7" t="s">
        <v>33</v>
      </c>
      <c r="B30" s="13" t="n">
        <v>2</v>
      </c>
    </row>
    <row r="31" customFormat="false" ht="15" hidden="false" customHeight="false" outlineLevel="0" collapsed="false">
      <c r="A31" s="7" t="s">
        <v>34</v>
      </c>
      <c r="B31" s="13" t="n">
        <v>4</v>
      </c>
    </row>
    <row r="33" customFormat="false" ht="15" hidden="false" customHeight="false" outlineLevel="0" collapsed="false">
      <c r="A33" s="11" t="s">
        <v>35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3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46"/>
    <col collapsed="false" customWidth="true" hidden="false" outlineLevel="0" max="3" min="2" style="0" width="18"/>
    <col collapsed="false" customWidth="true" hidden="false" outlineLevel="0" max="4" min="4" style="0" width="26"/>
    <col collapsed="false" customWidth="true" hidden="false" outlineLevel="0" max="5" min="5" style="0" width="24"/>
  </cols>
  <sheetData>
    <row r="1" customFormat="false" ht="19.7" hidden="false" customHeight="false" outlineLevel="0" collapsed="false">
      <c r="A1" s="1" t="s">
        <v>36</v>
      </c>
    </row>
    <row r="2" customFormat="false" ht="15" hidden="false" customHeight="false" outlineLevel="0" collapsed="false">
      <c r="A2" s="2" t="s">
        <v>37</v>
      </c>
    </row>
    <row r="5" customFormat="false" ht="15" hidden="false" customHeight="false" outlineLevel="0" collapsed="false">
      <c r="A5" s="3" t="s">
        <v>38</v>
      </c>
    </row>
    <row r="7" customFormat="false" ht="23.85" hidden="false" customHeight="false" outlineLevel="0" collapsed="false">
      <c r="A7" s="5" t="s">
        <v>25</v>
      </c>
      <c r="B7" s="6" t="s">
        <v>26</v>
      </c>
      <c r="C7" s="6" t="s">
        <v>39</v>
      </c>
      <c r="D7" s="6" t="s">
        <v>40</v>
      </c>
      <c r="E7" s="6" t="s">
        <v>41</v>
      </c>
    </row>
    <row r="8" customFormat="false" ht="15" hidden="false" customHeight="false" outlineLevel="0" collapsed="false">
      <c r="A8" s="7" t="str">
        <f aca="false">INDEX(RefLbl,1)</f>
        <v>Thirty-day volume weighted average</v>
      </c>
      <c r="B8" s="14" t="n">
        <f aca="false">INDEX(RefLvl,1)</f>
        <v>41.8</v>
      </c>
      <c r="C8" s="15" t="n">
        <f aca="false">($B8-PlacePrice)/$B8</f>
        <v>0.0299043062200957</v>
      </c>
      <c r="D8" s="16" t="n">
        <f aca="false">($B8-PlacePrice)*SharesNew</f>
        <v>11875000</v>
      </c>
      <c r="E8" s="16" t="n">
        <f aca="false">$D8-INDEX($D$8:$D$11,RefQuoted)</f>
        <v>-7600000.00000004</v>
      </c>
    </row>
    <row r="9" customFormat="false" ht="15" hidden="false" customHeight="false" outlineLevel="0" collapsed="false">
      <c r="A9" s="7" t="str">
        <f aca="false">INDEX(RefLbl,2)</f>
        <v>Last close</v>
      </c>
      <c r="B9" s="14" t="n">
        <f aca="false">INDEX(RefLvl,2)</f>
        <v>42.6</v>
      </c>
      <c r="C9" s="15" t="n">
        <f aca="false">($B9-PlacePrice)/$B9</f>
        <v>0.0481220657276996</v>
      </c>
      <c r="D9" s="16" t="n">
        <f aca="false">($B9-PlacePrice)*SharesNew</f>
        <v>19475000</v>
      </c>
      <c r="E9" s="16" t="n">
        <f aca="false">$D9-INDEX($D$8:$D$11,RefQuoted)</f>
        <v>0</v>
      </c>
    </row>
    <row r="10" customFormat="false" ht="15" hidden="false" customHeight="false" outlineLevel="0" collapsed="false">
      <c r="A10" s="7" t="str">
        <f aca="false">INDEX(RefLbl,3)</f>
        <v>Five-day volume weighted average</v>
      </c>
      <c r="B10" s="14" t="n">
        <f aca="false">INDEX(RefLvl,3)</f>
        <v>43.12</v>
      </c>
      <c r="C10" s="15" t="n">
        <f aca="false">($B10-PlacePrice)/$B10</f>
        <v>0.0596011131725418</v>
      </c>
      <c r="D10" s="16" t="n">
        <f aca="false">($B10-PlacePrice)*SharesNew</f>
        <v>24415000</v>
      </c>
      <c r="E10" s="16" t="n">
        <f aca="false">$D10-INDEX($D$8:$D$11,RefQuoted)</f>
        <v>4939999.99999996</v>
      </c>
    </row>
    <row r="11" customFormat="false" ht="15" hidden="false" customHeight="false" outlineLevel="0" collapsed="false">
      <c r="A11" s="7" t="str">
        <f aca="false">INDEX(RefLbl,4)</f>
        <v>Close before the wall-crossing</v>
      </c>
      <c r="B11" s="14" t="n">
        <f aca="false">INDEX(RefLvl,4)</f>
        <v>43.45</v>
      </c>
      <c r="C11" s="15" t="n">
        <f aca="false">($B11-PlacePrice)/$B11</f>
        <v>0.0667433831990795</v>
      </c>
      <c r="D11" s="16" t="n">
        <f aca="false">($B11-PlacePrice)*SharesNew</f>
        <v>27550000.0000001</v>
      </c>
      <c r="E11" s="16" t="n">
        <f aca="false">$D11-INDEX($D$8:$D$11,RefQuoted)</f>
        <v>8075000.00000001</v>
      </c>
    </row>
    <row r="13" customFormat="false" ht="15" hidden="false" customHeight="false" outlineLevel="0" collapsed="false">
      <c r="A13" s="11" t="s">
        <v>42</v>
      </c>
    </row>
    <row r="16" customFormat="false" ht="15" hidden="false" customHeight="false" outlineLevel="0" collapsed="false">
      <c r="A16" s="3" t="s">
        <v>43</v>
      </c>
    </row>
    <row r="18" customFormat="false" ht="15" hidden="false" customHeight="false" outlineLevel="0" collapsed="false">
      <c r="A18" s="5" t="s">
        <v>44</v>
      </c>
      <c r="B18" s="6" t="s">
        <v>18</v>
      </c>
    </row>
    <row r="19" customFormat="false" ht="15" hidden="false" customHeight="false" outlineLevel="0" collapsed="false">
      <c r="A19" s="7" t="s">
        <v>45</v>
      </c>
      <c r="B19" s="15" t="n">
        <f aca="false">MAX($C$8:$C$11)</f>
        <v>0.0667433831990795</v>
      </c>
    </row>
    <row r="20" customFormat="false" ht="15" hidden="false" customHeight="false" outlineLevel="0" collapsed="false">
      <c r="A20" s="7" t="s">
        <v>46</v>
      </c>
      <c r="B20" s="15" t="n">
        <f aca="false">MIN($C$8:$C$11)</f>
        <v>0.0299043062200957</v>
      </c>
    </row>
    <row r="21" customFormat="false" ht="15" hidden="false" customHeight="false" outlineLevel="0" collapsed="false">
      <c r="A21" s="7" t="s">
        <v>47</v>
      </c>
      <c r="B21" s="17" t="n">
        <f aca="false">($B$19-$B$20)*100</f>
        <v>3.68390769789838</v>
      </c>
    </row>
    <row r="22" customFormat="false" ht="15" hidden="false" customHeight="false" outlineLevel="0" collapsed="false">
      <c r="A22" s="7" t="s">
        <v>48</v>
      </c>
      <c r="B22" s="14" t="n">
        <f aca="false">MAX(RefLvl)</f>
        <v>43.45</v>
      </c>
    </row>
    <row r="23" customFormat="false" ht="15" hidden="false" customHeight="false" outlineLevel="0" collapsed="false">
      <c r="A23" s="7" t="s">
        <v>49</v>
      </c>
      <c r="B23" s="14" t="n">
        <f aca="false">MIN(RefLvl)</f>
        <v>41.8</v>
      </c>
    </row>
    <row r="24" customFormat="false" ht="15" hidden="false" customHeight="false" outlineLevel="0" collapsed="false">
      <c r="A24" s="7" t="s">
        <v>50</v>
      </c>
      <c r="B24" s="18" t="n">
        <f aca="false">($B$22-$B$23)*SharesNew</f>
        <v>15675000.0000001</v>
      </c>
    </row>
    <row r="25" customFormat="false" ht="15" hidden="false" customHeight="false" outlineLevel="0" collapsed="false">
      <c r="A25" s="7" t="s">
        <v>51</v>
      </c>
      <c r="B25" s="16" t="n">
        <f aca="false">MIN($D$8:$D$11)</f>
        <v>11875000</v>
      </c>
    </row>
    <row r="26" customFormat="false" ht="15" hidden="false" customHeight="false" outlineLevel="0" collapsed="false">
      <c r="A26" s="7" t="s">
        <v>52</v>
      </c>
      <c r="B26" s="16" t="n">
        <f aca="false">MAX($D$8:$D$11)</f>
        <v>27550000.0000001</v>
      </c>
    </row>
    <row r="27" customFormat="false" ht="15" hidden="false" customHeight="false" outlineLevel="0" collapsed="false">
      <c r="A27" s="7" t="s">
        <v>53</v>
      </c>
      <c r="B27" s="19" t="n">
        <f aca="false">IF(MIN($C$8:$C$11)&gt;0,1,0)</f>
        <v>1</v>
      </c>
    </row>
    <row r="28" customFormat="false" ht="15" hidden="false" customHeight="false" outlineLevel="0" collapsed="false">
      <c r="A28" s="7" t="s">
        <v>54</v>
      </c>
      <c r="B28" s="14" t="n">
        <f aca="false">INDEX(RefLvl,RefQuoted)</f>
        <v>42.6</v>
      </c>
    </row>
    <row r="29" customFormat="false" ht="15" hidden="false" customHeight="false" outlineLevel="0" collapsed="false">
      <c r="A29" s="7" t="s">
        <v>55</v>
      </c>
      <c r="B29" s="20" t="n">
        <f aca="false">INDEX($C$8:$C$11,RefQuoted)</f>
        <v>0.0481220657276996</v>
      </c>
    </row>
    <row r="30" customFormat="false" ht="15" hidden="false" customHeight="false" outlineLevel="0" collapsed="false">
      <c r="A30" s="7" t="s">
        <v>56</v>
      </c>
      <c r="B30" s="14" t="n">
        <f aca="false">INDEX(RefLvl,RefPreLeak)</f>
        <v>43.45</v>
      </c>
    </row>
    <row r="32" customFormat="false" ht="15" hidden="false" customHeight="false" outlineLevel="0" collapsed="false">
      <c r="A32" s="11" t="s">
        <v>57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3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66"/>
    <col collapsed="false" customWidth="true" hidden="false" outlineLevel="0" max="2" min="2" style="0" width="22"/>
    <col collapsed="false" customWidth="true" hidden="false" outlineLevel="0" max="3" min="3" style="0" width="24"/>
  </cols>
  <sheetData>
    <row r="1" customFormat="false" ht="19.7" hidden="false" customHeight="false" outlineLevel="0" collapsed="false">
      <c r="A1" s="1" t="s">
        <v>58</v>
      </c>
    </row>
    <row r="2" customFormat="false" ht="15" hidden="false" customHeight="false" outlineLevel="0" collapsed="false">
      <c r="A2" s="2" t="s">
        <v>59</v>
      </c>
    </row>
    <row r="5" customFormat="false" ht="15" hidden="false" customHeight="false" outlineLevel="0" collapsed="false">
      <c r="A5" s="3" t="s">
        <v>60</v>
      </c>
    </row>
    <row r="7" customFormat="false" ht="15" hidden="false" customHeight="false" outlineLevel="0" collapsed="false">
      <c r="A7" s="5" t="s">
        <v>44</v>
      </c>
      <c r="B7" s="6" t="s">
        <v>18</v>
      </c>
    </row>
    <row r="8" customFormat="false" ht="15" hidden="false" customHeight="false" outlineLevel="0" collapsed="false">
      <c r="A8" s="7" t="s">
        <v>61</v>
      </c>
      <c r="B8" s="14" t="n">
        <f aca="false">INDEX(RefLvl,RefPreLeak)</f>
        <v>43.45</v>
      </c>
    </row>
    <row r="9" customFormat="false" ht="15" hidden="false" customHeight="false" outlineLevel="0" collapsed="false">
      <c r="A9" s="7" t="s">
        <v>62</v>
      </c>
      <c r="B9" s="14" t="n">
        <f aca="false">INDEX(RefLvl,RefQuoted)</f>
        <v>42.6</v>
      </c>
    </row>
    <row r="10" customFormat="false" ht="15" hidden="false" customHeight="false" outlineLevel="0" collapsed="false">
      <c r="A10" s="7" t="s">
        <v>63</v>
      </c>
      <c r="B10" s="14" t="n">
        <f aca="false">$B$8-$B$9</f>
        <v>0.850000000000001</v>
      </c>
    </row>
    <row r="11" customFormat="false" ht="15" hidden="false" customHeight="false" outlineLevel="0" collapsed="false">
      <c r="A11" s="7" t="s">
        <v>64</v>
      </c>
      <c r="B11" s="15" t="n">
        <f aca="false">($B$9-PlacePrice)/$B$9</f>
        <v>0.0481220657276996</v>
      </c>
    </row>
    <row r="12" customFormat="false" ht="15" hidden="false" customHeight="false" outlineLevel="0" collapsed="false">
      <c r="A12" s="7" t="s">
        <v>65</v>
      </c>
      <c r="B12" s="21" t="n">
        <f aca="false">$B$8*(1-$B$11)</f>
        <v>41.3590962441315</v>
      </c>
    </row>
    <row r="13" customFormat="false" ht="15" hidden="false" customHeight="false" outlineLevel="0" collapsed="false">
      <c r="A13" s="7" t="s">
        <v>66</v>
      </c>
      <c r="B13" s="16" t="n">
        <f aca="false">SharesNew*PlacePrice</f>
        <v>385225000</v>
      </c>
    </row>
    <row r="15" customFormat="false" ht="15" hidden="false" customHeight="false" outlineLevel="0" collapsed="false">
      <c r="A15" s="3" t="s">
        <v>67</v>
      </c>
    </row>
    <row r="17" customFormat="false" ht="15" hidden="false" customHeight="false" outlineLevel="0" collapsed="false">
      <c r="A17" s="5" t="s">
        <v>68</v>
      </c>
      <c r="B17" s="6" t="s">
        <v>69</v>
      </c>
    </row>
    <row r="18" customFormat="false" ht="15" hidden="false" customHeight="false" outlineLevel="0" collapsed="false">
      <c r="A18" s="7" t="s">
        <v>70</v>
      </c>
      <c r="B18" s="18" t="n">
        <f aca="false">SharesNew*($B$12-PlacePrice)</f>
        <v>7686414.31924887</v>
      </c>
    </row>
    <row r="19" customFormat="false" ht="15" hidden="false" customHeight="false" outlineLevel="0" collapsed="false">
      <c r="A19" s="7" t="s">
        <v>71</v>
      </c>
      <c r="B19" s="16" t="n">
        <f aca="false">SharesNew*$B$10</f>
        <v>8075000.00000001</v>
      </c>
    </row>
    <row r="20" customFormat="false" ht="15" hidden="false" customHeight="false" outlineLevel="0" collapsed="false">
      <c r="A20" s="7" t="s">
        <v>72</v>
      </c>
      <c r="B20" s="18" t="n">
        <f aca="false">$B$19-$B$18</f>
        <v>388585.680751141</v>
      </c>
    </row>
    <row r="22" customFormat="false" ht="15" hidden="false" customHeight="false" outlineLevel="0" collapsed="false">
      <c r="A22" s="11" t="s">
        <v>73</v>
      </c>
    </row>
    <row r="25" customFormat="false" ht="15" hidden="false" customHeight="false" outlineLevel="0" collapsed="false">
      <c r="A25" s="3" t="s">
        <v>74</v>
      </c>
    </row>
    <row r="27" customFormat="false" ht="15" hidden="false" customHeight="false" outlineLevel="0" collapsed="false">
      <c r="A27" s="5" t="s">
        <v>44</v>
      </c>
      <c r="B27" s="6" t="s">
        <v>18</v>
      </c>
    </row>
    <row r="28" customFormat="false" ht="15" hidden="false" customHeight="false" outlineLevel="0" collapsed="false">
      <c r="A28" s="7" t="s">
        <v>75</v>
      </c>
      <c r="B28" s="16" t="n">
        <f aca="false">$B$13/$B$12</f>
        <v>9314154.20023015</v>
      </c>
    </row>
    <row r="29" customFormat="false" ht="15" hidden="false" customHeight="false" outlineLevel="0" collapsed="false">
      <c r="A29" s="7" t="s">
        <v>76</v>
      </c>
      <c r="B29" s="18" t="n">
        <f aca="false">SharesNew-$B$28</f>
        <v>185845.79976985</v>
      </c>
    </row>
    <row r="30" customFormat="false" ht="15" hidden="false" customHeight="false" outlineLevel="0" collapsed="false">
      <c r="A30" s="7" t="s">
        <v>77</v>
      </c>
      <c r="B30" s="15" t="n">
        <f aca="false">$B$29/SharesNew</f>
        <v>0.0195627157652474</v>
      </c>
    </row>
    <row r="31" customFormat="false" ht="15" hidden="false" customHeight="false" outlineLevel="0" collapsed="false">
      <c r="A31" s="7" t="s">
        <v>78</v>
      </c>
      <c r="B31" s="22" t="n">
        <f aca="false">$B$29*$B$12-$B$18</f>
        <v>-4.37721610069275E-008</v>
      </c>
    </row>
    <row r="32" customFormat="false" ht="15" hidden="false" customHeight="false" outlineLevel="0" collapsed="false">
      <c r="A32" s="7" t="s">
        <v>79</v>
      </c>
      <c r="B32" s="19" t="n">
        <f aca="false">IF($B$18&lt;$B$19,1,0)</f>
        <v>1</v>
      </c>
    </row>
    <row r="34" customFormat="false" ht="15" hidden="false" customHeight="false" outlineLevel="0" collapsed="false">
      <c r="A34" s="11" t="s">
        <v>80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5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58"/>
    <col collapsed="false" customWidth="true" hidden="false" outlineLevel="0" max="2" min="2" style="0" width="22"/>
    <col collapsed="false" customWidth="true" hidden="false" outlineLevel="0" max="3" min="3" style="0" width="24"/>
    <col collapsed="false" customWidth="true" hidden="false" outlineLevel="0" max="4" min="4" style="0" width="22"/>
  </cols>
  <sheetData>
    <row r="1" customFormat="false" ht="19.7" hidden="false" customHeight="false" outlineLevel="0" collapsed="false">
      <c r="A1" s="1" t="s">
        <v>81</v>
      </c>
    </row>
    <row r="2" customFormat="false" ht="15" hidden="false" customHeight="false" outlineLevel="0" collapsed="false">
      <c r="A2" s="2" t="s">
        <v>82</v>
      </c>
    </row>
    <row r="5" customFormat="false" ht="15" hidden="false" customHeight="false" outlineLevel="0" collapsed="false">
      <c r="A5" s="3" t="s">
        <v>83</v>
      </c>
    </row>
    <row r="7" customFormat="false" ht="15" hidden="false" customHeight="false" outlineLevel="0" collapsed="false">
      <c r="A7" s="5" t="s">
        <v>84</v>
      </c>
      <c r="B7" s="6" t="s">
        <v>69</v>
      </c>
      <c r="C7" s="6" t="s">
        <v>85</v>
      </c>
    </row>
    <row r="8" customFormat="false" ht="15" hidden="false" customHeight="false" outlineLevel="0" collapsed="false">
      <c r="A8" s="23" t="s">
        <v>86</v>
      </c>
      <c r="B8" s="18" t="n">
        <f aca="false">SharesNew*PlacePrice</f>
        <v>385225000</v>
      </c>
      <c r="C8" s="15" t="n">
        <f aca="false">1</f>
        <v>1</v>
      </c>
    </row>
    <row r="9" customFormat="false" ht="15" hidden="false" customHeight="false" outlineLevel="0" collapsed="false">
      <c r="A9" s="7" t="s">
        <v>87</v>
      </c>
      <c r="B9" s="16" t="n">
        <f aca="false">$B$8*CommRate</f>
        <v>4237475</v>
      </c>
      <c r="C9" s="15" t="n">
        <f aca="false">$B9/$B$8</f>
        <v>0.011</v>
      </c>
    </row>
    <row r="10" customFormat="false" ht="15" hidden="false" customHeight="false" outlineLevel="0" collapsed="false">
      <c r="A10" s="7" t="s">
        <v>88</v>
      </c>
      <c r="B10" s="16" t="n">
        <f aca="false">'The leak counterfactual'!$B$18</f>
        <v>7686414.31924887</v>
      </c>
      <c r="C10" s="15" t="n">
        <f aca="false">$B10/$B$8</f>
        <v>0.0199530516431926</v>
      </c>
    </row>
    <row r="11" customFormat="false" ht="15" hidden="false" customHeight="false" outlineLevel="0" collapsed="false">
      <c r="A11" s="23" t="s">
        <v>89</v>
      </c>
      <c r="B11" s="18" t="n">
        <f aca="false">SharesNew*(INDEX(RefLvl,RefQuoted)-PlacePrice)</f>
        <v>19475000</v>
      </c>
      <c r="C11" s="15" t="n">
        <f aca="false">$B11/$B$8</f>
        <v>0.0505548705302097</v>
      </c>
    </row>
    <row r="12" customFormat="false" ht="15" hidden="false" customHeight="false" outlineLevel="0" collapsed="false">
      <c r="A12" s="23" t="s">
        <v>90</v>
      </c>
      <c r="B12" s="18" t="n">
        <f aca="false">$B$9+$B$10+$B$11</f>
        <v>31398889.3192489</v>
      </c>
      <c r="C12" s="20" t="n">
        <f aca="false">$B12/$B$8</f>
        <v>0.0815079221734023</v>
      </c>
    </row>
    <row r="14" customFormat="false" ht="15" hidden="false" customHeight="false" outlineLevel="0" collapsed="false">
      <c r="A14" s="11" t="s">
        <v>91</v>
      </c>
    </row>
    <row r="17" customFormat="false" ht="15" hidden="false" customHeight="false" outlineLevel="0" collapsed="false">
      <c r="A17" s="3" t="s">
        <v>92</v>
      </c>
    </row>
    <row r="19" customFormat="false" ht="15" hidden="false" customHeight="false" outlineLevel="0" collapsed="false">
      <c r="A19" s="5" t="s">
        <v>44</v>
      </c>
      <c r="B19" s="6" t="s">
        <v>18</v>
      </c>
    </row>
    <row r="20" customFormat="false" ht="15" hidden="false" customHeight="false" outlineLevel="0" collapsed="false">
      <c r="A20" s="7" t="s">
        <v>93</v>
      </c>
      <c r="B20" s="16" t="n">
        <f aca="false">$B$9</f>
        <v>4237475</v>
      </c>
    </row>
    <row r="21" customFormat="false" ht="15" hidden="false" customHeight="false" outlineLevel="0" collapsed="false">
      <c r="A21" s="7" t="s">
        <v>94</v>
      </c>
      <c r="B21" s="16" t="n">
        <f aca="false">$B$10+$B$11</f>
        <v>27161414.3192489</v>
      </c>
    </row>
    <row r="22" customFormat="false" ht="15" hidden="false" customHeight="false" outlineLevel="0" collapsed="false">
      <c r="A22" s="7" t="s">
        <v>95</v>
      </c>
      <c r="B22" s="20" t="n">
        <f aca="false">$B$21/$B$12</f>
        <v>0.865043793208245</v>
      </c>
    </row>
    <row r="23" customFormat="false" ht="15" hidden="false" customHeight="false" outlineLevel="0" collapsed="false">
      <c r="A23" s="7" t="s">
        <v>96</v>
      </c>
      <c r="B23" s="24" t="n">
        <f aca="false">$B$11/$B$9</f>
        <v>4.59589732092816</v>
      </c>
    </row>
    <row r="24" customFormat="false" ht="15" hidden="false" customHeight="false" outlineLevel="0" collapsed="false">
      <c r="A24" s="7" t="s">
        <v>97</v>
      </c>
      <c r="B24" s="25" t="n">
        <f aca="false">$B$12/$B$8</f>
        <v>0.0815079221734023</v>
      </c>
    </row>
    <row r="25" customFormat="false" ht="15" hidden="false" customHeight="false" outlineLevel="0" collapsed="false">
      <c r="A25" s="7" t="s">
        <v>98</v>
      </c>
      <c r="B25" s="22" t="n">
        <f aca="false">$B$12-($B$9+$B$10+$B$11)</f>
        <v>0</v>
      </c>
    </row>
    <row r="27" customFormat="false" ht="15" hidden="false" customHeight="false" outlineLevel="0" collapsed="false">
      <c r="A27" s="11" t="s">
        <v>99</v>
      </c>
    </row>
    <row r="30" customFormat="false" ht="15" hidden="false" customHeight="false" outlineLevel="0" collapsed="false">
      <c r="A30" s="3" t="s">
        <v>100</v>
      </c>
    </row>
    <row r="32" customFormat="false" ht="35.05" hidden="false" customHeight="false" outlineLevel="0" collapsed="false">
      <c r="A32" s="5" t="s">
        <v>25</v>
      </c>
      <c r="B32" s="6" t="s">
        <v>39</v>
      </c>
      <c r="C32" s="6" t="s">
        <v>101</v>
      </c>
      <c r="D32" s="6" t="s">
        <v>102</v>
      </c>
      <c r="E32" s="6" t="s">
        <v>103</v>
      </c>
      <c r="F32" s="6" t="s">
        <v>104</v>
      </c>
    </row>
    <row r="33" customFormat="false" ht="15" hidden="false" customHeight="false" outlineLevel="0" collapsed="false">
      <c r="A33" s="7" t="str">
        <f aca="false">INDEX(RefLbl,1)</f>
        <v>Thirty-day volume weighted average</v>
      </c>
      <c r="B33" s="15" t="n">
        <f aca="false">'The four references'!$C$8</f>
        <v>0.0299043062200957</v>
      </c>
      <c r="C33" s="16" t="n">
        <f aca="false">SharesNew*(INDEX(RefLvl,1)-PlacePrice)</f>
        <v>11875000</v>
      </c>
      <c r="D33" s="16" t="n">
        <f aca="false">$C33+$B$9+$B$10</f>
        <v>23798889.3192489</v>
      </c>
      <c r="E33" s="15" t="n">
        <f aca="false">($C33+$B$10)/$D33</f>
        <v>0.821946522665128</v>
      </c>
      <c r="F33" s="26" t="n">
        <f aca="false">$D33/$B$8</f>
        <v>0.0617791922103936</v>
      </c>
    </row>
    <row r="34" customFormat="false" ht="15" hidden="false" customHeight="false" outlineLevel="0" collapsed="false">
      <c r="A34" s="7" t="str">
        <f aca="false">INDEX(RefLbl,2)</f>
        <v>Last close</v>
      </c>
      <c r="B34" s="15" t="n">
        <f aca="false">'The four references'!$C$9</f>
        <v>0.0481220657276996</v>
      </c>
      <c r="C34" s="16" t="n">
        <f aca="false">SharesNew*(INDEX(RefLvl,2)-PlacePrice)</f>
        <v>19475000</v>
      </c>
      <c r="D34" s="16" t="n">
        <f aca="false">$C34+$B$9+$B$10</f>
        <v>31398889.3192489</v>
      </c>
      <c r="E34" s="15" t="n">
        <f aca="false">($C34+$B$10)/$D34</f>
        <v>0.865043793208245</v>
      </c>
      <c r="F34" s="26" t="n">
        <f aca="false">$D34/$B$8</f>
        <v>0.0815079221734023</v>
      </c>
    </row>
    <row r="35" customFormat="false" ht="15" hidden="false" customHeight="false" outlineLevel="0" collapsed="false">
      <c r="A35" s="7" t="str">
        <f aca="false">INDEX(RefLbl,3)</f>
        <v>Five-day volume weighted average</v>
      </c>
      <c r="B35" s="15" t="n">
        <f aca="false">'The four references'!$C$10</f>
        <v>0.0596011131725418</v>
      </c>
      <c r="C35" s="16" t="n">
        <f aca="false">SharesNew*(INDEX(RefLvl,3)-PlacePrice)</f>
        <v>24415000</v>
      </c>
      <c r="D35" s="16" t="n">
        <f aca="false">$C35+$B$9+$B$10</f>
        <v>36338889.3192489</v>
      </c>
      <c r="E35" s="15" t="n">
        <f aca="false">($C35+$B$10)/$D35</f>
        <v>0.883390079350736</v>
      </c>
      <c r="F35" s="26" t="n">
        <f aca="false">$D35/$B$8</f>
        <v>0.0943315966493579</v>
      </c>
    </row>
    <row r="36" customFormat="false" ht="15" hidden="false" customHeight="false" outlineLevel="0" collapsed="false">
      <c r="A36" s="7" t="str">
        <f aca="false">INDEX(RefLbl,4)</f>
        <v>Close before the wall-crossing</v>
      </c>
      <c r="B36" s="15" t="n">
        <f aca="false">'The four references'!$C$11</f>
        <v>0.0667433831990795</v>
      </c>
      <c r="C36" s="16" t="n">
        <f aca="false">SharesNew*(INDEX(RefLvl,4)-PlacePrice)</f>
        <v>27550000.0000001</v>
      </c>
      <c r="D36" s="16" t="n">
        <f aca="false">$C36+$B$9+$B$10</f>
        <v>39473889.3192489</v>
      </c>
      <c r="E36" s="15" t="n">
        <f aca="false">($C36+$B$10)/$D36</f>
        <v>0.892651191127152</v>
      </c>
      <c r="F36" s="26" t="n">
        <f aca="false">$D36/$B$8</f>
        <v>0.102469697759099</v>
      </c>
    </row>
    <row r="38" customFormat="false" ht="15" hidden="false" customHeight="false" outlineLevel="0" collapsed="false">
      <c r="A38" s="23" t="s">
        <v>105</v>
      </c>
      <c r="B38" s="17" t="n">
        <f aca="false">(MAX($F$33:$F$36)-MIN($F$33:$F$36))*100</f>
        <v>4.06905055487054</v>
      </c>
    </row>
    <row r="40" customFormat="false" ht="15" hidden="false" customHeight="false" outlineLevel="0" collapsed="false">
      <c r="A40" s="11" t="s">
        <v>106</v>
      </c>
    </row>
    <row r="43" customFormat="false" ht="15" hidden="false" customHeight="false" outlineLevel="0" collapsed="false">
      <c r="A43" s="3" t="s">
        <v>107</v>
      </c>
    </row>
    <row r="45" customFormat="false" ht="15" hidden="false" customHeight="false" outlineLevel="0" collapsed="false">
      <c r="A45" s="5" t="s">
        <v>44</v>
      </c>
      <c r="B45" s="6" t="s">
        <v>18</v>
      </c>
    </row>
    <row r="46" customFormat="false" ht="15" hidden="false" customHeight="false" outlineLevel="0" collapsed="false">
      <c r="A46" s="7" t="s">
        <v>108</v>
      </c>
      <c r="B46" s="24" t="n">
        <f aca="false">$B$21/$B$9</f>
        <v>6.40981110667294</v>
      </c>
    </row>
    <row r="47" customFormat="false" ht="15" hidden="false" customHeight="false" outlineLevel="0" collapsed="false">
      <c r="A47" s="7" t="s">
        <v>109</v>
      </c>
      <c r="B47" s="24" t="n">
        <f aca="false">$B$10/$B$9</f>
        <v>1.81391378574478</v>
      </c>
    </row>
    <row r="48" customFormat="false" ht="15" hidden="false" customHeight="false" outlineLevel="0" collapsed="false">
      <c r="A48" s="7" t="s">
        <v>110</v>
      </c>
      <c r="B48" s="20" t="n">
        <f aca="false">'The leak counterfactual'!$B$10/'The leak counterfactual'!$B$8</f>
        <v>0.0195627157652474</v>
      </c>
    </row>
    <row r="49" customFormat="false" ht="15" hidden="false" customHeight="false" outlineLevel="0" collapsed="false">
      <c r="A49" s="7" t="s">
        <v>111</v>
      </c>
      <c r="B49" s="20" t="n">
        <f aca="false">'The leak counterfactual'!$B$30</f>
        <v>0.0195627157652474</v>
      </c>
    </row>
    <row r="50" customFormat="false" ht="15" hidden="false" customHeight="false" outlineLevel="0" collapsed="false">
      <c r="A50" s="7" t="s">
        <v>112</v>
      </c>
      <c r="B50" s="22" t="n">
        <f aca="false">$B$48-$B$49</f>
        <v>0</v>
      </c>
    </row>
    <row r="52" customFormat="false" ht="15" hidden="false" customHeight="false" outlineLevel="0" collapsed="false">
      <c r="A52" s="11" t="s">
        <v>113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2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62"/>
    <col collapsed="false" customWidth="true" hidden="false" outlineLevel="0" max="3" min="2" style="0" width="22"/>
  </cols>
  <sheetData>
    <row r="1" customFormat="false" ht="19.7" hidden="false" customHeight="false" outlineLevel="0" collapsed="false">
      <c r="A1" s="1" t="s">
        <v>114</v>
      </c>
    </row>
    <row r="2" customFormat="false" ht="15" hidden="false" customHeight="false" outlineLevel="0" collapsed="false">
      <c r="A2" s="2" t="s">
        <v>115</v>
      </c>
    </row>
    <row r="5" customFormat="false" ht="15" hidden="false" customHeight="false" outlineLevel="0" collapsed="false">
      <c r="A5" s="3" t="s">
        <v>116</v>
      </c>
    </row>
    <row r="7" customFormat="false" ht="15" hidden="false" customHeight="false" outlineLevel="0" collapsed="false">
      <c r="A7" s="5" t="s">
        <v>44</v>
      </c>
      <c r="B7" s="6" t="s">
        <v>18</v>
      </c>
    </row>
    <row r="8" customFormat="false" ht="15" hidden="false" customHeight="false" outlineLevel="0" collapsed="false">
      <c r="A8" s="7" t="s">
        <v>19</v>
      </c>
      <c r="B8" s="16" t="n">
        <f aca="false">SharesOld</f>
        <v>118000000</v>
      </c>
    </row>
    <row r="9" customFormat="false" ht="15" hidden="false" customHeight="false" outlineLevel="0" collapsed="false">
      <c r="A9" s="7" t="s">
        <v>20</v>
      </c>
      <c r="B9" s="16" t="n">
        <f aca="false">SharesNew</f>
        <v>9500000</v>
      </c>
    </row>
    <row r="10" customFormat="false" ht="15" hidden="false" customHeight="false" outlineLevel="0" collapsed="false">
      <c r="A10" s="7" t="s">
        <v>117</v>
      </c>
      <c r="B10" s="16" t="n">
        <f aca="false">SharesOld+SharesNew</f>
        <v>127500000</v>
      </c>
    </row>
    <row r="11" customFormat="false" ht="15" hidden="false" customHeight="false" outlineLevel="0" collapsed="false">
      <c r="A11" s="7" t="s">
        <v>118</v>
      </c>
      <c r="B11" s="25" t="n">
        <f aca="false">SharesNew/(SharesOld+SharesNew)</f>
        <v>0.0745098039215686</v>
      </c>
    </row>
    <row r="13" customFormat="false" ht="15" hidden="false" customHeight="false" outlineLevel="0" collapsed="false">
      <c r="A13" s="3" t="s">
        <v>119</v>
      </c>
    </row>
    <row r="15" customFormat="false" ht="15" hidden="false" customHeight="false" outlineLevel="0" collapsed="false">
      <c r="A15" s="5" t="s">
        <v>44</v>
      </c>
      <c r="B15" s="6" t="s">
        <v>18</v>
      </c>
    </row>
    <row r="16" customFormat="false" ht="15" hidden="false" customHeight="false" outlineLevel="0" collapsed="false">
      <c r="A16" s="7" t="s">
        <v>120</v>
      </c>
      <c r="B16" s="14" t="n">
        <f aca="false">'The leak counterfactual'!$B$12</f>
        <v>41.3590962441315</v>
      </c>
    </row>
    <row r="17" customFormat="false" ht="15" hidden="false" customHeight="false" outlineLevel="0" collapsed="false">
      <c r="A17" s="7" t="s">
        <v>121</v>
      </c>
      <c r="B17" s="16" t="n">
        <f aca="false">'The leak counterfactual'!$B$28</f>
        <v>9314154.20023015</v>
      </c>
    </row>
    <row r="18" customFormat="false" ht="15" hidden="false" customHeight="false" outlineLevel="0" collapsed="false">
      <c r="A18" s="7" t="s">
        <v>122</v>
      </c>
      <c r="B18" s="25" t="n">
        <f aca="false">$B$17/(SharesOld+$B$17)</f>
        <v>0.0731588271448715</v>
      </c>
    </row>
    <row r="19" customFormat="false" ht="15" hidden="false" customHeight="false" outlineLevel="0" collapsed="false">
      <c r="A19" s="7" t="s">
        <v>123</v>
      </c>
      <c r="B19" s="18" t="n">
        <f aca="false">SharesNew-$B$17</f>
        <v>185845.79976985</v>
      </c>
    </row>
    <row r="20" customFormat="false" ht="15" hidden="false" customHeight="false" outlineLevel="0" collapsed="false">
      <c r="A20" s="7" t="s">
        <v>77</v>
      </c>
      <c r="B20" s="15" t="n">
        <f aca="false">$B$19/SharesNew</f>
        <v>0.0195627157652474</v>
      </c>
    </row>
    <row r="21" customFormat="false" ht="15" hidden="false" customHeight="false" outlineLevel="0" collapsed="false">
      <c r="A21" s="7" t="s">
        <v>124</v>
      </c>
      <c r="B21" s="24" t="n">
        <f aca="false">($B$11-$B$18)*100</f>
        <v>0.135097677669715</v>
      </c>
    </row>
    <row r="22" customFormat="false" ht="15" hidden="false" customHeight="false" outlineLevel="0" collapsed="false">
      <c r="A22" s="7" t="s">
        <v>125</v>
      </c>
      <c r="B22" s="27" t="n">
        <f aca="false">$B$17*$B$16-SharesNew*PlacePrice</f>
        <v>0</v>
      </c>
    </row>
    <row r="24" customFormat="false" ht="15" hidden="false" customHeight="false" outlineLevel="0" collapsed="false">
      <c r="A24" s="11" t="s">
        <v>126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7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7"/>
    <col collapsed="false" customWidth="true" hidden="false" outlineLevel="0" max="2" min="2" style="0" width="78"/>
    <col collapsed="false" customWidth="true" hidden="false" outlineLevel="0" max="4" min="3" style="0" width="20"/>
    <col collapsed="false" customWidth="true" hidden="false" outlineLevel="0" max="5" min="5" style="0" width="16"/>
    <col collapsed="false" customWidth="true" hidden="false" outlineLevel="0" max="6" min="6" style="0" width="11"/>
  </cols>
  <sheetData>
    <row r="1" customFormat="false" ht="19.7" hidden="false" customHeight="false" outlineLevel="0" collapsed="false">
      <c r="A1" s="1" t="s">
        <v>127</v>
      </c>
    </row>
    <row r="2" customFormat="false" ht="15" hidden="false" customHeight="false" outlineLevel="0" collapsed="false">
      <c r="A2" s="2" t="s">
        <v>128</v>
      </c>
    </row>
    <row r="5" customFormat="false" ht="15" hidden="false" customHeight="false" outlineLevel="0" collapsed="false">
      <c r="A5" s="11" t="s">
        <v>129</v>
      </c>
    </row>
    <row r="7" customFormat="false" ht="15" hidden="false" customHeight="false" outlineLevel="0" collapsed="false">
      <c r="A7" s="5" t="s">
        <v>130</v>
      </c>
      <c r="B7" s="6" t="s">
        <v>131</v>
      </c>
      <c r="C7" s="6" t="s">
        <v>132</v>
      </c>
      <c r="D7" s="6" t="s">
        <v>133</v>
      </c>
      <c r="E7" s="6" t="s">
        <v>134</v>
      </c>
      <c r="F7" s="6" t="s">
        <v>135</v>
      </c>
    </row>
    <row r="8" customFormat="false" ht="15" hidden="false" customHeight="false" outlineLevel="0" collapsed="false">
      <c r="A8" s="7" t="s">
        <v>136</v>
      </c>
      <c r="B8" s="7" t="s">
        <v>137</v>
      </c>
      <c r="C8" s="14" t="n">
        <v>41.8</v>
      </c>
      <c r="D8" s="14" t="n">
        <f aca="false">'The four references'!$B$8</f>
        <v>41.8</v>
      </c>
      <c r="E8" s="22" t="n">
        <f aca="false">D8-C8</f>
        <v>0</v>
      </c>
      <c r="F8" s="28" t="str">
        <f aca="false">IF(ABS(E8)&lt;=0.00005,"PASS","FAIL")</f>
        <v>PASS</v>
      </c>
    </row>
    <row r="9" customFormat="false" ht="15" hidden="false" customHeight="false" outlineLevel="0" collapsed="false">
      <c r="A9" s="7" t="s">
        <v>136</v>
      </c>
      <c r="B9" s="7" t="s">
        <v>138</v>
      </c>
      <c r="C9" s="26" t="n">
        <v>0.0299</v>
      </c>
      <c r="D9" s="26" t="n">
        <f aca="false">'The four references'!$C$8</f>
        <v>0.0299043062200957</v>
      </c>
      <c r="E9" s="22" t="n">
        <f aca="false">D9-C9</f>
        <v>4.30622009569767E-006</v>
      </c>
      <c r="F9" s="28" t="str">
        <f aca="false">IF(ABS(E9)&lt;=0.00005,"PASS","FAIL")</f>
        <v>PASS</v>
      </c>
    </row>
    <row r="10" customFormat="false" ht="15" hidden="false" customHeight="false" outlineLevel="0" collapsed="false">
      <c r="A10" s="7" t="s">
        <v>136</v>
      </c>
      <c r="B10" s="7" t="s">
        <v>139</v>
      </c>
      <c r="C10" s="16" t="n">
        <v>11875000</v>
      </c>
      <c r="D10" s="16" t="n">
        <f aca="false">'The four references'!$D$8</f>
        <v>11875000</v>
      </c>
      <c r="E10" s="22" t="n">
        <f aca="false">D10-C10</f>
        <v>0</v>
      </c>
      <c r="F10" s="28" t="str">
        <f aca="false">IF(ABS(E10)&lt;=0.5,"PASS","FAIL")</f>
        <v>PASS</v>
      </c>
    </row>
    <row r="11" customFormat="false" ht="15" hidden="false" customHeight="false" outlineLevel="0" collapsed="false">
      <c r="A11" s="7" t="s">
        <v>136</v>
      </c>
      <c r="B11" s="7" t="s">
        <v>140</v>
      </c>
      <c r="C11" s="14" t="n">
        <v>42.6</v>
      </c>
      <c r="D11" s="14" t="n">
        <f aca="false">'The four references'!$B$9</f>
        <v>42.6</v>
      </c>
      <c r="E11" s="22" t="n">
        <f aca="false">D11-C11</f>
        <v>0</v>
      </c>
      <c r="F11" s="28" t="str">
        <f aca="false">IF(ABS(E11)&lt;=0.00005,"PASS","FAIL")</f>
        <v>PASS</v>
      </c>
    </row>
    <row r="12" customFormat="false" ht="15" hidden="false" customHeight="false" outlineLevel="0" collapsed="false">
      <c r="A12" s="7" t="s">
        <v>136</v>
      </c>
      <c r="B12" s="7" t="s">
        <v>141</v>
      </c>
      <c r="C12" s="26" t="n">
        <v>0.0481</v>
      </c>
      <c r="D12" s="26" t="n">
        <f aca="false">'The four references'!$C$9</f>
        <v>0.0481220657276996</v>
      </c>
      <c r="E12" s="22" t="n">
        <f aca="false">D12-C12</f>
        <v>2.20657276996314E-005</v>
      </c>
      <c r="F12" s="28" t="str">
        <f aca="false">IF(ABS(E12)&lt;=0.00005,"PASS","FAIL")</f>
        <v>PASS</v>
      </c>
    </row>
    <row r="13" customFormat="false" ht="15" hidden="false" customHeight="false" outlineLevel="0" collapsed="false">
      <c r="A13" s="7" t="s">
        <v>136</v>
      </c>
      <c r="B13" s="7" t="s">
        <v>142</v>
      </c>
      <c r="C13" s="16" t="n">
        <v>19475000</v>
      </c>
      <c r="D13" s="16" t="n">
        <f aca="false">'The four references'!$D$9</f>
        <v>19475000</v>
      </c>
      <c r="E13" s="22" t="n">
        <f aca="false">D13-C13</f>
        <v>0</v>
      </c>
      <c r="F13" s="28" t="str">
        <f aca="false">IF(ABS(E13)&lt;=0.5,"PASS","FAIL")</f>
        <v>PASS</v>
      </c>
    </row>
    <row r="14" customFormat="false" ht="15" hidden="false" customHeight="false" outlineLevel="0" collapsed="false">
      <c r="A14" s="7" t="s">
        <v>136</v>
      </c>
      <c r="B14" s="7" t="s">
        <v>143</v>
      </c>
      <c r="C14" s="14" t="n">
        <v>43.12</v>
      </c>
      <c r="D14" s="14" t="n">
        <f aca="false">'The four references'!$B$10</f>
        <v>43.12</v>
      </c>
      <c r="E14" s="22" t="n">
        <f aca="false">D14-C14</f>
        <v>0</v>
      </c>
      <c r="F14" s="28" t="str">
        <f aca="false">IF(ABS(E14)&lt;=0.00005,"PASS","FAIL")</f>
        <v>PASS</v>
      </c>
    </row>
    <row r="15" customFormat="false" ht="15" hidden="false" customHeight="false" outlineLevel="0" collapsed="false">
      <c r="A15" s="7" t="s">
        <v>136</v>
      </c>
      <c r="B15" s="7" t="s">
        <v>144</v>
      </c>
      <c r="C15" s="26" t="n">
        <v>0.0596</v>
      </c>
      <c r="D15" s="26" t="n">
        <f aca="false">'The four references'!$C$10</f>
        <v>0.0596011131725418</v>
      </c>
      <c r="E15" s="22" t="n">
        <f aca="false">D15-C15</f>
        <v>1.11317254175569E-006</v>
      </c>
      <c r="F15" s="28" t="str">
        <f aca="false">IF(ABS(E15)&lt;=0.00005,"PASS","FAIL")</f>
        <v>PASS</v>
      </c>
    </row>
    <row r="16" customFormat="false" ht="15" hidden="false" customHeight="false" outlineLevel="0" collapsed="false">
      <c r="A16" s="7" t="s">
        <v>136</v>
      </c>
      <c r="B16" s="7" t="s">
        <v>145</v>
      </c>
      <c r="C16" s="16" t="n">
        <v>24415000</v>
      </c>
      <c r="D16" s="16" t="n">
        <f aca="false">'The four references'!$D$10</f>
        <v>24415000</v>
      </c>
      <c r="E16" s="22" t="n">
        <f aca="false">D16-C16</f>
        <v>0</v>
      </c>
      <c r="F16" s="28" t="str">
        <f aca="false">IF(ABS(E16)&lt;=0.5,"PASS","FAIL")</f>
        <v>PASS</v>
      </c>
    </row>
    <row r="17" customFormat="false" ht="15" hidden="false" customHeight="false" outlineLevel="0" collapsed="false">
      <c r="A17" s="7" t="s">
        <v>136</v>
      </c>
      <c r="B17" s="7" t="s">
        <v>146</v>
      </c>
      <c r="C17" s="14" t="n">
        <v>43.45</v>
      </c>
      <c r="D17" s="14" t="n">
        <f aca="false">'The four references'!$B$11</f>
        <v>43.45</v>
      </c>
      <c r="E17" s="22" t="n">
        <f aca="false">D17-C17</f>
        <v>0</v>
      </c>
      <c r="F17" s="28" t="str">
        <f aca="false">IF(ABS(E17)&lt;=0.00005,"PASS","FAIL")</f>
        <v>PASS</v>
      </c>
    </row>
    <row r="18" customFormat="false" ht="15" hidden="false" customHeight="false" outlineLevel="0" collapsed="false">
      <c r="A18" s="7" t="s">
        <v>136</v>
      </c>
      <c r="B18" s="7" t="s">
        <v>147</v>
      </c>
      <c r="C18" s="26" t="n">
        <v>0.0667</v>
      </c>
      <c r="D18" s="26" t="n">
        <f aca="false">'The four references'!$C$11</f>
        <v>0.0667433831990795</v>
      </c>
      <c r="E18" s="22" t="n">
        <f aca="false">D18-C18</f>
        <v>4.33831990795386E-005</v>
      </c>
      <c r="F18" s="28" t="str">
        <f aca="false">IF(ABS(E18)&lt;=0.00005,"PASS","FAIL")</f>
        <v>PASS</v>
      </c>
    </row>
    <row r="19" customFormat="false" ht="15" hidden="false" customHeight="false" outlineLevel="0" collapsed="false">
      <c r="A19" s="7" t="s">
        <v>136</v>
      </c>
      <c r="B19" s="7" t="s">
        <v>148</v>
      </c>
      <c r="C19" s="16" t="n">
        <v>27550000</v>
      </c>
      <c r="D19" s="16" t="n">
        <f aca="false">'The four references'!$D$11</f>
        <v>27550000.0000001</v>
      </c>
      <c r="E19" s="22" t="n">
        <f aca="false">D19-C19</f>
        <v>0</v>
      </c>
      <c r="F19" s="28" t="str">
        <f aca="false">IF(ABS(E19)&lt;=0.5,"PASS","FAIL")</f>
        <v>PASS</v>
      </c>
    </row>
    <row r="20" customFormat="false" ht="15" hidden="false" customHeight="false" outlineLevel="0" collapsed="false">
      <c r="A20" s="7" t="s">
        <v>136</v>
      </c>
      <c r="B20" s="7" t="s">
        <v>47</v>
      </c>
      <c r="C20" s="24" t="n">
        <v>3.68</v>
      </c>
      <c r="D20" s="24" t="n">
        <f aca="false">'The four references'!$B$21</f>
        <v>3.68390769789838</v>
      </c>
      <c r="E20" s="22" t="n">
        <f aca="false">D20-C20</f>
        <v>0.00390769789838341</v>
      </c>
      <c r="F20" s="28" t="str">
        <f aca="false">IF(ABS(E20)&lt;=0.005,"PASS","FAIL")</f>
        <v>PASS</v>
      </c>
    </row>
    <row r="21" customFormat="false" ht="15" hidden="false" customHeight="false" outlineLevel="0" collapsed="false">
      <c r="A21" s="7" t="s">
        <v>149</v>
      </c>
      <c r="B21" s="7" t="s">
        <v>150</v>
      </c>
      <c r="C21" s="16" t="n">
        <v>15675000</v>
      </c>
      <c r="D21" s="16" t="n">
        <f aca="false">'The four references'!$B$24</f>
        <v>15675000.0000001</v>
      </c>
      <c r="E21" s="22" t="n">
        <f aca="false">D21-C21</f>
        <v>0</v>
      </c>
      <c r="F21" s="28" t="str">
        <f aca="false">IF(ABS(E21)&lt;=0.5,"PASS","FAIL")</f>
        <v>PASS</v>
      </c>
    </row>
    <row r="22" customFormat="false" ht="15" hidden="false" customHeight="false" outlineLevel="0" collapsed="false">
      <c r="A22" s="7" t="s">
        <v>149</v>
      </c>
      <c r="B22" s="7" t="s">
        <v>51</v>
      </c>
      <c r="C22" s="16" t="n">
        <v>11875000</v>
      </c>
      <c r="D22" s="16" t="n">
        <f aca="false">'The four references'!$B$25</f>
        <v>11875000</v>
      </c>
      <c r="E22" s="22" t="n">
        <f aca="false">D22-C22</f>
        <v>0</v>
      </c>
      <c r="F22" s="28" t="str">
        <f aca="false">IF(ABS(E22)&lt;=0.5,"PASS","FAIL")</f>
        <v>PASS</v>
      </c>
    </row>
    <row r="23" customFormat="false" ht="15" hidden="false" customHeight="false" outlineLevel="0" collapsed="false">
      <c r="A23" s="7" t="s">
        <v>149</v>
      </c>
      <c r="B23" s="7" t="s">
        <v>52</v>
      </c>
      <c r="C23" s="16" t="n">
        <v>27550000</v>
      </c>
      <c r="D23" s="16" t="n">
        <f aca="false">'The four references'!$B$26</f>
        <v>27550000.0000001</v>
      </c>
      <c r="E23" s="22" t="n">
        <f aca="false">D23-C23</f>
        <v>0</v>
      </c>
      <c r="F23" s="28" t="str">
        <f aca="false">IF(ABS(E23)&lt;=0.5,"PASS","FAIL")</f>
        <v>PASS</v>
      </c>
    </row>
    <row r="24" customFormat="false" ht="15" hidden="false" customHeight="false" outlineLevel="0" collapsed="false">
      <c r="A24" s="7" t="s">
        <v>151</v>
      </c>
      <c r="B24" s="7" t="s">
        <v>152</v>
      </c>
      <c r="C24" s="16" t="n">
        <v>385225000</v>
      </c>
      <c r="D24" s="16" t="n">
        <f aca="false">'The cost of the placement'!$B$8</f>
        <v>385225000</v>
      </c>
      <c r="E24" s="22" t="n">
        <f aca="false">D24-C24</f>
        <v>0</v>
      </c>
      <c r="F24" s="28" t="str">
        <f aca="false">IF(ABS(E24)&lt;=0.5,"PASS","FAIL")</f>
        <v>PASS</v>
      </c>
    </row>
    <row r="25" customFormat="false" ht="15" hidden="false" customHeight="false" outlineLevel="0" collapsed="false">
      <c r="A25" s="7" t="s">
        <v>151</v>
      </c>
      <c r="B25" s="7" t="s">
        <v>153</v>
      </c>
      <c r="C25" s="16" t="n">
        <v>4237475</v>
      </c>
      <c r="D25" s="16" t="n">
        <f aca="false">'The cost of the placement'!$B$9</f>
        <v>4237475</v>
      </c>
      <c r="E25" s="22" t="n">
        <f aca="false">D25-C25</f>
        <v>0</v>
      </c>
      <c r="F25" s="28" t="str">
        <f aca="false">IF(ABS(E25)&lt;=0.5,"PASS","FAIL")</f>
        <v>PASS</v>
      </c>
    </row>
    <row r="26" customFormat="false" ht="15" hidden="false" customHeight="false" outlineLevel="0" collapsed="false">
      <c r="A26" s="7" t="s">
        <v>151</v>
      </c>
      <c r="B26" s="7" t="s">
        <v>154</v>
      </c>
      <c r="C26" s="16" t="n">
        <v>7686414</v>
      </c>
      <c r="D26" s="16" t="n">
        <f aca="false">'The cost of the placement'!$B$10</f>
        <v>7686414.31924887</v>
      </c>
      <c r="E26" s="22" t="n">
        <f aca="false">D26-C26</f>
        <v>0.31924887187779</v>
      </c>
      <c r="F26" s="28" t="str">
        <f aca="false">IF(ABS(E26)&lt;=0.5,"PASS","FAIL")</f>
        <v>PASS</v>
      </c>
    </row>
    <row r="27" customFormat="false" ht="15" hidden="false" customHeight="false" outlineLevel="0" collapsed="false">
      <c r="A27" s="7" t="s">
        <v>151</v>
      </c>
      <c r="B27" s="7" t="s">
        <v>155</v>
      </c>
      <c r="C27" s="16" t="n">
        <v>19475000</v>
      </c>
      <c r="D27" s="16" t="n">
        <f aca="false">'The cost of the placement'!$B$11</f>
        <v>19475000</v>
      </c>
      <c r="E27" s="22" t="n">
        <f aca="false">D27-C27</f>
        <v>0</v>
      </c>
      <c r="F27" s="28" t="str">
        <f aca="false">IF(ABS(E27)&lt;=0.5,"PASS","FAIL")</f>
        <v>PASS</v>
      </c>
    </row>
    <row r="28" customFormat="false" ht="15" hidden="false" customHeight="false" outlineLevel="0" collapsed="false">
      <c r="A28" s="7" t="s">
        <v>151</v>
      </c>
      <c r="B28" s="7" t="s">
        <v>156</v>
      </c>
      <c r="C28" s="16" t="n">
        <v>31398889</v>
      </c>
      <c r="D28" s="16" t="n">
        <f aca="false">'The cost of the placement'!$B$12</f>
        <v>31398889.3192489</v>
      </c>
      <c r="E28" s="22" t="n">
        <f aca="false">D28-C28</f>
        <v>0.319248914718628</v>
      </c>
      <c r="F28" s="28" t="str">
        <f aca="false">IF(ABS(E28)&lt;=0.5,"PASS","FAIL")</f>
        <v>PASS</v>
      </c>
    </row>
    <row r="29" customFormat="false" ht="15" hidden="false" customHeight="false" outlineLevel="0" collapsed="false">
      <c r="A29" s="7" t="s">
        <v>151</v>
      </c>
      <c r="B29" s="7" t="s">
        <v>157</v>
      </c>
      <c r="C29" s="26" t="n">
        <v>0.865</v>
      </c>
      <c r="D29" s="26" t="n">
        <f aca="false">'The cost of the placement'!$B$22</f>
        <v>0.865043793208245</v>
      </c>
      <c r="E29" s="22" t="n">
        <f aca="false">D29-C29</f>
        <v>4.37932082445469E-005</v>
      </c>
      <c r="F29" s="28" t="str">
        <f aca="false">IF(ABS(E29)&lt;=0.00005,"PASS","FAIL")</f>
        <v>PASS</v>
      </c>
    </row>
    <row r="30" customFormat="false" ht="15" hidden="false" customHeight="false" outlineLevel="0" collapsed="false">
      <c r="A30" s="7" t="s">
        <v>151</v>
      </c>
      <c r="B30" s="7" t="s">
        <v>96</v>
      </c>
      <c r="C30" s="24" t="n">
        <v>4.6</v>
      </c>
      <c r="D30" s="24" t="n">
        <f aca="false">'The cost of the placement'!$B$23</f>
        <v>4.59589732092816</v>
      </c>
      <c r="E30" s="22" t="n">
        <f aca="false">D30-C30</f>
        <v>-0.00410267907184281</v>
      </c>
      <c r="F30" s="28" t="str">
        <f aca="false">IF(ABS(E30)&lt;=0.05,"PASS","FAIL")</f>
        <v>PASS</v>
      </c>
    </row>
    <row r="31" customFormat="false" ht="15" hidden="false" customHeight="false" outlineLevel="0" collapsed="false">
      <c r="A31" s="7" t="s">
        <v>158</v>
      </c>
      <c r="B31" s="7" t="s">
        <v>159</v>
      </c>
      <c r="C31" s="26" t="n">
        <v>0.0815</v>
      </c>
      <c r="D31" s="26" t="n">
        <f aca="false">'The cost of the placement'!$B$24</f>
        <v>0.0815079221734023</v>
      </c>
      <c r="E31" s="22" t="n">
        <f aca="false">D31-C31</f>
        <v>7.9221734023277E-006</v>
      </c>
      <c r="F31" s="28" t="str">
        <f aca="false">IF(ABS(E31)&lt;=0.00005,"PASS","FAIL")</f>
        <v>PASS</v>
      </c>
    </row>
    <row r="32" customFormat="false" ht="15" hidden="false" customHeight="false" outlineLevel="0" collapsed="false">
      <c r="A32" s="7" t="s">
        <v>160</v>
      </c>
      <c r="B32" s="7" t="s">
        <v>120</v>
      </c>
      <c r="C32" s="14" t="n">
        <v>41.3591</v>
      </c>
      <c r="D32" s="14" t="n">
        <f aca="false">'The leak counterfactual'!$B$12</f>
        <v>41.3590962441315</v>
      </c>
      <c r="E32" s="22" t="n">
        <f aca="false">D32-C32</f>
        <v>-3.75586854062249E-006</v>
      </c>
      <c r="F32" s="28" t="str">
        <f aca="false">IF(ABS(E32)&lt;=0.00005,"PASS","FAIL")</f>
        <v>PASS</v>
      </c>
    </row>
    <row r="33" customFormat="false" ht="15" hidden="false" customHeight="false" outlineLevel="0" collapsed="false">
      <c r="A33" s="7" t="s">
        <v>160</v>
      </c>
      <c r="B33" s="7" t="s">
        <v>161</v>
      </c>
      <c r="C33" s="14" t="n">
        <v>0.85</v>
      </c>
      <c r="D33" s="14" t="n">
        <f aca="false">'The leak counterfactual'!$B$10</f>
        <v>0.850000000000001</v>
      </c>
      <c r="E33" s="22" t="n">
        <f aca="false">D33-C33</f>
        <v>0</v>
      </c>
      <c r="F33" s="28" t="str">
        <f aca="false">IF(ABS(E33)&lt;=0.00005,"PASS","FAIL")</f>
        <v>PASS</v>
      </c>
    </row>
    <row r="34" customFormat="false" ht="15" hidden="false" customHeight="false" outlineLevel="0" collapsed="false">
      <c r="A34" s="7" t="s">
        <v>160</v>
      </c>
      <c r="B34" s="7" t="s">
        <v>162</v>
      </c>
      <c r="C34" s="16" t="n">
        <v>8075000</v>
      </c>
      <c r="D34" s="16" t="n">
        <f aca="false">'The leak counterfactual'!$B$19</f>
        <v>8075000.00000001</v>
      </c>
      <c r="E34" s="22" t="n">
        <f aca="false">D34-C34</f>
        <v>0</v>
      </c>
      <c r="F34" s="28" t="str">
        <f aca="false">IF(ABS(E34)&lt;=0.5,"PASS","FAIL")</f>
        <v>PASS</v>
      </c>
    </row>
    <row r="35" customFormat="false" ht="15" hidden="false" customHeight="false" outlineLevel="0" collapsed="false">
      <c r="A35" s="7" t="s">
        <v>149</v>
      </c>
      <c r="B35" s="7" t="s">
        <v>163</v>
      </c>
      <c r="C35" s="16" t="n">
        <v>388586</v>
      </c>
      <c r="D35" s="16" t="n">
        <f aca="false">'The leak counterfactual'!$B$20</f>
        <v>388585.680751141</v>
      </c>
      <c r="E35" s="22" t="n">
        <f aca="false">D35-C35</f>
        <v>-0.319248858839273</v>
      </c>
      <c r="F35" s="28" t="str">
        <f aca="false">IF(ABS(E35)&lt;=0.5,"PASS","FAIL")</f>
        <v>PASS</v>
      </c>
    </row>
    <row r="36" customFormat="false" ht="15" hidden="false" customHeight="false" outlineLevel="0" collapsed="false">
      <c r="A36" s="7" t="s">
        <v>149</v>
      </c>
      <c r="B36" s="7" t="s">
        <v>164</v>
      </c>
      <c r="C36" s="16" t="n">
        <v>7686414</v>
      </c>
      <c r="D36" s="16" t="n">
        <f aca="false">'The leak counterfactual'!$B$18</f>
        <v>7686414.31924887</v>
      </c>
      <c r="E36" s="22" t="n">
        <f aca="false">D36-C36</f>
        <v>0.31924887187779</v>
      </c>
      <c r="F36" s="28" t="str">
        <f aca="false">IF(ABS(E36)&lt;=0.5,"PASS","FAIL")</f>
        <v>PASS</v>
      </c>
    </row>
    <row r="37" customFormat="false" ht="15" hidden="false" customHeight="false" outlineLevel="0" collapsed="false">
      <c r="A37" s="7" t="s">
        <v>151</v>
      </c>
      <c r="B37" s="7" t="s">
        <v>118</v>
      </c>
      <c r="C37" s="26" t="n">
        <v>0.07451</v>
      </c>
      <c r="D37" s="26" t="n">
        <f aca="false">Dilution!$B$11</f>
        <v>0.0745098039215686</v>
      </c>
      <c r="E37" s="22" t="n">
        <f aca="false">D37-C37</f>
        <v>-1.96078431380364E-007</v>
      </c>
      <c r="F37" s="28" t="str">
        <f aca="false">IF(ABS(E37)&lt;=0.0000005,"PASS","FAIL")</f>
        <v>PASS</v>
      </c>
    </row>
    <row r="38" customFormat="false" ht="15" hidden="false" customHeight="false" outlineLevel="0" collapsed="false">
      <c r="A38" s="7" t="s">
        <v>151</v>
      </c>
      <c r="B38" s="7" t="s">
        <v>123</v>
      </c>
      <c r="C38" s="16" t="n">
        <v>185846</v>
      </c>
      <c r="D38" s="16" t="n">
        <f aca="false">Dilution!$B$19</f>
        <v>185845.79976985</v>
      </c>
      <c r="E38" s="22" t="n">
        <f aca="false">D38-C38</f>
        <v>-0.200230149552226</v>
      </c>
      <c r="F38" s="28" t="str">
        <f aca="false">IF(ABS(E38)&lt;=0.5,"PASS","FAIL")</f>
        <v>PASS</v>
      </c>
    </row>
    <row r="39" customFormat="false" ht="15" hidden="false" customHeight="false" outlineLevel="0" collapsed="false">
      <c r="A39" s="7" t="s">
        <v>151</v>
      </c>
      <c r="B39" s="7" t="s">
        <v>77</v>
      </c>
      <c r="C39" s="26" t="n">
        <v>0.0196</v>
      </c>
      <c r="D39" s="26" t="n">
        <f aca="false">Dilution!$B$20</f>
        <v>0.0195627157652474</v>
      </c>
      <c r="E39" s="22" t="n">
        <f aca="false">D39-C39</f>
        <v>-3.7284234752584E-005</v>
      </c>
      <c r="F39" s="28" t="str">
        <f aca="false">IF(ABS(E39)&lt;=0.00005,"PASS","FAIL")</f>
        <v>PASS</v>
      </c>
    </row>
    <row r="40" customFormat="false" ht="15" hidden="false" customHeight="false" outlineLevel="0" collapsed="false">
      <c r="A40" s="7" t="s">
        <v>165</v>
      </c>
      <c r="B40" s="7" t="s">
        <v>166</v>
      </c>
      <c r="C40" s="29" t="n">
        <v>9314154.2</v>
      </c>
      <c r="D40" s="29" t="n">
        <f aca="false">Dilution!$B$17</f>
        <v>9314154.20023015</v>
      </c>
      <c r="E40" s="22" t="n">
        <f aca="false">D40-C40</f>
        <v>0.000230150297284126</v>
      </c>
      <c r="F40" s="28" t="str">
        <f aca="false">IF(ABS(E40)&lt;=0.005,"PASS","FAIL")</f>
        <v>PASS</v>
      </c>
    </row>
    <row r="41" customFormat="false" ht="15" hidden="false" customHeight="false" outlineLevel="0" collapsed="false">
      <c r="A41" s="7" t="s">
        <v>165</v>
      </c>
      <c r="B41" s="7" t="s">
        <v>167</v>
      </c>
      <c r="C41" s="30" t="n">
        <v>0.0731588</v>
      </c>
      <c r="D41" s="30" t="n">
        <f aca="false">Dilution!$B$18</f>
        <v>0.0731588271448715</v>
      </c>
      <c r="E41" s="22" t="n">
        <f aca="false">D41-C41</f>
        <v>2.71448714755929E-008</v>
      </c>
      <c r="F41" s="28" t="str">
        <f aca="false">IF(ABS(E41)&lt;=0.00000005,"PASS","FAIL")</f>
        <v>PASS</v>
      </c>
    </row>
    <row r="42" customFormat="false" ht="15" hidden="false" customHeight="false" outlineLevel="0" collapsed="false">
      <c r="A42" s="7" t="s">
        <v>165</v>
      </c>
      <c r="B42" s="7" t="s">
        <v>168</v>
      </c>
      <c r="C42" s="24" t="n">
        <v>0.1351</v>
      </c>
      <c r="D42" s="24" t="n">
        <f aca="false">Dilution!$B$21</f>
        <v>0.135097677669715</v>
      </c>
      <c r="E42" s="22" t="n">
        <f aca="false">D42-C42</f>
        <v>-2.322330284521E-006</v>
      </c>
      <c r="F42" s="28" t="str">
        <f aca="false">IF(ABS(E42)&lt;=0.00005,"PASS","FAIL")</f>
        <v>PASS</v>
      </c>
    </row>
    <row r="43" customFormat="false" ht="15" hidden="false" customHeight="false" outlineLevel="0" collapsed="false">
      <c r="A43" s="7" t="s">
        <v>136</v>
      </c>
      <c r="B43" s="7" t="s">
        <v>19</v>
      </c>
      <c r="C43" s="16" t="n">
        <v>118000000</v>
      </c>
      <c r="D43" s="16" t="n">
        <f aca="false">Dilution!$B$8</f>
        <v>118000000</v>
      </c>
      <c r="E43" s="22" t="n">
        <f aca="false">D43-C43</f>
        <v>0</v>
      </c>
      <c r="F43" s="28" t="str">
        <f aca="false">IF(ABS(E43)&lt;=0.5,"PASS","FAIL")</f>
        <v>PASS</v>
      </c>
    </row>
    <row r="44" customFormat="false" ht="15" hidden="false" customHeight="false" outlineLevel="0" collapsed="false">
      <c r="A44" s="7" t="s">
        <v>136</v>
      </c>
      <c r="B44" s="7" t="s">
        <v>20</v>
      </c>
      <c r="C44" s="16" t="n">
        <v>9500000</v>
      </c>
      <c r="D44" s="16" t="n">
        <f aca="false">Dilution!$B$9</f>
        <v>9500000</v>
      </c>
      <c r="E44" s="22" t="n">
        <f aca="false">D44-C44</f>
        <v>0</v>
      </c>
      <c r="F44" s="28" t="str">
        <f aca="false">IF(ABS(E44)&lt;=0.5,"PASS","FAIL")</f>
        <v>PASS</v>
      </c>
    </row>
    <row r="45" customFormat="false" ht="15" hidden="false" customHeight="false" outlineLevel="0" collapsed="false">
      <c r="A45" s="7" t="s">
        <v>136</v>
      </c>
      <c r="B45" s="7" t="s">
        <v>117</v>
      </c>
      <c r="C45" s="16" t="n">
        <v>127500000</v>
      </c>
      <c r="D45" s="16" t="n">
        <f aca="false">Dilution!$B$10</f>
        <v>127500000</v>
      </c>
      <c r="E45" s="22" t="n">
        <f aca="false">D45-C45</f>
        <v>0</v>
      </c>
      <c r="F45" s="28" t="str">
        <f aca="false">IF(ABS(E45)&lt;=0.5,"PASS","FAIL")</f>
        <v>PASS</v>
      </c>
    </row>
    <row r="46" customFormat="false" ht="15" hidden="false" customHeight="false" outlineLevel="0" collapsed="false">
      <c r="A46" s="7" t="s">
        <v>136</v>
      </c>
      <c r="B46" s="7" t="s">
        <v>21</v>
      </c>
      <c r="C46" s="14" t="n">
        <v>40.55</v>
      </c>
      <c r="D46" s="14" t="n">
        <f aca="false">PlacePrice</f>
        <v>40.55</v>
      </c>
      <c r="E46" s="22" t="n">
        <f aca="false">D46-C46</f>
        <v>0</v>
      </c>
      <c r="F46" s="28" t="str">
        <f aca="false">IF(ABS(E46)&lt;=0.00005,"PASS","FAIL")</f>
        <v>PASS</v>
      </c>
    </row>
    <row r="47" customFormat="false" ht="15" hidden="false" customHeight="false" outlineLevel="0" collapsed="false">
      <c r="A47" s="7" t="s">
        <v>165</v>
      </c>
      <c r="B47" s="7" t="s">
        <v>169</v>
      </c>
      <c r="C47" s="31" t="n">
        <v>23798889.32</v>
      </c>
      <c r="D47" s="31" t="n">
        <f aca="false">'The cost of the placement'!$D$33</f>
        <v>23798889.3192489</v>
      </c>
      <c r="E47" s="22" t="n">
        <f aca="false">D47-C47</f>
        <v>-0.000751130282878876</v>
      </c>
      <c r="F47" s="28" t="str">
        <f aca="false">IF(ABS(E47)&lt;=0.005,"PASS","FAIL")</f>
        <v>PASS</v>
      </c>
    </row>
    <row r="48" customFormat="false" ht="15" hidden="false" customHeight="false" outlineLevel="0" collapsed="false">
      <c r="A48" s="7" t="s">
        <v>165</v>
      </c>
      <c r="B48" s="7" t="s">
        <v>170</v>
      </c>
      <c r="C48" s="26" t="n">
        <v>0.8219465</v>
      </c>
      <c r="D48" s="26" t="n">
        <f aca="false">'The cost of the placement'!$E$33</f>
        <v>0.821946522665128</v>
      </c>
      <c r="E48" s="22" t="n">
        <f aca="false">D48-C48</f>
        <v>2.26651282186907E-008</v>
      </c>
      <c r="F48" s="28" t="str">
        <f aca="false">IF(ABS(E48)&lt;=0.00000005,"PASS","FAIL")</f>
        <v>PASS</v>
      </c>
    </row>
    <row r="49" customFormat="false" ht="15" hidden="false" customHeight="false" outlineLevel="0" collapsed="false">
      <c r="A49" s="7" t="s">
        <v>165</v>
      </c>
      <c r="B49" s="7" t="s">
        <v>171</v>
      </c>
      <c r="C49" s="31" t="n">
        <v>31398889.32</v>
      </c>
      <c r="D49" s="31" t="n">
        <f aca="false">'The cost of the placement'!$D$34</f>
        <v>31398889.3192489</v>
      </c>
      <c r="E49" s="22" t="n">
        <f aca="false">D49-C49</f>
        <v>-0.000751085579395294</v>
      </c>
      <c r="F49" s="28" t="str">
        <f aca="false">IF(ABS(E49)&lt;=0.005,"PASS","FAIL")</f>
        <v>PASS</v>
      </c>
    </row>
    <row r="50" customFormat="false" ht="15" hidden="false" customHeight="false" outlineLevel="0" collapsed="false">
      <c r="A50" s="7" t="s">
        <v>165</v>
      </c>
      <c r="B50" s="7" t="s">
        <v>172</v>
      </c>
      <c r="C50" s="26" t="n">
        <v>0.8650438</v>
      </c>
      <c r="D50" s="26" t="n">
        <f aca="false">'The cost of the placement'!$E$34</f>
        <v>0.865043793208245</v>
      </c>
      <c r="E50" s="22" t="n">
        <f aca="false">D50-C50</f>
        <v>-6.79175549134214E-009</v>
      </c>
      <c r="F50" s="28" t="str">
        <f aca="false">IF(ABS(E50)&lt;=0.00000005,"PASS","FAIL")</f>
        <v>PASS</v>
      </c>
    </row>
    <row r="51" customFormat="false" ht="15" hidden="false" customHeight="false" outlineLevel="0" collapsed="false">
      <c r="A51" s="7" t="s">
        <v>165</v>
      </c>
      <c r="B51" s="7" t="s">
        <v>173</v>
      </c>
      <c r="C51" s="31" t="n">
        <v>36338889.32</v>
      </c>
      <c r="D51" s="31" t="n">
        <f aca="false">'The cost of the placement'!$D$35</f>
        <v>36338889.3192489</v>
      </c>
      <c r="E51" s="22" t="n">
        <f aca="false">D51-C51</f>
        <v>-0.000751122832298279</v>
      </c>
      <c r="F51" s="28" t="str">
        <f aca="false">IF(ABS(E51)&lt;=0.005,"PASS","FAIL")</f>
        <v>PASS</v>
      </c>
    </row>
    <row r="52" customFormat="false" ht="15" hidden="false" customHeight="false" outlineLevel="0" collapsed="false">
      <c r="A52" s="7" t="s">
        <v>165</v>
      </c>
      <c r="B52" s="7" t="s">
        <v>174</v>
      </c>
      <c r="C52" s="26" t="n">
        <v>0.8833901</v>
      </c>
      <c r="D52" s="26" t="n">
        <f aca="false">'The cost of the placement'!$E$35</f>
        <v>0.883390079350736</v>
      </c>
      <c r="E52" s="22" t="n">
        <f aca="false">D52-C52</f>
        <v>-2.06492639653888E-008</v>
      </c>
      <c r="F52" s="28" t="str">
        <f aca="false">IF(ABS(E52)&lt;=0.00000005,"PASS","FAIL")</f>
        <v>PASS</v>
      </c>
    </row>
    <row r="53" customFormat="false" ht="15" hidden="false" customHeight="false" outlineLevel="0" collapsed="false">
      <c r="A53" s="7" t="s">
        <v>165</v>
      </c>
      <c r="B53" s="7" t="s">
        <v>175</v>
      </c>
      <c r="C53" s="31" t="n">
        <v>39473889.32</v>
      </c>
      <c r="D53" s="31" t="n">
        <f aca="false">'The cost of the placement'!$D$36</f>
        <v>39473889.3192489</v>
      </c>
      <c r="E53" s="22" t="n">
        <f aca="false">D53-C53</f>
        <v>-0.000751078128814697</v>
      </c>
      <c r="F53" s="28" t="str">
        <f aca="false">IF(ABS(E53)&lt;=0.005,"PASS","FAIL")</f>
        <v>PASS</v>
      </c>
    </row>
    <row r="54" customFormat="false" ht="15" hidden="false" customHeight="false" outlineLevel="0" collapsed="false">
      <c r="A54" s="7" t="s">
        <v>165</v>
      </c>
      <c r="B54" s="7" t="s">
        <v>176</v>
      </c>
      <c r="C54" s="26" t="n">
        <v>0.8926512</v>
      </c>
      <c r="D54" s="26" t="n">
        <f aca="false">'The cost of the placement'!$E$36</f>
        <v>0.892651191127152</v>
      </c>
      <c r="E54" s="22" t="n">
        <f aca="false">D54-C54</f>
        <v>-8.87284778983144E-009</v>
      </c>
      <c r="F54" s="28" t="str">
        <f aca="false">IF(ABS(E54)&lt;=0.00000005,"PASS","FAIL")</f>
        <v>PASS</v>
      </c>
    </row>
    <row r="55" customFormat="false" ht="15" hidden="false" customHeight="false" outlineLevel="0" collapsed="false">
      <c r="A55" s="7" t="s">
        <v>149</v>
      </c>
      <c r="B55" s="7" t="s">
        <v>177</v>
      </c>
      <c r="C55" s="24" t="n">
        <v>4.07</v>
      </c>
      <c r="D55" s="24" t="n">
        <f aca="false">'The cost of the placement'!$B$38</f>
        <v>4.06905055487054</v>
      </c>
      <c r="E55" s="22" t="n">
        <f aca="false">D55-C55</f>
        <v>-0.000949445129456272</v>
      </c>
      <c r="F55" s="28" t="str">
        <f aca="false">IF(ABS(E55)&lt;=0.005,"PASS","FAIL")</f>
        <v>PASS</v>
      </c>
    </row>
    <row r="56" customFormat="false" ht="15" hidden="false" customHeight="false" outlineLevel="0" collapsed="false">
      <c r="A56" s="7" t="s">
        <v>136</v>
      </c>
      <c r="B56" s="7" t="s">
        <v>53</v>
      </c>
      <c r="C56" s="19" t="n">
        <v>1</v>
      </c>
      <c r="D56" s="19" t="n">
        <f aca="false">'The four references'!$B$27</f>
        <v>1</v>
      </c>
      <c r="E56" s="22" t="n">
        <f aca="false">D56-C56</f>
        <v>0</v>
      </c>
      <c r="F56" s="28" t="str">
        <f aca="false">IF(ABS(E56)&lt;=0.000000000001,"PASS","FAIL")</f>
        <v>PASS</v>
      </c>
    </row>
    <row r="57" customFormat="false" ht="15" hidden="false" customHeight="false" outlineLevel="0" collapsed="false">
      <c r="A57" s="7" t="s">
        <v>160</v>
      </c>
      <c r="B57" s="7" t="s">
        <v>178</v>
      </c>
      <c r="C57" s="22" t="n">
        <v>0</v>
      </c>
      <c r="D57" s="22" t="n">
        <f aca="false">'The leak counterfactual'!$B$31</f>
        <v>-4.37721610069275E-008</v>
      </c>
      <c r="E57" s="22" t="n">
        <f aca="false">D57-C57</f>
        <v>-4.37721610069275E-008</v>
      </c>
      <c r="F57" s="28" t="str">
        <f aca="false">IF(ABS(E57)&lt;=0.000001,"PASS","FAIL")</f>
        <v>PASS</v>
      </c>
    </row>
    <row r="58" customFormat="false" ht="15" hidden="false" customHeight="false" outlineLevel="0" collapsed="false">
      <c r="A58" s="7" t="s">
        <v>160</v>
      </c>
      <c r="B58" s="7" t="s">
        <v>79</v>
      </c>
      <c r="C58" s="19" t="n">
        <v>1</v>
      </c>
      <c r="D58" s="19" t="n">
        <f aca="false">'The leak counterfactual'!$B$32</f>
        <v>1</v>
      </c>
      <c r="E58" s="22" t="n">
        <f aca="false">D58-C58</f>
        <v>0</v>
      </c>
      <c r="F58" s="28" t="str">
        <f aca="false">IF(ABS(E58)&lt;=0.000000000001,"PASS","FAIL")</f>
        <v>PASS</v>
      </c>
    </row>
    <row r="59" customFormat="false" ht="15" hidden="false" customHeight="false" outlineLevel="0" collapsed="false">
      <c r="A59" s="7" t="s">
        <v>151</v>
      </c>
      <c r="B59" s="7" t="s">
        <v>98</v>
      </c>
      <c r="C59" s="22" t="n">
        <v>0</v>
      </c>
      <c r="D59" s="22" t="n">
        <f aca="false">'The cost of the placement'!$B$25</f>
        <v>0</v>
      </c>
      <c r="E59" s="22" t="n">
        <f aca="false">D59-C59</f>
        <v>0</v>
      </c>
      <c r="F59" s="28" t="str">
        <f aca="false">IF(ABS(E59)&lt;=0.000001,"PASS","FAIL")</f>
        <v>PASS</v>
      </c>
    </row>
    <row r="60" customFormat="false" ht="15" hidden="false" customHeight="false" outlineLevel="0" collapsed="false">
      <c r="A60" s="7" t="s">
        <v>160</v>
      </c>
      <c r="B60" s="7" t="s">
        <v>179</v>
      </c>
      <c r="C60" s="27" t="n">
        <v>0</v>
      </c>
      <c r="D60" s="27" t="n">
        <f aca="false">Dilution!$B$22</f>
        <v>0</v>
      </c>
      <c r="E60" s="22" t="n">
        <f aca="false">D60-C60</f>
        <v>0</v>
      </c>
      <c r="F60" s="28" t="str">
        <f aca="false">IF(ABS(E60)&lt;=0.000001,"PASS","FAIL")</f>
        <v>PASS</v>
      </c>
    </row>
    <row r="61" customFormat="false" ht="15" hidden="false" customHeight="false" outlineLevel="0" collapsed="false">
      <c r="A61" s="7" t="s">
        <v>136</v>
      </c>
      <c r="B61" s="7" t="s">
        <v>55</v>
      </c>
      <c r="C61" s="26" t="n">
        <v>0.0481</v>
      </c>
      <c r="D61" s="26" t="n">
        <f aca="false">'The four references'!$B$29</f>
        <v>0.0481220657276996</v>
      </c>
      <c r="E61" s="22" t="n">
        <f aca="false">D61-C61</f>
        <v>2.20657276996314E-005</v>
      </c>
      <c r="F61" s="28" t="str">
        <f aca="false">IF(ABS(E61)&lt;=0.00005,"PASS","FAIL")</f>
        <v>PASS</v>
      </c>
    </row>
    <row r="62" customFormat="false" ht="15" hidden="false" customHeight="false" outlineLevel="0" collapsed="false">
      <c r="A62" s="7" t="s">
        <v>136</v>
      </c>
      <c r="B62" s="7" t="s">
        <v>54</v>
      </c>
      <c r="C62" s="14" t="n">
        <v>42.6</v>
      </c>
      <c r="D62" s="14" t="n">
        <f aca="false">'The four references'!$B$28</f>
        <v>42.6</v>
      </c>
      <c r="E62" s="22" t="n">
        <f aca="false">D62-C62</f>
        <v>0</v>
      </c>
      <c r="F62" s="28" t="str">
        <f aca="false">IF(ABS(E62)&lt;=0.00005,"PASS","FAIL")</f>
        <v>PASS</v>
      </c>
    </row>
    <row r="63" customFormat="false" ht="15" hidden="false" customHeight="false" outlineLevel="0" collapsed="false">
      <c r="A63" s="7" t="s">
        <v>160</v>
      </c>
      <c r="B63" s="7" t="s">
        <v>56</v>
      </c>
      <c r="C63" s="14" t="n">
        <v>43.45</v>
      </c>
      <c r="D63" s="14" t="n">
        <f aca="false">'The four references'!$B$30</f>
        <v>43.45</v>
      </c>
      <c r="E63" s="22" t="n">
        <f aca="false">D63-C63</f>
        <v>0</v>
      </c>
      <c r="F63" s="28" t="str">
        <f aca="false">IF(ABS(E63)&lt;=0.00005,"PASS","FAIL")</f>
        <v>PASS</v>
      </c>
    </row>
    <row r="64" customFormat="false" ht="15" hidden="false" customHeight="false" outlineLevel="0" collapsed="false">
      <c r="A64" s="7" t="s">
        <v>151</v>
      </c>
      <c r="B64" s="7" t="s">
        <v>108</v>
      </c>
      <c r="C64" s="32" t="n">
        <v>6.41</v>
      </c>
      <c r="D64" s="32" t="n">
        <f aca="false">'The cost of the placement'!$B$46</f>
        <v>6.40981110667294</v>
      </c>
      <c r="E64" s="22" t="n">
        <f aca="false">D64-C64</f>
        <v>-0.000188893327060846</v>
      </c>
      <c r="F64" s="28" t="str">
        <f aca="false">IF(ABS(E64)&lt;=0.005,"PASS","FAIL")</f>
        <v>PASS</v>
      </c>
    </row>
    <row r="65" customFormat="false" ht="15" hidden="false" customHeight="false" outlineLevel="0" collapsed="false">
      <c r="A65" s="7" t="s">
        <v>151</v>
      </c>
      <c r="B65" s="7" t="s">
        <v>109</v>
      </c>
      <c r="C65" s="32" t="n">
        <v>1.81</v>
      </c>
      <c r="D65" s="32" t="n">
        <f aca="false">'The cost of the placement'!$B$47</f>
        <v>1.81391378574478</v>
      </c>
      <c r="E65" s="22" t="n">
        <f aca="false">D65-C65</f>
        <v>0.00391378574478241</v>
      </c>
      <c r="F65" s="28" t="str">
        <f aca="false">IF(ABS(E65)&lt;=0.005,"PASS","FAIL")</f>
        <v>PASS</v>
      </c>
    </row>
    <row r="66" customFormat="false" ht="15" hidden="false" customHeight="false" outlineLevel="0" collapsed="false">
      <c r="A66" s="7" t="s">
        <v>160</v>
      </c>
      <c r="B66" s="7" t="s">
        <v>110</v>
      </c>
      <c r="C66" s="24" t="n">
        <v>0.0196</v>
      </c>
      <c r="D66" s="24" t="n">
        <f aca="false">'The cost of the placement'!$B$48</f>
        <v>0.0195627157652474</v>
      </c>
      <c r="E66" s="22" t="n">
        <f aca="false">D66-C66</f>
        <v>-3.72842347525562E-005</v>
      </c>
      <c r="F66" s="28" t="str">
        <f aca="false">IF(ABS(E66)&lt;=0.00005,"PASS","FAIL")</f>
        <v>PASS</v>
      </c>
    </row>
    <row r="67" customFormat="false" ht="15" hidden="false" customHeight="false" outlineLevel="0" collapsed="false">
      <c r="A67" s="7" t="s">
        <v>160</v>
      </c>
      <c r="B67" s="7" t="s">
        <v>180</v>
      </c>
      <c r="C67" s="33" t="n">
        <v>0</v>
      </c>
      <c r="D67" s="33" t="n">
        <f aca="false">'The cost of the placement'!$B$50</f>
        <v>0</v>
      </c>
      <c r="E67" s="22" t="n">
        <f aca="false">D67-C67</f>
        <v>0</v>
      </c>
      <c r="F67" s="28" t="str">
        <f aca="false">IF(ABS(E67)&lt;=0.000000000001,"PASS","FAIL")</f>
        <v>PASS</v>
      </c>
    </row>
    <row r="69" customFormat="false" ht="15" hidden="false" customHeight="false" outlineLevel="0" collapsed="false">
      <c r="B69" s="23" t="s">
        <v>181</v>
      </c>
      <c r="C69" s="23" t="n">
        <v>60</v>
      </c>
      <c r="D69" s="23" t="n">
        <f aca="false">COUNTIF($F$8:$F$67,"PASS")</f>
        <v>60</v>
      </c>
    </row>
    <row r="70" customFormat="false" ht="15" hidden="false" customHeight="false" outlineLevel="0" collapsed="false">
      <c r="B70" s="23" t="s">
        <v>182</v>
      </c>
      <c r="D70" s="23" t="n">
        <f aca="false">COUNTIF($F$8:$F$67,"FAIL")</f>
        <v>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2026-08-30T14:10:53Z</dcterms:created>
  <dc:creator>openpyxl</dc:creator>
  <dc:description/>
  <dc:language>en-US</dc:language>
  <cp:lastModifiedBy/>
  <dcterms:modified xsi:type="dcterms:W3CDTF">2026-09-24T19:41:55Z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