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ME" sheetId="1" state="visible" r:id="rId3"/>
    <sheet name="Inputs" sheetId="2" state="visible" r:id="rId4"/>
    <sheet name="Fleet" sheetId="3" state="visible" r:id="rId5"/>
    <sheet name="Merchant" sheetId="4" state="visible" r:id="rId6"/>
    <sheet name="Cases" sheetId="5" state="visible" r:id="rId7"/>
    <sheet name="Debt" sheetId="6" state="visible" r:id="rId8"/>
    <sheet name="Credit" sheetId="7" state="visible" r:id="rId9"/>
    <sheet name="Duration" sheetId="8" state="visible" r:id="rId10"/>
    <sheet name="Development" sheetId="9" state="visible" r:id="rId11"/>
    <sheet name="Check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<sst xmlns="http://schemas.openxmlformats.org/spreadsheetml/2006/main" count="351" uniqueCount="296">
  <si>
    <t xml:space="preserve">The Battery Storage Development Handbook: companion workbook</t>
  </si>
  <si>
    <t xml:space="preserve">Julian R. Sterling. Every figure in the book is reproduced here by a live formula.</t>
  </si>
  <si>
    <t xml:space="preserve">Blue type is an input (Inputs sheet, and the cost split on the Credit sheet). Black type is a formula. No macro, no circular reference, no external link.</t>
  </si>
  <si>
    <t xml:space="preserve">Valuation date 1 January 2027 (price paid that day); capital cost at the end of 2027; operating cash at the end of each year 2028 to 2047; credit at the end of 2028.</t>
  </si>
  <si>
    <t xml:space="preserve">Pre-tax. The investment credit is counted at its transfer price. Energy, efficiency and availability are AC at the point of interconnection.</t>
  </si>
  <si>
    <t xml:space="preserve">Harrow Creek Storage, Linden Grid Partners, Carrow Energy Transition Fund and Westmark Energy Supply are fictional; all case figures are illustrative teaching assumptions, not market data.</t>
  </si>
  <si>
    <t xml:space="preserve">Money amounts are in dollars; most are displayed in millions.</t>
  </si>
  <si>
    <t xml:space="preserve">Sheets</t>
  </si>
  <si>
    <t xml:space="preserve">Inputs: every assumption and the sensitivity switches of chapter 9.</t>
  </si>
  <si>
    <t xml:space="preserve">Fleet: usable energy by year, degradation of each block, augmentation and its cost (chapters 2, 10, 11).</t>
  </si>
  <si>
    <t xml:space="preserve">Merchant: prices, energy, arbitrage, accreditation, capacity and ancillary revenue (chapter 7).</t>
  </si>
  <si>
    <t xml:space="preserve">Cases: cases A (merchant), B (toll) and C (floor): revenue, EBITDA, cash flow, development value, operating values, IRR (chapters 8, 11, 15).</t>
  </si>
  <si>
    <t xml:space="preserve">Debt: sculpted debt, credit bridge, equity flows and IRR; lender haircut for case A (chapters 9, 13).</t>
  </si>
  <si>
    <t xml:space="preserve">Credit: capital cost, eligible basis, credit at 30/40/50 percent, material assistance cost ratio of three supply options (chapter 12).</t>
  </si>
  <si>
    <t xml:space="preserve">Duration: two-, four- and eight-hour designs in year one (chapter 3).</t>
  </si>
  <si>
    <t xml:space="preserve">Development: the developer's return and the value of the project at each stage (chapter 15).</t>
  </si>
  <si>
    <t xml:space="preserve">Checks: figures printed in the book beside the formulas that produce them, and integrity tests.</t>
  </si>
  <si>
    <t xml:space="preserve">Sensitivities: change one switch on Inputs, read the development value on Cases, reset. Break-even toll: Goal Seek on Cases (set case B development value minus case A development value to 0 by changing the toll).</t>
  </si>
  <si>
    <t xml:space="preserve">Provided as is, without warranty of any kind. Not investment, legal, tax, accounting or engineering advice.</t>
  </si>
  <si>
    <t xml:space="preserve">Inputs (blue = change me)</t>
  </si>
  <si>
    <t xml:space="preserve">The asset</t>
  </si>
  <si>
    <t xml:space="preserve">Power at the point of interconnection (MW)</t>
  </si>
  <si>
    <t xml:space="preserve">Contracted energy at the point of interconnection (MWh)</t>
  </si>
  <si>
    <t xml:space="preserve">Energy installed at day one (MWh)</t>
  </si>
  <si>
    <t xml:space="preserve">Round-trip efficiency (AC)</t>
  </si>
  <si>
    <t xml:space="preserve">Availability, base and contract guarantee</t>
  </si>
  <si>
    <t xml:space="preserve">Full cycles a year</t>
  </si>
  <si>
    <t xml:space="preserve">Cycles allowed by the warranty</t>
  </si>
  <si>
    <t xml:space="preserve">Retention loss in a block's first year</t>
  </si>
  <si>
    <t xml:space="preserve">Further retention loss per year of age (points)</t>
  </si>
  <si>
    <t xml:space="preserve">Augmentation restores energy to (MWh)</t>
  </si>
  <si>
    <t xml:space="preserve">Augmentation step (MWh)</t>
  </si>
  <si>
    <t xml:space="preserve">Capital cost (2027 dollars)</t>
  </si>
  <si>
    <t xml:space="preserve">DC block ($/kWh of energy installed)</t>
  </si>
  <si>
    <t xml:space="preserve">Power conversion ($/kW)</t>
  </si>
  <si>
    <t xml:space="preserve">Balance of plant and installation ($/kWh installed)</t>
  </si>
  <si>
    <t xml:space="preserve">Contingency on the EPC price</t>
  </si>
  <si>
    <t xml:space="preserve">Interconnection ($)</t>
  </si>
  <si>
    <t xml:space="preserve">Owner's costs ($)</t>
  </si>
  <si>
    <t xml:space="preserve">Price paid to the developer at NTP, 1 January 2027 ($)</t>
  </si>
  <si>
    <t xml:space="preserve">Augmentation, installed $/kWh in 2027 dollars</t>
  </si>
  <si>
    <t xml:space="preserve">Augmentation price change a year (nominal decline)</t>
  </si>
  <si>
    <t xml:space="preserve">Net decommissioning, $/kWh installed, 2027 dollars</t>
  </si>
  <si>
    <t xml:space="preserve">Investment credit</t>
  </si>
  <si>
    <t xml:space="preserve">Credit rate used (30% + 10 points energy community)</t>
  </si>
  <si>
    <t xml:space="preserve">Transfer price per dollar of credit</t>
  </si>
  <si>
    <t xml:space="preserve">Operating cost (2028 dollars)</t>
  </si>
  <si>
    <t xml:space="preserve">LTSA ($/kW-year)</t>
  </si>
  <si>
    <t xml:space="preserve">Asset management ($)</t>
  </si>
  <si>
    <t xml:space="preserve">Insurance (share of capital cost)</t>
  </si>
  <si>
    <t xml:space="preserve">Property tax ($)</t>
  </si>
  <si>
    <t xml:space="preserve">Land lease ($)</t>
  </si>
  <si>
    <t xml:space="preserve">Auxiliary power ($)</t>
  </si>
  <si>
    <t xml:space="preserve">Operating cost escalation</t>
  </si>
  <si>
    <t xml:space="preserve">Merchant revenue (2028 values)</t>
  </si>
  <si>
    <t xml:space="preserve">Realized discharge price ($/MWh)</t>
  </si>
  <si>
    <t xml:space="preserve">Realized charging price ($/MWh)</t>
  </si>
  <si>
    <t xml:space="preserve">Price inflation</t>
  </si>
  <si>
    <t xml:space="preserve">Real erosion of the discharge price a year</t>
  </si>
  <si>
    <t xml:space="preserve">Years of erosion (from 2029)</t>
  </si>
  <si>
    <t xml:space="preserve">Capacity price ($/kW-month, accredited)</t>
  </si>
  <si>
    <t xml:space="preserve">Capacity price escalation</t>
  </si>
  <si>
    <t xml:space="preserve">Accreditation in 2028</t>
  </si>
  <si>
    <t xml:space="preserve">Accreditation loss a year (points)</t>
  </si>
  <si>
    <t xml:space="preserve">Accreditation floor</t>
  </si>
  <si>
    <t xml:space="preserve">Ancillary services ($/kW-year)</t>
  </si>
  <si>
    <t xml:space="preserve">Ancillary decline a year</t>
  </si>
  <si>
    <t xml:space="preserve">Ancillary floor ($/kW-year)</t>
  </si>
  <si>
    <t xml:space="preserve">Contracts</t>
  </si>
  <si>
    <t xml:space="preserve">Toll ($/kW-month, flat nominal)</t>
  </si>
  <si>
    <t xml:space="preserve">Toll term (years from 2028)</t>
  </si>
  <si>
    <t xml:space="preserve">Tolled MW</t>
  </si>
  <si>
    <t xml:space="preserve">Revenue floor ($ a year)</t>
  </si>
  <si>
    <t xml:space="preserve">Floor term (years from 2028)</t>
  </si>
  <si>
    <t xml:space="preserve">Provider's share of revenue above the floor</t>
  </si>
  <si>
    <t xml:space="preserve">Discount rates (pre-tax)</t>
  </si>
  <si>
    <t xml:space="preserve">Contracted revenue, credit and costs</t>
  </si>
  <si>
    <t xml:space="preserve">Merchant revenue</t>
  </si>
  <si>
    <t xml:space="preserve">Debt</t>
  </si>
  <si>
    <t xml:space="preserve">Interest rate</t>
  </si>
  <si>
    <t xml:space="preserve">Coverage ratio, contracted cash flow</t>
  </si>
  <si>
    <t xml:space="preserve">Coverage ratio, merchant cash flow</t>
  </si>
  <si>
    <t xml:space="preserve">Tenor, contracted cases (years)</t>
  </si>
  <si>
    <t xml:space="preserve">Tenor, merchant case (years)</t>
  </si>
  <si>
    <t xml:space="preserve">Credit bridge interest</t>
  </si>
  <si>
    <t xml:space="preserve">Lender's haircut on merchant revenue (alternative sizing, case A)</t>
  </si>
  <si>
    <t xml:space="preserve">Coverage ratio with the haircut</t>
  </si>
  <si>
    <t xml:space="preserve">Sensitivity switches (chapter 9): reset after use</t>
  </si>
  <si>
    <t xml:space="preserve">Change in the price spread</t>
  </si>
  <si>
    <t xml:space="preserve">Change in the capacity price</t>
  </si>
  <si>
    <t xml:space="preserve">Change in capital cost (DC block, PCS, BOP, interconnection)</t>
  </si>
  <si>
    <t xml:space="preserve">Extra degradation a year (points)</t>
  </si>
  <si>
    <t xml:space="preserve">Augmentation on (1) or off (0)</t>
  </si>
  <si>
    <t xml:space="preserve">Actual availability</t>
  </si>
  <si>
    <t xml:space="preserve">Usable energy, degradation and augmentation (chapters 2, 10, 11)</t>
  </si>
  <si>
    <t xml:space="preserve">Year</t>
  </si>
  <si>
    <t xml:space="preserve">t (years from 2028)</t>
  </si>
  <si>
    <t xml:space="preserve">Vintage (year added): energy added (MWh) in column C, contribution by year (MWh)</t>
  </si>
  <si>
    <t xml:space="preserve">Blocks added in 2028 (day one)</t>
  </si>
  <si>
    <t xml:space="preserve">Blocks added in 2029</t>
  </si>
  <si>
    <t xml:space="preserve">Blocks added in 2030</t>
  </si>
  <si>
    <t xml:space="preserve">Blocks added in 2031</t>
  </si>
  <si>
    <t xml:space="preserve">Blocks added in 2032</t>
  </si>
  <si>
    <t xml:space="preserve">Blocks added in 2033</t>
  </si>
  <si>
    <t xml:space="preserve">Blocks added in 2034</t>
  </si>
  <si>
    <t xml:space="preserve">Blocks added in 2035</t>
  </si>
  <si>
    <t xml:space="preserve">Blocks added in 2036</t>
  </si>
  <si>
    <t xml:space="preserve">Blocks added in 2037</t>
  </si>
  <si>
    <t xml:space="preserve">Blocks added in 2038</t>
  </si>
  <si>
    <t xml:space="preserve">Blocks added in 2039</t>
  </si>
  <si>
    <t xml:space="preserve">Blocks added in 2040</t>
  </si>
  <si>
    <t xml:space="preserve">Blocks added in 2041</t>
  </si>
  <si>
    <t xml:space="preserve">Blocks added in 2042</t>
  </si>
  <si>
    <t xml:space="preserve">Blocks added in 2043</t>
  </si>
  <si>
    <t xml:space="preserve">Blocks added in 2044</t>
  </si>
  <si>
    <t xml:space="preserve">Blocks added in 2045</t>
  </si>
  <si>
    <t xml:space="preserve">Blocks added in 2046</t>
  </si>
  <si>
    <t xml:space="preserve">Blocks added in 2047</t>
  </si>
  <si>
    <t xml:space="preserve">Energy before augmentation (MWh)</t>
  </si>
  <si>
    <t xml:space="preserve">Augmentation added (MWh)</t>
  </si>
  <si>
    <t xml:space="preserve">Usable energy, average of the year (MWh)</t>
  </si>
  <si>
    <t xml:space="preserve">Augmentation price ($/kWh)</t>
  </si>
  <si>
    <t xml:space="preserve">Augmentation cost ($)</t>
  </si>
  <si>
    <t xml:space="preserve">Total augmentation (MWh)</t>
  </si>
  <si>
    <t xml:space="preserve">Total augmentation cost ($, nominal)</t>
  </si>
  <si>
    <t xml:space="preserve">Level augmentation reserve ($ a year)</t>
  </si>
  <si>
    <t xml:space="preserve">Lowest usable energy (MWh)</t>
  </si>
  <si>
    <t xml:space="preserve">Merchant revenue (chapter 7)</t>
  </si>
  <si>
    <t xml:space="preserve">t</t>
  </si>
  <si>
    <t xml:space="preserve">Real factor of the discharge price</t>
  </si>
  <si>
    <t xml:space="preserve">Discharge price before the spread switch ($/MWh)</t>
  </si>
  <si>
    <t xml:space="preserve">Charging price ($/MWh)</t>
  </si>
  <si>
    <t xml:space="preserve">Discharge price used ($/MWh)</t>
  </si>
  <si>
    <t xml:space="preserve">Energy per cycle (MWh, capped at the contract)</t>
  </si>
  <si>
    <t xml:space="preserve">Energy discharged (MWh)</t>
  </si>
  <si>
    <t xml:space="preserve">Energy charged (MWh)</t>
  </si>
  <si>
    <t xml:space="preserve">Arbitrage ($)</t>
  </si>
  <si>
    <t xml:space="preserve">Accreditation</t>
  </si>
  <si>
    <t xml:space="preserve">Capacity ($)</t>
  </si>
  <si>
    <t xml:space="preserve">Ancillary services ($)</t>
  </si>
  <si>
    <t xml:space="preserve">Merchant revenue ($)</t>
  </si>
  <si>
    <t xml:space="preserve">Cases A (merchant), B (toll) and C (floor) (chapters 8, 11, 15)</t>
  </si>
  <si>
    <t xml:space="preserve">Operating cost ($)</t>
  </si>
  <si>
    <t xml:space="preserve">Discount factor to 1 Jan 2027, contracted rate</t>
  </si>
  <si>
    <t xml:space="preserve">Discount factor to 1 Jan 2027, merchant rate</t>
  </si>
  <si>
    <t xml:space="preserve">Discount factor to 1 Jan 2028, contracted rate</t>
  </si>
  <si>
    <t xml:space="preserve">Discount factor to 1 Jan 2028, merchant rate</t>
  </si>
  <si>
    <t xml:space="preserve">Discount factor to 1 Jan 2033, contracted rate</t>
  </si>
  <si>
    <t xml:space="preserve">Discount factor to 1 Jan 2033, merchant rate</t>
  </si>
  <si>
    <t xml:space="preserve">Decommissioning at the end of 2047 ($)</t>
  </si>
  <si>
    <t xml:space="preserve">Case A: fully merchant</t>
  </si>
  <si>
    <t xml:space="preserve">Contracted revenue ($)</t>
  </si>
  <si>
    <t xml:space="preserve">Revenue ($)</t>
  </si>
  <si>
    <t xml:space="preserve">EBITDA ($)</t>
  </si>
  <si>
    <t xml:space="preserve">Augmentation ($)</t>
  </si>
  <si>
    <t xml:space="preserve">Cash flow after augmentation ($)</t>
  </si>
  <si>
    <t xml:space="preserve">Value of the credit and the flows at 1 January 2027 ($)</t>
  </si>
  <si>
    <t xml:space="preserve">Development value at 1 January 2027 (less the capital cost) ($)</t>
  </si>
  <si>
    <t xml:space="preserve">Operating value at 1 January 2028, credit excluded ($)</t>
  </si>
  <si>
    <t xml:space="preserve">Value on 1 January 2033 ($)</t>
  </si>
  <si>
    <t xml:space="preserve">Unlevered pre-tax IRR at total cost (price and capital cost)</t>
  </si>
  <si>
    <t xml:space="preserve">Unlevered cash flow by period k (k = years after 1 January 2027): 0 = 2027 start, 1 = end 2027, 2 = end 2028 ... 21 = end 2047</t>
  </si>
  <si>
    <t xml:space="preserve">Case B: ten-year toll, then merchant</t>
  </si>
  <si>
    <t xml:space="preserve">Case C: ten-year revenue floor, then merchant</t>
  </si>
  <si>
    <t xml:space="preserve">Toll minus case A development value (Goal Seek this to 0 by changing the toll on Inputs)</t>
  </si>
  <si>
    <t xml:space="preserve">Debt, credit bridge and equity (chapters 9 and 13)</t>
  </si>
  <si>
    <t xml:space="preserve">Case A: merchant at the merchant ratio</t>
  </si>
  <si>
    <t xml:space="preserve">CFADS within the tenor ($)</t>
  </si>
  <si>
    <t xml:space="preserve">Debt service ($)</t>
  </si>
  <si>
    <t xml:space="preserve">Term debt drawn at the end of 2027 ($)</t>
  </si>
  <si>
    <t xml:space="preserve">Equity in 2027: price plus capital cost less debt and bridge ($)</t>
  </si>
  <si>
    <t xml:space="preserve">Pre-tax equity IRR</t>
  </si>
  <si>
    <t xml:space="preserve">Equity cash flow by period k (0 = 1 Jan 2027, 1 = end 2027, 2 = end 2028 ...)</t>
  </si>
  <si>
    <t xml:space="preserve">Case B: toll at the contracted ratio</t>
  </si>
  <si>
    <t xml:space="preserve">Case C: floor at the contracted ratio, upside at the merchant ratio</t>
  </si>
  <si>
    <t xml:space="preserve">Case A, lender's haircut: merchant revenue x haircut at the haircut ratio</t>
  </si>
  <si>
    <t xml:space="preserve">Capital cost, investment credit and material assistance (chapters 2 and 12)</t>
  </si>
  <si>
    <t xml:space="preserve">DC block</t>
  </si>
  <si>
    <t xml:space="preserve">Power conversion</t>
  </si>
  <si>
    <t xml:space="preserve">Balance of plant and installation</t>
  </si>
  <si>
    <t xml:space="preserve">EPC price</t>
  </si>
  <si>
    <t xml:space="preserve">Contingency</t>
  </si>
  <si>
    <t xml:space="preserve">Interconnection</t>
  </si>
  <si>
    <t xml:space="preserve">Owner's costs</t>
  </si>
  <si>
    <t xml:space="preserve">Total capital cost</t>
  </si>
  <si>
    <t xml:space="preserve">Per kW</t>
  </si>
  <si>
    <t xml:space="preserve">Per kWh of contracted energy</t>
  </si>
  <si>
    <t xml:space="preserve">Eligible basis (EPC and contingency)</t>
  </si>
  <si>
    <t xml:space="preserve">Credit at the rate used</t>
  </si>
  <si>
    <t xml:space="preserve">Credit cash at the transfer price (end of 2028)</t>
  </si>
  <si>
    <t xml:space="preserve">Credit at 30 percent</t>
  </si>
  <si>
    <t xml:space="preserve">Credit at 50 percent</t>
  </si>
  <si>
    <t xml:space="preserve">Cash at 30 percent</t>
  </si>
  <si>
    <t xml:space="preserve">Cash at 50 percent</t>
  </si>
  <si>
    <t xml:space="preserve">Credit bridge drawn at the end of 2027</t>
  </si>
  <si>
    <t xml:space="preserve">Material assistance cost ratio: illustrative split of direct costs (not the Treasury table)</t>
  </si>
  <si>
    <t xml:space="preserve">Share</t>
  </si>
  <si>
    <t xml:space="preserve">Option 1</t>
  </si>
  <si>
    <t xml:space="preserve">Option 2</t>
  </si>
  <si>
    <t xml:space="preserve">Option 3</t>
  </si>
  <si>
    <t xml:space="preserve">1 = from a prohibited foreign entity</t>
  </si>
  <si>
    <t xml:space="preserve">cells</t>
  </si>
  <si>
    <t xml:space="preserve">modules, racks and battery management</t>
  </si>
  <si>
    <t xml:space="preserve">enclosure, thermal and fire systems</t>
  </si>
  <si>
    <t xml:space="preserve">power conversion</t>
  </si>
  <si>
    <t xml:space="preserve">medium-voltage transformers and switchgear</t>
  </si>
  <si>
    <t xml:space="preserve">controls and energy management</t>
  </si>
  <si>
    <t xml:space="preserve">other manufactured products</t>
  </si>
  <si>
    <t xml:space="preserve">Total of the split (must be 100%)</t>
  </si>
  <si>
    <t xml:space="preserve">Material assistance cost ratio</t>
  </si>
  <si>
    <t xml:space="preserve">Passes the threshold for construction beginning in 2026</t>
  </si>
  <si>
    <t xml:space="preserve">Passes the threshold for construction beginning in 2027</t>
  </si>
  <si>
    <t xml:space="preserve">Passes the threshold for construction beginning in 2028</t>
  </si>
  <si>
    <t xml:space="preserve">Passes the threshold for construction beginning in 2029</t>
  </si>
  <si>
    <t xml:space="preserve">Passes the threshold for construction beginning in 2030 and after</t>
  </si>
  <si>
    <t xml:space="preserve">DC block price of each option ($/kWh): enter it on Inputs with the credit rate (0 if it fails) to read its development value</t>
  </si>
  <si>
    <t xml:space="preserve">Two-, four- and eight-hour designs at 200 MW, year one (chapter 3); base availability, no sensitivity switch</t>
  </si>
  <si>
    <t xml:space="preserve">Hours</t>
  </si>
  <si>
    <t xml:space="preserve">Energy (MWh)</t>
  </si>
  <si>
    <t xml:space="preserve">Energy installed (MWh, 5% overbuild)</t>
  </si>
  <si>
    <t xml:space="preserve">Capital cost ($)</t>
  </si>
  <si>
    <t xml:space="preserve">Per kWh</t>
  </si>
  <si>
    <t xml:space="preserve">Ancillary ($)</t>
  </si>
  <si>
    <t xml:space="preserve">Per kW-year</t>
  </si>
  <si>
    <t xml:space="preserve">First-year revenue / capital cost</t>
  </si>
  <si>
    <t xml:space="preserve">The developer's return and the value of the project by stage (chapter 15)</t>
  </si>
  <si>
    <t xml:space="preserve">Linden: spending at the start of each year and sale on 1 January 2027 ($)</t>
  </si>
  <si>
    <t xml:space="preserve">Spent</t>
  </si>
  <si>
    <t xml:space="preserve">Multiple</t>
  </si>
  <si>
    <t xml:space="preserve">IRR</t>
  </si>
  <si>
    <t xml:space="preserve">Value to an outside buyer at each stage: probability x NTP price / (1+r)^n, less remaining spend / (1+r)^(n/2)</t>
  </si>
  <si>
    <t xml:space="preserve">Discount rate for development risk</t>
  </si>
  <si>
    <t xml:space="preserve">Probability</t>
  </si>
  <si>
    <t xml:space="preserve">Remaining spend</t>
  </si>
  <si>
    <t xml:space="preserve">Value</t>
  </si>
  <si>
    <t xml:space="preserve">site control and interconnection request filed</t>
  </si>
  <si>
    <t xml:space="preserve">cluster study results received</t>
  </si>
  <si>
    <t xml:space="preserve">facilities study complete, interconnection agreement and permits in progress</t>
  </si>
  <si>
    <t xml:space="preserve">notice to proceed: permits, interconnection and supply contracts in hand</t>
  </si>
  <si>
    <t xml:space="preserve">Checks: figures printed in the book against the live formulas (valid with the default inputs)</t>
  </si>
  <si>
    <t xml:space="preserve">Result (all printed figures, default inputs):</t>
  </si>
  <si>
    <t xml:space="preserve">Figure</t>
  </si>
  <si>
    <t xml:space="preserve">Printed</t>
  </si>
  <si>
    <t xml:space="preserve">Formula</t>
  </si>
  <si>
    <t xml:space="preserve">Tolerance</t>
  </si>
  <si>
    <t xml:space="preserve">OK?</t>
  </si>
  <si>
    <t xml:space="preserve">Total capital cost ($ million)</t>
  </si>
  <si>
    <t xml:space="preserve">Credit cash ($ million)</t>
  </si>
  <si>
    <t xml:space="preserve">Eligible basis ($ million)</t>
  </si>
  <si>
    <t xml:space="preserve">Credit bridge ($ million)</t>
  </si>
  <si>
    <t xml:space="preserve">Augmentation total ($ million)</t>
  </si>
  <si>
    <t xml:space="preserve">Augmentation total (MWh)</t>
  </si>
  <si>
    <t xml:space="preserve">Level augmentation reserve ($ million)</t>
  </si>
  <si>
    <t xml:space="preserve">2028 arbitrage ($ million)</t>
  </si>
  <si>
    <t xml:space="preserve">2028 capacity ($ million)</t>
  </si>
  <si>
    <t xml:space="preserve">2028 merchant revenue ($ million)</t>
  </si>
  <si>
    <t xml:space="preserve">2037 merchant revenue ($ million)</t>
  </si>
  <si>
    <t xml:space="preserve">2028 operating cost ($ million)</t>
  </si>
  <si>
    <t xml:space="preserve">Case A development value ($ million)</t>
  </si>
  <si>
    <t xml:space="preserve">Case A operating value at 1 January 2028 ($ million)</t>
  </si>
  <si>
    <t xml:space="preserve">Case A unlevered IRR</t>
  </si>
  <si>
    <t xml:space="preserve">Case B development value ($ million)</t>
  </si>
  <si>
    <t xml:space="preserve">Case B operating value at 1 January 2028 ($ million)</t>
  </si>
  <si>
    <t xml:space="preserve">Case B unlevered IRR</t>
  </si>
  <si>
    <t xml:space="preserve">Case C development value ($ million)</t>
  </si>
  <si>
    <t xml:space="preserve">Case C operating value at 1 January 2028 ($ million)</t>
  </si>
  <si>
    <t xml:space="preserve">Case C unlevered IRR</t>
  </si>
  <si>
    <t xml:space="preserve">Case A term debt ($ million)</t>
  </si>
  <si>
    <t xml:space="preserve">Case A equity in 2027 ($ million)</t>
  </si>
  <si>
    <t xml:space="preserve">Case A equity IRR</t>
  </si>
  <si>
    <t xml:space="preserve">Case B term debt ($ million)</t>
  </si>
  <si>
    <t xml:space="preserve">Case B equity in 2027 ($ million)</t>
  </si>
  <si>
    <t xml:space="preserve">Case B equity IRR</t>
  </si>
  <si>
    <t xml:space="preserve">Case C term debt ($ million)</t>
  </si>
  <si>
    <t xml:space="preserve">Case C equity in 2027 ($ million)</t>
  </si>
  <si>
    <t xml:space="preserve">Case C equity IRR</t>
  </si>
  <si>
    <t xml:space="preserve">Case A debt with the haircut ($ million)</t>
  </si>
  <si>
    <t xml:space="preserve">Case B first-year debt service ($ million)</t>
  </si>
  <si>
    <t xml:space="preserve">Case A value on 1 January 2033 ($ million)</t>
  </si>
  <si>
    <t xml:space="preserve">Case B value on 1 January 2033 ($ million)</t>
  </si>
  <si>
    <t xml:space="preserve">Material assistance ratio, option 1</t>
  </si>
  <si>
    <t xml:space="preserve">Material assistance ratio, option 2</t>
  </si>
  <si>
    <t xml:space="preserve">Material assistance ratio, option 3</t>
  </si>
  <si>
    <t xml:space="preserve">Two-hour first-year revenue / capital cost</t>
  </si>
  <si>
    <t xml:space="preserve">Four-hour first-year revenue / capital cost</t>
  </si>
  <si>
    <t xml:space="preserve">Eight-hour first-year revenue / capital cost</t>
  </si>
  <si>
    <t xml:space="preserve">Developer multiple</t>
  </si>
  <si>
    <t xml:space="preserve">Developer IRR</t>
  </si>
  <si>
    <t xml:space="preserve">Stage value 1 January 2026 ($ million)</t>
  </si>
  <si>
    <t xml:space="preserve">Integrity tests (valid with any inputs)</t>
  </si>
  <si>
    <t xml:space="preserve">Usable energy never below the contract with augmentation on</t>
  </si>
  <si>
    <t xml:space="preserve">Cycles within the warranty</t>
  </si>
  <si>
    <t xml:space="preserve">Cost split adds up to 100%</t>
  </si>
  <si>
    <t xml:space="preserve">Capacity revenue on accredited MW (2028 capacity = price x 12 x MW x accreditation x energy and availability factors)</t>
  </si>
  <si>
    <t xml:space="preserve">Revenue = contracted + merchant, every case and year</t>
  </si>
  <si>
    <t xml:space="preserve">Merchant revenue discounted at the merchant rate, contracted at the contracted rate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</si>
</sst>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"/>
    <numFmt numFmtId="166" formatCode="0.0%"/>
    <numFmt numFmtId="167" formatCode="#,##0.00"/>
    <numFmt numFmtId="168" formatCode="0.00"/>
    <numFmt numFmtId="169" formatCode="0.00%"/>
    <numFmt numFmtId="170" formatCode="0"/>
    <numFmt numFmtId="171" formatCode="#,##0.0"/>
    <numFmt numFmtId="172" formatCode="#,##0.00,,"/>
    <numFmt numFmtId="173" formatCode="0.0000"/>
    <numFmt numFmtId="174" formatCode="0%"/>
    <numFmt numFmtId="175" formatCode="#,##0.00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293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1F4E9E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8ECEF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C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9E"/>
      <rgbColor rgb="FF1F29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5"/>
  </cols>
  <sheetData>
    <row r="2" customFormat="false" ht="16.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2"/>
    </row>
    <row r="5" customFormat="false" ht="15" hidden="false" customHeight="false" outlineLevel="0" collapsed="false">
      <c r="B5" s="2" t="s">
        <v>2</v>
      </c>
    </row>
    <row r="6" customFormat="false" ht="15" hidden="false" customHeight="false" outlineLevel="0" collapsed="false">
      <c r="B6" s="2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 t="s">
        <v>5</v>
      </c>
    </row>
    <row r="9" customFormat="false" ht="1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/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2" t="s">
        <v>8</v>
      </c>
    </row>
    <row r="13" customFormat="false" ht="15" hidden="false" customHeight="false" outlineLevel="0" collapsed="false">
      <c r="B13" s="2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false" outlineLevel="0" collapsed="false">
      <c r="B15" s="2" t="s">
        <v>11</v>
      </c>
    </row>
    <row r="16" customFormat="false" ht="15" hidden="false" customHeight="false" outlineLevel="0" collapsed="false">
      <c r="B16" s="2" t="s">
        <v>12</v>
      </c>
    </row>
    <row r="17" customFormat="false" ht="15" hidden="false" customHeight="false" outlineLevel="0" collapsed="false">
      <c r="B17" s="2" t="s">
        <v>13</v>
      </c>
    </row>
    <row r="18" customFormat="false" ht="15" hidden="false" customHeight="false" outlineLevel="0" collapsed="false">
      <c r="B18" s="2" t="s">
        <v>14</v>
      </c>
    </row>
    <row r="19" customFormat="false" ht="15" hidden="false" customHeight="false" outlineLevel="0" collapsed="false">
      <c r="B19" s="2" t="s">
        <v>15</v>
      </c>
    </row>
    <row r="20" customFormat="false" ht="15" hidden="false" customHeight="false" outlineLevel="0" collapsed="false">
      <c r="B20" s="2" t="s">
        <v>16</v>
      </c>
    </row>
    <row r="21" customFormat="false" ht="15" hidden="false" customHeight="false" outlineLevel="0" collapsed="false">
      <c r="B21" s="2"/>
    </row>
    <row r="22" customFormat="false" ht="15" hidden="false" customHeight="false" outlineLevel="0" collapsed="false">
      <c r="B22" s="2" t="s">
        <v>17</v>
      </c>
    </row>
    <row r="23" customFormat="false" ht="15" hidden="false" customHeight="false" outlineLevel="0" collapsed="false">
      <c r="B23" s="2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8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4"/>
    <col collapsed="false" customWidth="true" hidden="false" outlineLevel="0" max="3" min="3" style="0" width="16"/>
    <col collapsed="false" customWidth="true" hidden="false" outlineLevel="0" max="4" min="4" style="0" width="44"/>
  </cols>
  <sheetData>
    <row r="2" customFormat="false" ht="16.15" hidden="false" customHeight="false" outlineLevel="0" collapsed="false">
      <c r="B2" s="1" t="s">
        <v>19</v>
      </c>
    </row>
    <row r="5" customFormat="false" ht="15" hidden="false" customHeight="false" outlineLevel="0" collapsed="false">
      <c r="B5" s="3" t="s">
        <v>20</v>
      </c>
    </row>
    <row r="6" customFormat="false" ht="15" hidden="false" customHeight="false" outlineLevel="0" collapsed="false">
      <c r="B6" s="2" t="s">
        <v>21</v>
      </c>
      <c r="C6" s="4" t="n">
        <v>200</v>
      </c>
    </row>
    <row r="7" customFormat="false" ht="15" hidden="false" customHeight="false" outlineLevel="0" collapsed="false">
      <c r="B7" s="2" t="s">
        <v>22</v>
      </c>
      <c r="C7" s="4" t="n">
        <v>800</v>
      </c>
    </row>
    <row r="8" customFormat="false" ht="15" hidden="false" customHeight="false" outlineLevel="0" collapsed="false">
      <c r="B8" s="2" t="s">
        <v>23</v>
      </c>
      <c r="C8" s="4" t="n">
        <v>840</v>
      </c>
    </row>
    <row r="9" customFormat="false" ht="15" hidden="false" customHeight="false" outlineLevel="0" collapsed="false">
      <c r="B9" s="2" t="s">
        <v>24</v>
      </c>
      <c r="C9" s="5" t="n">
        <v>0.86</v>
      </c>
    </row>
    <row r="10" customFormat="false" ht="15" hidden="false" customHeight="false" outlineLevel="0" collapsed="false">
      <c r="B10" s="2" t="s">
        <v>25</v>
      </c>
      <c r="C10" s="5" t="n">
        <v>0.97</v>
      </c>
    </row>
    <row r="11" customFormat="false" ht="15" hidden="false" customHeight="false" outlineLevel="0" collapsed="false">
      <c r="B11" s="2" t="s">
        <v>26</v>
      </c>
      <c r="C11" s="4" t="n">
        <v>330</v>
      </c>
    </row>
    <row r="12" customFormat="false" ht="15" hidden="false" customHeight="false" outlineLevel="0" collapsed="false">
      <c r="B12" s="2" t="s">
        <v>27</v>
      </c>
      <c r="C12" s="4" t="n">
        <v>365</v>
      </c>
    </row>
    <row r="13" customFormat="false" ht="15" hidden="false" customHeight="false" outlineLevel="0" collapsed="false">
      <c r="B13" s="2" t="s">
        <v>28</v>
      </c>
      <c r="C13" s="5" t="n">
        <v>0.02</v>
      </c>
    </row>
    <row r="14" customFormat="false" ht="15" hidden="false" customHeight="false" outlineLevel="0" collapsed="false">
      <c r="B14" s="2" t="s">
        <v>29</v>
      </c>
      <c r="C14" s="5" t="n">
        <v>0.017</v>
      </c>
    </row>
    <row r="15" customFormat="false" ht="15" hidden="false" customHeight="false" outlineLevel="0" collapsed="false">
      <c r="B15" s="2" t="s">
        <v>30</v>
      </c>
      <c r="C15" s="4" t="n">
        <v>840</v>
      </c>
    </row>
    <row r="16" customFormat="false" ht="15" hidden="false" customHeight="false" outlineLevel="0" collapsed="false">
      <c r="B16" s="2" t="s">
        <v>31</v>
      </c>
      <c r="C16" s="4" t="n">
        <v>10</v>
      </c>
    </row>
    <row r="18" customFormat="false" ht="15" hidden="false" customHeight="false" outlineLevel="0" collapsed="false">
      <c r="B18" s="3" t="s">
        <v>32</v>
      </c>
    </row>
    <row r="19" customFormat="false" ht="15" hidden="false" customHeight="false" outlineLevel="0" collapsed="false">
      <c r="B19" s="2" t="s">
        <v>33</v>
      </c>
      <c r="C19" s="6" t="n">
        <v>150</v>
      </c>
    </row>
    <row r="20" customFormat="false" ht="15" hidden="false" customHeight="false" outlineLevel="0" collapsed="false">
      <c r="B20" s="2" t="s">
        <v>34</v>
      </c>
      <c r="C20" s="6" t="n">
        <v>60</v>
      </c>
    </row>
    <row r="21" customFormat="false" ht="15" hidden="false" customHeight="false" outlineLevel="0" collapsed="false">
      <c r="B21" s="2" t="s">
        <v>35</v>
      </c>
      <c r="C21" s="6" t="n">
        <v>70</v>
      </c>
    </row>
    <row r="22" customFormat="false" ht="15" hidden="false" customHeight="false" outlineLevel="0" collapsed="false">
      <c r="B22" s="2" t="s">
        <v>36</v>
      </c>
      <c r="C22" s="5" t="n">
        <v>0.05</v>
      </c>
    </row>
    <row r="23" customFormat="false" ht="15" hidden="false" customHeight="false" outlineLevel="0" collapsed="false">
      <c r="B23" s="2" t="s">
        <v>37</v>
      </c>
      <c r="C23" s="4" t="n">
        <v>24000000</v>
      </c>
    </row>
    <row r="24" customFormat="false" ht="15" hidden="false" customHeight="false" outlineLevel="0" collapsed="false">
      <c r="B24" s="2" t="s">
        <v>38</v>
      </c>
      <c r="C24" s="4" t="n">
        <v>8000000</v>
      </c>
    </row>
    <row r="25" customFormat="false" ht="15" hidden="false" customHeight="false" outlineLevel="0" collapsed="false">
      <c r="B25" s="2" t="s">
        <v>39</v>
      </c>
      <c r="C25" s="4" t="n">
        <v>16000000</v>
      </c>
    </row>
    <row r="26" customFormat="false" ht="15" hidden="false" customHeight="false" outlineLevel="0" collapsed="false">
      <c r="B26" s="2" t="s">
        <v>40</v>
      </c>
      <c r="C26" s="6" t="n">
        <v>125</v>
      </c>
    </row>
    <row r="27" customFormat="false" ht="15" hidden="false" customHeight="false" outlineLevel="0" collapsed="false">
      <c r="B27" s="2" t="s">
        <v>41</v>
      </c>
      <c r="C27" s="5" t="n">
        <v>0.03</v>
      </c>
    </row>
    <row r="28" customFormat="false" ht="15" hidden="false" customHeight="false" outlineLevel="0" collapsed="false">
      <c r="B28" s="2" t="s">
        <v>42</v>
      </c>
      <c r="C28" s="6" t="n">
        <v>12</v>
      </c>
    </row>
    <row r="30" customFormat="false" ht="15" hidden="false" customHeight="false" outlineLevel="0" collapsed="false">
      <c r="B30" s="3" t="s">
        <v>43</v>
      </c>
    </row>
    <row r="31" customFormat="false" ht="15" hidden="false" customHeight="false" outlineLevel="0" collapsed="false">
      <c r="B31" s="2" t="s">
        <v>44</v>
      </c>
      <c r="C31" s="5" t="n">
        <v>0.4</v>
      </c>
    </row>
    <row r="32" customFormat="false" ht="15" hidden="false" customHeight="false" outlineLevel="0" collapsed="false">
      <c r="B32" s="2" t="s">
        <v>45</v>
      </c>
      <c r="C32" s="7" t="n">
        <v>0.93</v>
      </c>
    </row>
    <row r="34" customFormat="false" ht="15" hidden="false" customHeight="false" outlineLevel="0" collapsed="false">
      <c r="B34" s="3" t="s">
        <v>46</v>
      </c>
    </row>
    <row r="35" customFormat="false" ht="15" hidden="false" customHeight="false" outlineLevel="0" collapsed="false">
      <c r="B35" s="2" t="s">
        <v>47</v>
      </c>
      <c r="C35" s="6" t="n">
        <v>7.5</v>
      </c>
    </row>
    <row r="36" customFormat="false" ht="15" hidden="false" customHeight="false" outlineLevel="0" collapsed="false">
      <c r="B36" s="2" t="s">
        <v>48</v>
      </c>
      <c r="C36" s="4" t="n">
        <v>600000</v>
      </c>
    </row>
    <row r="37" customFormat="false" ht="15" hidden="false" customHeight="false" outlineLevel="0" collapsed="false">
      <c r="B37" s="2" t="s">
        <v>49</v>
      </c>
      <c r="C37" s="8" t="n">
        <v>0.0055</v>
      </c>
    </row>
    <row r="38" customFormat="false" ht="15" hidden="false" customHeight="false" outlineLevel="0" collapsed="false">
      <c r="B38" s="2" t="s">
        <v>50</v>
      </c>
      <c r="C38" s="4" t="n">
        <v>1400000</v>
      </c>
    </row>
    <row r="39" customFormat="false" ht="15" hidden="false" customHeight="false" outlineLevel="0" collapsed="false">
      <c r="B39" s="2" t="s">
        <v>51</v>
      </c>
      <c r="C39" s="4" t="n">
        <v>350000</v>
      </c>
    </row>
    <row r="40" customFormat="false" ht="15" hidden="false" customHeight="false" outlineLevel="0" collapsed="false">
      <c r="B40" s="2" t="s">
        <v>52</v>
      </c>
      <c r="C40" s="4" t="n">
        <v>500000</v>
      </c>
    </row>
    <row r="41" customFormat="false" ht="15" hidden="false" customHeight="false" outlineLevel="0" collapsed="false">
      <c r="B41" s="2" t="s">
        <v>53</v>
      </c>
      <c r="C41" s="5" t="n">
        <v>0.025</v>
      </c>
    </row>
    <row r="43" customFormat="false" ht="15" hidden="false" customHeight="false" outlineLevel="0" collapsed="false">
      <c r="B43" s="3" t="s">
        <v>54</v>
      </c>
    </row>
    <row r="44" customFormat="false" ht="15" hidden="false" customHeight="false" outlineLevel="0" collapsed="false">
      <c r="B44" s="2" t="s">
        <v>55</v>
      </c>
      <c r="C44" s="6" t="n">
        <v>96</v>
      </c>
    </row>
    <row r="45" customFormat="false" ht="15" hidden="false" customHeight="false" outlineLevel="0" collapsed="false">
      <c r="B45" s="2" t="s">
        <v>56</v>
      </c>
      <c r="C45" s="6" t="n">
        <v>32</v>
      </c>
    </row>
    <row r="46" customFormat="false" ht="15" hidden="false" customHeight="false" outlineLevel="0" collapsed="false">
      <c r="B46" s="2" t="s">
        <v>57</v>
      </c>
      <c r="C46" s="5" t="n">
        <v>0.02</v>
      </c>
    </row>
    <row r="47" customFormat="false" ht="15" hidden="false" customHeight="false" outlineLevel="0" collapsed="false">
      <c r="B47" s="2" t="s">
        <v>58</v>
      </c>
      <c r="C47" s="5" t="n">
        <v>0.03</v>
      </c>
    </row>
    <row r="48" customFormat="false" ht="15" hidden="false" customHeight="false" outlineLevel="0" collapsed="false">
      <c r="B48" s="2" t="s">
        <v>59</v>
      </c>
      <c r="C48" s="4" t="n">
        <v>8</v>
      </c>
    </row>
    <row r="49" customFormat="false" ht="15" hidden="false" customHeight="false" outlineLevel="0" collapsed="false">
      <c r="B49" s="2" t="s">
        <v>60</v>
      </c>
      <c r="C49" s="6" t="n">
        <v>7.25</v>
      </c>
    </row>
    <row r="50" customFormat="false" ht="15" hidden="false" customHeight="false" outlineLevel="0" collapsed="false">
      <c r="B50" s="2" t="s">
        <v>61</v>
      </c>
      <c r="C50" s="5" t="n">
        <v>0.02</v>
      </c>
    </row>
    <row r="51" customFormat="false" ht="15" hidden="false" customHeight="false" outlineLevel="0" collapsed="false">
      <c r="B51" s="2" t="s">
        <v>62</v>
      </c>
      <c r="C51" s="5" t="n">
        <v>0.85</v>
      </c>
    </row>
    <row r="52" customFormat="false" ht="15" hidden="false" customHeight="false" outlineLevel="0" collapsed="false">
      <c r="B52" s="2" t="s">
        <v>63</v>
      </c>
      <c r="C52" s="5" t="n">
        <v>0.015</v>
      </c>
    </row>
    <row r="53" customFormat="false" ht="15" hidden="false" customHeight="false" outlineLevel="0" collapsed="false">
      <c r="B53" s="2" t="s">
        <v>64</v>
      </c>
      <c r="C53" s="5" t="n">
        <v>0.7</v>
      </c>
    </row>
    <row r="54" customFormat="false" ht="15" hidden="false" customHeight="false" outlineLevel="0" collapsed="false">
      <c r="B54" s="2" t="s">
        <v>65</v>
      </c>
      <c r="C54" s="6" t="n">
        <v>14</v>
      </c>
    </row>
    <row r="55" customFormat="false" ht="15" hidden="false" customHeight="false" outlineLevel="0" collapsed="false">
      <c r="B55" s="2" t="s">
        <v>66</v>
      </c>
      <c r="C55" s="5" t="n">
        <v>0.08</v>
      </c>
    </row>
    <row r="56" customFormat="false" ht="15" hidden="false" customHeight="false" outlineLevel="0" collapsed="false">
      <c r="B56" s="2" t="s">
        <v>67</v>
      </c>
      <c r="C56" s="6" t="n">
        <v>5</v>
      </c>
    </row>
    <row r="58" customFormat="false" ht="15" hidden="false" customHeight="false" outlineLevel="0" collapsed="false">
      <c r="B58" s="3" t="s">
        <v>68</v>
      </c>
    </row>
    <row r="59" customFormat="false" ht="15" hidden="false" customHeight="false" outlineLevel="0" collapsed="false">
      <c r="B59" s="2" t="s">
        <v>69</v>
      </c>
      <c r="C59" s="6" t="n">
        <v>12.25</v>
      </c>
    </row>
    <row r="60" customFormat="false" ht="15" hidden="false" customHeight="false" outlineLevel="0" collapsed="false">
      <c r="B60" s="2" t="s">
        <v>70</v>
      </c>
      <c r="C60" s="4" t="n">
        <v>10</v>
      </c>
    </row>
    <row r="61" customFormat="false" ht="15" hidden="false" customHeight="false" outlineLevel="0" collapsed="false">
      <c r="B61" s="2" t="s">
        <v>71</v>
      </c>
      <c r="C61" s="4" t="n">
        <v>200</v>
      </c>
    </row>
    <row r="62" customFormat="false" ht="15" hidden="false" customHeight="false" outlineLevel="0" collapsed="false">
      <c r="B62" s="2" t="s">
        <v>72</v>
      </c>
      <c r="C62" s="4" t="n">
        <v>24000000</v>
      </c>
    </row>
    <row r="63" customFormat="false" ht="15" hidden="false" customHeight="false" outlineLevel="0" collapsed="false">
      <c r="B63" s="2" t="s">
        <v>73</v>
      </c>
      <c r="C63" s="4" t="n">
        <v>10</v>
      </c>
    </row>
    <row r="64" customFormat="false" ht="15" hidden="false" customHeight="false" outlineLevel="0" collapsed="false">
      <c r="B64" s="2" t="s">
        <v>74</v>
      </c>
      <c r="C64" s="5" t="n">
        <v>0.25</v>
      </c>
    </row>
    <row r="66" customFormat="false" ht="15" hidden="false" customHeight="false" outlineLevel="0" collapsed="false">
      <c r="B66" s="3" t="s">
        <v>75</v>
      </c>
    </row>
    <row r="67" customFormat="false" ht="15" hidden="false" customHeight="false" outlineLevel="0" collapsed="false">
      <c r="B67" s="2" t="s">
        <v>76</v>
      </c>
      <c r="C67" s="8" t="n">
        <v>0.07</v>
      </c>
    </row>
    <row r="68" customFormat="false" ht="15" hidden="false" customHeight="false" outlineLevel="0" collapsed="false">
      <c r="B68" s="2" t="s">
        <v>77</v>
      </c>
      <c r="C68" s="8" t="n">
        <v>0.095</v>
      </c>
    </row>
    <row r="70" customFormat="false" ht="15" hidden="false" customHeight="false" outlineLevel="0" collapsed="false">
      <c r="B70" s="3" t="s">
        <v>78</v>
      </c>
    </row>
    <row r="71" customFormat="false" ht="15" hidden="false" customHeight="false" outlineLevel="0" collapsed="false">
      <c r="B71" s="2" t="s">
        <v>79</v>
      </c>
      <c r="C71" s="8" t="n">
        <v>0.065</v>
      </c>
    </row>
    <row r="72" customFormat="false" ht="15" hidden="false" customHeight="false" outlineLevel="0" collapsed="false">
      <c r="B72" s="2" t="s">
        <v>80</v>
      </c>
      <c r="C72" s="7" t="n">
        <v>1.3</v>
      </c>
    </row>
    <row r="73" customFormat="false" ht="15" hidden="false" customHeight="false" outlineLevel="0" collapsed="false">
      <c r="B73" s="2" t="s">
        <v>81</v>
      </c>
      <c r="C73" s="7" t="n">
        <v>2</v>
      </c>
    </row>
    <row r="74" customFormat="false" ht="15" hidden="false" customHeight="false" outlineLevel="0" collapsed="false">
      <c r="B74" s="2" t="s">
        <v>82</v>
      </c>
      <c r="C74" s="4" t="n">
        <v>10</v>
      </c>
    </row>
    <row r="75" customFormat="false" ht="15" hidden="false" customHeight="false" outlineLevel="0" collapsed="false">
      <c r="B75" s="2" t="s">
        <v>83</v>
      </c>
      <c r="C75" s="4" t="n">
        <v>7</v>
      </c>
    </row>
    <row r="76" customFormat="false" ht="15" hidden="false" customHeight="false" outlineLevel="0" collapsed="false">
      <c r="B76" s="2" t="s">
        <v>84</v>
      </c>
      <c r="C76" s="8" t="n">
        <v>0.07</v>
      </c>
    </row>
    <row r="77" customFormat="false" ht="15" hidden="false" customHeight="false" outlineLevel="0" collapsed="false">
      <c r="B77" s="2" t="s">
        <v>85</v>
      </c>
      <c r="C77" s="5" t="n">
        <v>0.7</v>
      </c>
    </row>
    <row r="78" customFormat="false" ht="15" hidden="false" customHeight="false" outlineLevel="0" collapsed="false">
      <c r="B78" s="2" t="s">
        <v>86</v>
      </c>
      <c r="C78" s="7" t="n">
        <v>1.4</v>
      </c>
    </row>
    <row r="80" customFormat="false" ht="15" hidden="false" customHeight="false" outlineLevel="0" collapsed="false">
      <c r="B80" s="3" t="s">
        <v>87</v>
      </c>
    </row>
    <row r="81" customFormat="false" ht="15" hidden="false" customHeight="false" outlineLevel="0" collapsed="false">
      <c r="B81" s="2" t="s">
        <v>88</v>
      </c>
      <c r="C81" s="5" t="n">
        <v>0</v>
      </c>
    </row>
    <row r="82" customFormat="false" ht="15" hidden="false" customHeight="false" outlineLevel="0" collapsed="false">
      <c r="B82" s="2" t="s">
        <v>89</v>
      </c>
      <c r="C82" s="5" t="n">
        <v>0</v>
      </c>
    </row>
    <row r="83" customFormat="false" ht="15" hidden="false" customHeight="false" outlineLevel="0" collapsed="false">
      <c r="B83" s="2" t="s">
        <v>90</v>
      </c>
      <c r="C83" s="5" t="n">
        <v>0</v>
      </c>
    </row>
    <row r="84" customFormat="false" ht="15" hidden="false" customHeight="false" outlineLevel="0" collapsed="false">
      <c r="B84" s="2" t="s">
        <v>91</v>
      </c>
      <c r="C84" s="5" t="n">
        <v>0</v>
      </c>
    </row>
    <row r="85" customFormat="false" ht="15" hidden="false" customHeight="false" outlineLevel="0" collapsed="false">
      <c r="B85" s="2" t="s">
        <v>92</v>
      </c>
      <c r="C85" s="9" t="n">
        <v>1</v>
      </c>
    </row>
    <row r="86" customFormat="false" ht="15" hidden="false" customHeight="false" outlineLevel="0" collapsed="false">
      <c r="B86" s="2" t="s">
        <v>93</v>
      </c>
      <c r="C86" s="5" t="n">
        <v>0.97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W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13"/>
    <col collapsed="false" customWidth="true" hidden="false" outlineLevel="0" max="23" min="4" style="0" width="11"/>
  </cols>
  <sheetData>
    <row r="2" customFormat="false" ht="16.15" hidden="false" customHeight="false" outlineLevel="0" collapsed="false">
      <c r="B2" s="1" t="s">
        <v>94</v>
      </c>
    </row>
    <row r="4" customFormat="false" ht="15" hidden="false" customHeight="false" outlineLevel="0" collapsed="false">
      <c r="B4" s="3" t="s">
        <v>95</v>
      </c>
      <c r="D4" s="3" t="n">
        <v>2028</v>
      </c>
      <c r="E4" s="3" t="n">
        <v>2029</v>
      </c>
      <c r="F4" s="3" t="n">
        <v>2030</v>
      </c>
      <c r="G4" s="3" t="n">
        <v>2031</v>
      </c>
      <c r="H4" s="3" t="n">
        <v>2032</v>
      </c>
      <c r="I4" s="3" t="n">
        <v>2033</v>
      </c>
      <c r="J4" s="3" t="n">
        <v>2034</v>
      </c>
      <c r="K4" s="3" t="n">
        <v>2035</v>
      </c>
      <c r="L4" s="3" t="n">
        <v>2036</v>
      </c>
      <c r="M4" s="3" t="n">
        <v>2037</v>
      </c>
      <c r="N4" s="3" t="n">
        <v>2038</v>
      </c>
      <c r="O4" s="3" t="n">
        <v>2039</v>
      </c>
      <c r="P4" s="3" t="n">
        <v>2040</v>
      </c>
      <c r="Q4" s="3" t="n">
        <v>2041</v>
      </c>
      <c r="R4" s="3" t="n">
        <v>2042</v>
      </c>
      <c r="S4" s="3" t="n">
        <v>2043</v>
      </c>
      <c r="T4" s="3" t="n">
        <v>2044</v>
      </c>
      <c r="U4" s="3" t="n">
        <v>2045</v>
      </c>
      <c r="V4" s="3" t="n">
        <v>2046</v>
      </c>
      <c r="W4" s="3" t="n">
        <v>2047</v>
      </c>
    </row>
    <row r="5" customFormat="false" ht="15" hidden="false" customHeight="false" outlineLevel="0" collapsed="false">
      <c r="B5" s="3" t="s">
        <v>96</v>
      </c>
      <c r="D5" s="2" t="n">
        <v>0</v>
      </c>
      <c r="E5" s="2" t="n">
        <v>1</v>
      </c>
      <c r="F5" s="2" t="n">
        <v>2</v>
      </c>
      <c r="G5" s="2" t="n">
        <v>3</v>
      </c>
      <c r="H5" s="2" t="n">
        <v>4</v>
      </c>
      <c r="I5" s="2" t="n">
        <v>5</v>
      </c>
      <c r="J5" s="2" t="n">
        <v>6</v>
      </c>
      <c r="K5" s="2" t="n">
        <v>7</v>
      </c>
      <c r="L5" s="2" t="n">
        <v>8</v>
      </c>
      <c r="M5" s="2" t="n">
        <v>9</v>
      </c>
      <c r="N5" s="2" t="n">
        <v>10</v>
      </c>
      <c r="O5" s="2" t="n">
        <v>11</v>
      </c>
      <c r="P5" s="2" t="n">
        <v>12</v>
      </c>
      <c r="Q5" s="2" t="n">
        <v>13</v>
      </c>
      <c r="R5" s="2" t="n">
        <v>14</v>
      </c>
      <c r="S5" s="2" t="n">
        <v>15</v>
      </c>
      <c r="T5" s="2" t="n">
        <v>16</v>
      </c>
      <c r="U5" s="2" t="n">
        <v>17</v>
      </c>
      <c r="V5" s="2" t="n">
        <v>18</v>
      </c>
      <c r="W5" s="2" t="n">
        <v>19</v>
      </c>
    </row>
    <row r="7" customFormat="false" ht="15" hidden="false" customHeight="false" outlineLevel="0" collapsed="false">
      <c r="B7" s="3" t="s">
        <v>97</v>
      </c>
    </row>
    <row r="8" customFormat="false" ht="15" hidden="false" customHeight="false" outlineLevel="0" collapsed="false">
      <c r="B8" s="2" t="s">
        <v>98</v>
      </c>
      <c r="C8" s="10" t="n">
        <f aca="false">Inputs!$C$8</f>
        <v>840</v>
      </c>
      <c r="D8" s="11" t="n">
        <f aca="false">IF(D$5&gt;=0,$C8*MAX(0,1-Inputs!$C$13-(Inputs!$C$14+Inputs!$C$84)*(D$5-0)),0)</f>
        <v>823.2</v>
      </c>
      <c r="E8" s="11" t="n">
        <f aca="false">IF(E$5&gt;=0,$C8*MAX(0,1-Inputs!$C$13-(Inputs!$C$14+Inputs!$C$84)*(E$5-0)),0)</f>
        <v>808.92</v>
      </c>
      <c r="F8" s="11" t="n">
        <f aca="false">IF(F$5&gt;=0,$C8*MAX(0,1-Inputs!$C$13-(Inputs!$C$14+Inputs!$C$84)*(F$5-0)),0)</f>
        <v>794.64</v>
      </c>
      <c r="G8" s="11" t="n">
        <f aca="false">IF(G$5&gt;=0,$C8*MAX(0,1-Inputs!$C$13-(Inputs!$C$14+Inputs!$C$84)*(G$5-0)),0)</f>
        <v>780.36</v>
      </c>
      <c r="H8" s="11" t="n">
        <f aca="false">IF(H$5&gt;=0,$C8*MAX(0,1-Inputs!$C$13-(Inputs!$C$14+Inputs!$C$84)*(H$5-0)),0)</f>
        <v>766.08</v>
      </c>
      <c r="I8" s="11" t="n">
        <f aca="false">IF(I$5&gt;=0,$C8*MAX(0,1-Inputs!$C$13-(Inputs!$C$14+Inputs!$C$84)*(I$5-0)),0)</f>
        <v>751.8</v>
      </c>
      <c r="J8" s="11" t="n">
        <f aca="false">IF(J$5&gt;=0,$C8*MAX(0,1-Inputs!$C$13-(Inputs!$C$14+Inputs!$C$84)*(J$5-0)),0)</f>
        <v>737.52</v>
      </c>
      <c r="K8" s="11" t="n">
        <f aca="false">IF(K$5&gt;=0,$C8*MAX(0,1-Inputs!$C$13-(Inputs!$C$14+Inputs!$C$84)*(K$5-0)),0)</f>
        <v>723.24</v>
      </c>
      <c r="L8" s="11" t="n">
        <f aca="false">IF(L$5&gt;=0,$C8*MAX(0,1-Inputs!$C$13-(Inputs!$C$14+Inputs!$C$84)*(L$5-0)),0)</f>
        <v>708.96</v>
      </c>
      <c r="M8" s="11" t="n">
        <f aca="false">IF(M$5&gt;=0,$C8*MAX(0,1-Inputs!$C$13-(Inputs!$C$14+Inputs!$C$84)*(M$5-0)),0)</f>
        <v>694.68</v>
      </c>
      <c r="N8" s="11" t="n">
        <f aca="false">IF(N$5&gt;=0,$C8*MAX(0,1-Inputs!$C$13-(Inputs!$C$14+Inputs!$C$84)*(N$5-0)),0)</f>
        <v>680.4</v>
      </c>
      <c r="O8" s="11" t="n">
        <f aca="false">IF(O$5&gt;=0,$C8*MAX(0,1-Inputs!$C$13-(Inputs!$C$14+Inputs!$C$84)*(O$5-0)),0)</f>
        <v>666.12</v>
      </c>
      <c r="P8" s="11" t="n">
        <f aca="false">IF(P$5&gt;=0,$C8*MAX(0,1-Inputs!$C$13-(Inputs!$C$14+Inputs!$C$84)*(P$5-0)),0)</f>
        <v>651.84</v>
      </c>
      <c r="Q8" s="11" t="n">
        <f aca="false">IF(Q$5&gt;=0,$C8*MAX(0,1-Inputs!$C$13-(Inputs!$C$14+Inputs!$C$84)*(Q$5-0)),0)</f>
        <v>637.56</v>
      </c>
      <c r="R8" s="11" t="n">
        <f aca="false">IF(R$5&gt;=0,$C8*MAX(0,1-Inputs!$C$13-(Inputs!$C$14+Inputs!$C$84)*(R$5-0)),0)</f>
        <v>623.28</v>
      </c>
      <c r="S8" s="11" t="n">
        <f aca="false">IF(S$5&gt;=0,$C8*MAX(0,1-Inputs!$C$13-(Inputs!$C$14+Inputs!$C$84)*(S$5-0)),0)</f>
        <v>609</v>
      </c>
      <c r="T8" s="11" t="n">
        <f aca="false">IF(T$5&gt;=0,$C8*MAX(0,1-Inputs!$C$13-(Inputs!$C$14+Inputs!$C$84)*(T$5-0)),0)</f>
        <v>594.72</v>
      </c>
      <c r="U8" s="11" t="n">
        <f aca="false">IF(U$5&gt;=0,$C8*MAX(0,1-Inputs!$C$13-(Inputs!$C$14+Inputs!$C$84)*(U$5-0)),0)</f>
        <v>580.44</v>
      </c>
      <c r="V8" s="11" t="n">
        <f aca="false">IF(V$5&gt;=0,$C8*MAX(0,1-Inputs!$C$13-(Inputs!$C$14+Inputs!$C$84)*(V$5-0)),0)</f>
        <v>566.16</v>
      </c>
      <c r="W8" s="11" t="n">
        <f aca="false">IF(W$5&gt;=0,$C8*MAX(0,1-Inputs!$C$13-(Inputs!$C$14+Inputs!$C$84)*(W$5-0)),0)</f>
        <v>551.88</v>
      </c>
    </row>
    <row r="9" customFormat="false" ht="15" hidden="false" customHeight="false" outlineLevel="0" collapsed="false">
      <c r="B9" s="2" t="s">
        <v>99</v>
      </c>
      <c r="C9" s="10" t="n">
        <f aca="false">E31</f>
        <v>0</v>
      </c>
      <c r="D9" s="11" t="n">
        <v>0</v>
      </c>
      <c r="E9" s="11" t="n">
        <f aca="false">IF(E$5&gt;=1,$C9*MAX(0,1-Inputs!$C$13-(Inputs!$C$14+Inputs!$C$84)*(E$5-1)),0)</f>
        <v>0</v>
      </c>
      <c r="F9" s="11" t="n">
        <f aca="false">IF(F$5&gt;=1,$C9*MAX(0,1-Inputs!$C$13-(Inputs!$C$14+Inputs!$C$84)*(F$5-1)),0)</f>
        <v>0</v>
      </c>
      <c r="G9" s="11" t="n">
        <f aca="false">IF(G$5&gt;=1,$C9*MAX(0,1-Inputs!$C$13-(Inputs!$C$14+Inputs!$C$84)*(G$5-1)),0)</f>
        <v>0</v>
      </c>
      <c r="H9" s="11" t="n">
        <f aca="false">IF(H$5&gt;=1,$C9*MAX(0,1-Inputs!$C$13-(Inputs!$C$14+Inputs!$C$84)*(H$5-1)),0)</f>
        <v>0</v>
      </c>
      <c r="I9" s="11" t="n">
        <f aca="false">IF(I$5&gt;=1,$C9*MAX(0,1-Inputs!$C$13-(Inputs!$C$14+Inputs!$C$84)*(I$5-1)),0)</f>
        <v>0</v>
      </c>
      <c r="J9" s="11" t="n">
        <f aca="false">IF(J$5&gt;=1,$C9*MAX(0,1-Inputs!$C$13-(Inputs!$C$14+Inputs!$C$84)*(J$5-1)),0)</f>
        <v>0</v>
      </c>
      <c r="K9" s="11" t="n">
        <f aca="false">IF(K$5&gt;=1,$C9*MAX(0,1-Inputs!$C$13-(Inputs!$C$14+Inputs!$C$84)*(K$5-1)),0)</f>
        <v>0</v>
      </c>
      <c r="L9" s="11" t="n">
        <f aca="false">IF(L$5&gt;=1,$C9*MAX(0,1-Inputs!$C$13-(Inputs!$C$14+Inputs!$C$84)*(L$5-1)),0)</f>
        <v>0</v>
      </c>
      <c r="M9" s="11" t="n">
        <f aca="false">IF(M$5&gt;=1,$C9*MAX(0,1-Inputs!$C$13-(Inputs!$C$14+Inputs!$C$84)*(M$5-1)),0)</f>
        <v>0</v>
      </c>
      <c r="N9" s="11" t="n">
        <f aca="false">IF(N$5&gt;=1,$C9*MAX(0,1-Inputs!$C$13-(Inputs!$C$14+Inputs!$C$84)*(N$5-1)),0)</f>
        <v>0</v>
      </c>
      <c r="O9" s="11" t="n">
        <f aca="false">IF(O$5&gt;=1,$C9*MAX(0,1-Inputs!$C$13-(Inputs!$C$14+Inputs!$C$84)*(O$5-1)),0)</f>
        <v>0</v>
      </c>
      <c r="P9" s="11" t="n">
        <f aca="false">IF(P$5&gt;=1,$C9*MAX(0,1-Inputs!$C$13-(Inputs!$C$14+Inputs!$C$84)*(P$5-1)),0)</f>
        <v>0</v>
      </c>
      <c r="Q9" s="11" t="n">
        <f aca="false">IF(Q$5&gt;=1,$C9*MAX(0,1-Inputs!$C$13-(Inputs!$C$14+Inputs!$C$84)*(Q$5-1)),0)</f>
        <v>0</v>
      </c>
      <c r="R9" s="11" t="n">
        <f aca="false">IF(R$5&gt;=1,$C9*MAX(0,1-Inputs!$C$13-(Inputs!$C$14+Inputs!$C$84)*(R$5-1)),0)</f>
        <v>0</v>
      </c>
      <c r="S9" s="11" t="n">
        <f aca="false">IF(S$5&gt;=1,$C9*MAX(0,1-Inputs!$C$13-(Inputs!$C$14+Inputs!$C$84)*(S$5-1)),0)</f>
        <v>0</v>
      </c>
      <c r="T9" s="11" t="n">
        <f aca="false">IF(T$5&gt;=1,$C9*MAX(0,1-Inputs!$C$13-(Inputs!$C$14+Inputs!$C$84)*(T$5-1)),0)</f>
        <v>0</v>
      </c>
      <c r="U9" s="11" t="n">
        <f aca="false">IF(U$5&gt;=1,$C9*MAX(0,1-Inputs!$C$13-(Inputs!$C$14+Inputs!$C$84)*(U$5-1)),0)</f>
        <v>0</v>
      </c>
      <c r="V9" s="11" t="n">
        <f aca="false">IF(V$5&gt;=1,$C9*MAX(0,1-Inputs!$C$13-(Inputs!$C$14+Inputs!$C$84)*(V$5-1)),0)</f>
        <v>0</v>
      </c>
      <c r="W9" s="11" t="n">
        <f aca="false">IF(W$5&gt;=1,$C9*MAX(0,1-Inputs!$C$13-(Inputs!$C$14+Inputs!$C$84)*(W$5-1)),0)</f>
        <v>0</v>
      </c>
    </row>
    <row r="10" customFormat="false" ht="15" hidden="false" customHeight="false" outlineLevel="0" collapsed="false">
      <c r="B10" s="2" t="s">
        <v>100</v>
      </c>
      <c r="C10" s="10" t="n">
        <f aca="false">F31</f>
        <v>50</v>
      </c>
      <c r="D10" s="11" t="n">
        <v>0</v>
      </c>
      <c r="E10" s="11" t="n">
        <v>0</v>
      </c>
      <c r="F10" s="11" t="n">
        <f aca="false">IF(F$5&gt;=2,$C10*MAX(0,1-Inputs!$C$13-(Inputs!$C$14+Inputs!$C$84)*(F$5-2)),0)</f>
        <v>49</v>
      </c>
      <c r="G10" s="11" t="n">
        <f aca="false">IF(G$5&gt;=2,$C10*MAX(0,1-Inputs!$C$13-(Inputs!$C$14+Inputs!$C$84)*(G$5-2)),0)</f>
        <v>48.15</v>
      </c>
      <c r="H10" s="11" t="n">
        <f aca="false">IF(H$5&gt;=2,$C10*MAX(0,1-Inputs!$C$13-(Inputs!$C$14+Inputs!$C$84)*(H$5-2)),0)</f>
        <v>47.3</v>
      </c>
      <c r="I10" s="11" t="n">
        <f aca="false">IF(I$5&gt;=2,$C10*MAX(0,1-Inputs!$C$13-(Inputs!$C$14+Inputs!$C$84)*(I$5-2)),0)</f>
        <v>46.45</v>
      </c>
      <c r="J10" s="11" t="n">
        <f aca="false">IF(J$5&gt;=2,$C10*MAX(0,1-Inputs!$C$13-(Inputs!$C$14+Inputs!$C$84)*(J$5-2)),0)</f>
        <v>45.6</v>
      </c>
      <c r="K10" s="11" t="n">
        <f aca="false">IF(K$5&gt;=2,$C10*MAX(0,1-Inputs!$C$13-(Inputs!$C$14+Inputs!$C$84)*(K$5-2)),0)</f>
        <v>44.75</v>
      </c>
      <c r="L10" s="11" t="n">
        <f aca="false">IF(L$5&gt;=2,$C10*MAX(0,1-Inputs!$C$13-(Inputs!$C$14+Inputs!$C$84)*(L$5-2)),0)</f>
        <v>43.9</v>
      </c>
      <c r="M10" s="11" t="n">
        <f aca="false">IF(M$5&gt;=2,$C10*MAX(0,1-Inputs!$C$13-(Inputs!$C$14+Inputs!$C$84)*(M$5-2)),0)</f>
        <v>43.05</v>
      </c>
      <c r="N10" s="11" t="n">
        <f aca="false">IF(N$5&gt;=2,$C10*MAX(0,1-Inputs!$C$13-(Inputs!$C$14+Inputs!$C$84)*(N$5-2)),0)</f>
        <v>42.2</v>
      </c>
      <c r="O10" s="11" t="n">
        <f aca="false">IF(O$5&gt;=2,$C10*MAX(0,1-Inputs!$C$13-(Inputs!$C$14+Inputs!$C$84)*(O$5-2)),0)</f>
        <v>41.35</v>
      </c>
      <c r="P10" s="11" t="n">
        <f aca="false">IF(P$5&gt;=2,$C10*MAX(0,1-Inputs!$C$13-(Inputs!$C$14+Inputs!$C$84)*(P$5-2)),0)</f>
        <v>40.5</v>
      </c>
      <c r="Q10" s="11" t="n">
        <f aca="false">IF(Q$5&gt;=2,$C10*MAX(0,1-Inputs!$C$13-(Inputs!$C$14+Inputs!$C$84)*(Q$5-2)),0)</f>
        <v>39.65</v>
      </c>
      <c r="R10" s="11" t="n">
        <f aca="false">IF(R$5&gt;=2,$C10*MAX(0,1-Inputs!$C$13-(Inputs!$C$14+Inputs!$C$84)*(R$5-2)),0)</f>
        <v>38.8</v>
      </c>
      <c r="S10" s="11" t="n">
        <f aca="false">IF(S$5&gt;=2,$C10*MAX(0,1-Inputs!$C$13-(Inputs!$C$14+Inputs!$C$84)*(S$5-2)),0)</f>
        <v>37.95</v>
      </c>
      <c r="T10" s="11" t="n">
        <f aca="false">IF(T$5&gt;=2,$C10*MAX(0,1-Inputs!$C$13-(Inputs!$C$14+Inputs!$C$84)*(T$5-2)),0)</f>
        <v>37.1</v>
      </c>
      <c r="U10" s="11" t="n">
        <f aca="false">IF(U$5&gt;=2,$C10*MAX(0,1-Inputs!$C$13-(Inputs!$C$14+Inputs!$C$84)*(U$5-2)),0)</f>
        <v>36.25</v>
      </c>
      <c r="V10" s="11" t="n">
        <f aca="false">IF(V$5&gt;=2,$C10*MAX(0,1-Inputs!$C$13-(Inputs!$C$14+Inputs!$C$84)*(V$5-2)),0)</f>
        <v>35.4</v>
      </c>
      <c r="W10" s="11" t="n">
        <f aca="false">IF(W$5&gt;=2,$C10*MAX(0,1-Inputs!$C$13-(Inputs!$C$14+Inputs!$C$84)*(W$5-2)),0)</f>
        <v>34.55</v>
      </c>
    </row>
    <row r="11" customFormat="false" ht="15" hidden="false" customHeight="false" outlineLevel="0" collapsed="false">
      <c r="B11" s="2" t="s">
        <v>101</v>
      </c>
      <c r="C11" s="10" t="n">
        <f aca="false">G31</f>
        <v>0</v>
      </c>
      <c r="D11" s="11" t="n">
        <v>0</v>
      </c>
      <c r="E11" s="11" t="n">
        <v>0</v>
      </c>
      <c r="F11" s="11" t="n">
        <v>0</v>
      </c>
      <c r="G11" s="11" t="n">
        <f aca="false">IF(G$5&gt;=3,$C11*MAX(0,1-Inputs!$C$13-(Inputs!$C$14+Inputs!$C$84)*(G$5-3)),0)</f>
        <v>0</v>
      </c>
      <c r="H11" s="11" t="n">
        <f aca="false">IF(H$5&gt;=3,$C11*MAX(0,1-Inputs!$C$13-(Inputs!$C$14+Inputs!$C$84)*(H$5-3)),0)</f>
        <v>0</v>
      </c>
      <c r="I11" s="11" t="n">
        <f aca="false">IF(I$5&gt;=3,$C11*MAX(0,1-Inputs!$C$13-(Inputs!$C$14+Inputs!$C$84)*(I$5-3)),0)</f>
        <v>0</v>
      </c>
      <c r="J11" s="11" t="n">
        <f aca="false">IF(J$5&gt;=3,$C11*MAX(0,1-Inputs!$C$13-(Inputs!$C$14+Inputs!$C$84)*(J$5-3)),0)</f>
        <v>0</v>
      </c>
      <c r="K11" s="11" t="n">
        <f aca="false">IF(K$5&gt;=3,$C11*MAX(0,1-Inputs!$C$13-(Inputs!$C$14+Inputs!$C$84)*(K$5-3)),0)</f>
        <v>0</v>
      </c>
      <c r="L11" s="11" t="n">
        <f aca="false">IF(L$5&gt;=3,$C11*MAX(0,1-Inputs!$C$13-(Inputs!$C$14+Inputs!$C$84)*(L$5-3)),0)</f>
        <v>0</v>
      </c>
      <c r="M11" s="11" t="n">
        <f aca="false">IF(M$5&gt;=3,$C11*MAX(0,1-Inputs!$C$13-(Inputs!$C$14+Inputs!$C$84)*(M$5-3)),0)</f>
        <v>0</v>
      </c>
      <c r="N11" s="11" t="n">
        <f aca="false">IF(N$5&gt;=3,$C11*MAX(0,1-Inputs!$C$13-(Inputs!$C$14+Inputs!$C$84)*(N$5-3)),0)</f>
        <v>0</v>
      </c>
      <c r="O11" s="11" t="n">
        <f aca="false">IF(O$5&gt;=3,$C11*MAX(0,1-Inputs!$C$13-(Inputs!$C$14+Inputs!$C$84)*(O$5-3)),0)</f>
        <v>0</v>
      </c>
      <c r="P11" s="11" t="n">
        <f aca="false">IF(P$5&gt;=3,$C11*MAX(0,1-Inputs!$C$13-(Inputs!$C$14+Inputs!$C$84)*(P$5-3)),0)</f>
        <v>0</v>
      </c>
      <c r="Q11" s="11" t="n">
        <f aca="false">IF(Q$5&gt;=3,$C11*MAX(0,1-Inputs!$C$13-(Inputs!$C$14+Inputs!$C$84)*(Q$5-3)),0)</f>
        <v>0</v>
      </c>
      <c r="R11" s="11" t="n">
        <f aca="false">IF(R$5&gt;=3,$C11*MAX(0,1-Inputs!$C$13-(Inputs!$C$14+Inputs!$C$84)*(R$5-3)),0)</f>
        <v>0</v>
      </c>
      <c r="S11" s="11" t="n">
        <f aca="false">IF(S$5&gt;=3,$C11*MAX(0,1-Inputs!$C$13-(Inputs!$C$14+Inputs!$C$84)*(S$5-3)),0)</f>
        <v>0</v>
      </c>
      <c r="T11" s="11" t="n">
        <f aca="false">IF(T$5&gt;=3,$C11*MAX(0,1-Inputs!$C$13-(Inputs!$C$14+Inputs!$C$84)*(T$5-3)),0)</f>
        <v>0</v>
      </c>
      <c r="U11" s="11" t="n">
        <f aca="false">IF(U$5&gt;=3,$C11*MAX(0,1-Inputs!$C$13-(Inputs!$C$14+Inputs!$C$84)*(U$5-3)),0)</f>
        <v>0</v>
      </c>
      <c r="V11" s="11" t="n">
        <f aca="false">IF(V$5&gt;=3,$C11*MAX(0,1-Inputs!$C$13-(Inputs!$C$14+Inputs!$C$84)*(V$5-3)),0)</f>
        <v>0</v>
      </c>
      <c r="W11" s="11" t="n">
        <f aca="false">IF(W$5&gt;=3,$C11*MAX(0,1-Inputs!$C$13-(Inputs!$C$14+Inputs!$C$84)*(W$5-3)),0)</f>
        <v>0</v>
      </c>
    </row>
    <row r="12" customFormat="false" ht="15" hidden="false" customHeight="false" outlineLevel="0" collapsed="false">
      <c r="B12" s="2" t="s">
        <v>102</v>
      </c>
      <c r="C12" s="10" t="n">
        <f aca="false">H31</f>
        <v>0</v>
      </c>
      <c r="D12" s="11" t="n">
        <v>0</v>
      </c>
      <c r="E12" s="11" t="n">
        <v>0</v>
      </c>
      <c r="F12" s="11" t="n">
        <v>0</v>
      </c>
      <c r="G12" s="11" t="n">
        <v>0</v>
      </c>
      <c r="H12" s="11" t="n">
        <f aca="false">IF(H$5&gt;=4,$C12*MAX(0,1-Inputs!$C$13-(Inputs!$C$14+Inputs!$C$84)*(H$5-4)),0)</f>
        <v>0</v>
      </c>
      <c r="I12" s="11" t="n">
        <f aca="false">IF(I$5&gt;=4,$C12*MAX(0,1-Inputs!$C$13-(Inputs!$C$14+Inputs!$C$84)*(I$5-4)),0)</f>
        <v>0</v>
      </c>
      <c r="J12" s="11" t="n">
        <f aca="false">IF(J$5&gt;=4,$C12*MAX(0,1-Inputs!$C$13-(Inputs!$C$14+Inputs!$C$84)*(J$5-4)),0)</f>
        <v>0</v>
      </c>
      <c r="K12" s="11" t="n">
        <f aca="false">IF(K$5&gt;=4,$C12*MAX(0,1-Inputs!$C$13-(Inputs!$C$14+Inputs!$C$84)*(K$5-4)),0)</f>
        <v>0</v>
      </c>
      <c r="L12" s="11" t="n">
        <f aca="false">IF(L$5&gt;=4,$C12*MAX(0,1-Inputs!$C$13-(Inputs!$C$14+Inputs!$C$84)*(L$5-4)),0)</f>
        <v>0</v>
      </c>
      <c r="M12" s="11" t="n">
        <f aca="false">IF(M$5&gt;=4,$C12*MAX(0,1-Inputs!$C$13-(Inputs!$C$14+Inputs!$C$84)*(M$5-4)),0)</f>
        <v>0</v>
      </c>
      <c r="N12" s="11" t="n">
        <f aca="false">IF(N$5&gt;=4,$C12*MAX(0,1-Inputs!$C$13-(Inputs!$C$14+Inputs!$C$84)*(N$5-4)),0)</f>
        <v>0</v>
      </c>
      <c r="O12" s="11" t="n">
        <f aca="false">IF(O$5&gt;=4,$C12*MAX(0,1-Inputs!$C$13-(Inputs!$C$14+Inputs!$C$84)*(O$5-4)),0)</f>
        <v>0</v>
      </c>
      <c r="P12" s="11" t="n">
        <f aca="false">IF(P$5&gt;=4,$C12*MAX(0,1-Inputs!$C$13-(Inputs!$C$14+Inputs!$C$84)*(P$5-4)),0)</f>
        <v>0</v>
      </c>
      <c r="Q12" s="11" t="n">
        <f aca="false">IF(Q$5&gt;=4,$C12*MAX(0,1-Inputs!$C$13-(Inputs!$C$14+Inputs!$C$84)*(Q$5-4)),0)</f>
        <v>0</v>
      </c>
      <c r="R12" s="11" t="n">
        <f aca="false">IF(R$5&gt;=4,$C12*MAX(0,1-Inputs!$C$13-(Inputs!$C$14+Inputs!$C$84)*(R$5-4)),0)</f>
        <v>0</v>
      </c>
      <c r="S12" s="11" t="n">
        <f aca="false">IF(S$5&gt;=4,$C12*MAX(0,1-Inputs!$C$13-(Inputs!$C$14+Inputs!$C$84)*(S$5-4)),0)</f>
        <v>0</v>
      </c>
      <c r="T12" s="11" t="n">
        <f aca="false">IF(T$5&gt;=4,$C12*MAX(0,1-Inputs!$C$13-(Inputs!$C$14+Inputs!$C$84)*(T$5-4)),0)</f>
        <v>0</v>
      </c>
      <c r="U12" s="11" t="n">
        <f aca="false">IF(U$5&gt;=4,$C12*MAX(0,1-Inputs!$C$13-(Inputs!$C$14+Inputs!$C$84)*(U$5-4)),0)</f>
        <v>0</v>
      </c>
      <c r="V12" s="11" t="n">
        <f aca="false">IF(V$5&gt;=4,$C12*MAX(0,1-Inputs!$C$13-(Inputs!$C$14+Inputs!$C$84)*(V$5-4)),0)</f>
        <v>0</v>
      </c>
      <c r="W12" s="11" t="n">
        <f aca="false">IF(W$5&gt;=4,$C12*MAX(0,1-Inputs!$C$13-(Inputs!$C$14+Inputs!$C$84)*(W$5-4)),0)</f>
        <v>0</v>
      </c>
    </row>
    <row r="13" customFormat="false" ht="15" hidden="false" customHeight="false" outlineLevel="0" collapsed="false">
      <c r="B13" s="2" t="s">
        <v>103</v>
      </c>
      <c r="C13" s="10" t="n">
        <f aca="false">I31</f>
        <v>50</v>
      </c>
      <c r="D13" s="11" t="n">
        <v>0</v>
      </c>
      <c r="E13" s="11" t="n">
        <v>0</v>
      </c>
      <c r="F13" s="11" t="n">
        <v>0</v>
      </c>
      <c r="G13" s="11" t="n">
        <v>0</v>
      </c>
      <c r="H13" s="11" t="n">
        <v>0</v>
      </c>
      <c r="I13" s="11" t="n">
        <f aca="false">IF(I$5&gt;=5,$C13*MAX(0,1-Inputs!$C$13-(Inputs!$C$14+Inputs!$C$84)*(I$5-5)),0)</f>
        <v>49</v>
      </c>
      <c r="J13" s="11" t="n">
        <f aca="false">IF(J$5&gt;=5,$C13*MAX(0,1-Inputs!$C$13-(Inputs!$C$14+Inputs!$C$84)*(J$5-5)),0)</f>
        <v>48.15</v>
      </c>
      <c r="K13" s="11" t="n">
        <f aca="false">IF(K$5&gt;=5,$C13*MAX(0,1-Inputs!$C$13-(Inputs!$C$14+Inputs!$C$84)*(K$5-5)),0)</f>
        <v>47.3</v>
      </c>
      <c r="L13" s="11" t="n">
        <f aca="false">IF(L$5&gt;=5,$C13*MAX(0,1-Inputs!$C$13-(Inputs!$C$14+Inputs!$C$84)*(L$5-5)),0)</f>
        <v>46.45</v>
      </c>
      <c r="M13" s="11" t="n">
        <f aca="false">IF(M$5&gt;=5,$C13*MAX(0,1-Inputs!$C$13-(Inputs!$C$14+Inputs!$C$84)*(M$5-5)),0)</f>
        <v>45.6</v>
      </c>
      <c r="N13" s="11" t="n">
        <f aca="false">IF(N$5&gt;=5,$C13*MAX(0,1-Inputs!$C$13-(Inputs!$C$14+Inputs!$C$84)*(N$5-5)),0)</f>
        <v>44.75</v>
      </c>
      <c r="O13" s="11" t="n">
        <f aca="false">IF(O$5&gt;=5,$C13*MAX(0,1-Inputs!$C$13-(Inputs!$C$14+Inputs!$C$84)*(O$5-5)),0)</f>
        <v>43.9</v>
      </c>
      <c r="P13" s="11" t="n">
        <f aca="false">IF(P$5&gt;=5,$C13*MAX(0,1-Inputs!$C$13-(Inputs!$C$14+Inputs!$C$84)*(P$5-5)),0)</f>
        <v>43.05</v>
      </c>
      <c r="Q13" s="11" t="n">
        <f aca="false">IF(Q$5&gt;=5,$C13*MAX(0,1-Inputs!$C$13-(Inputs!$C$14+Inputs!$C$84)*(Q$5-5)),0)</f>
        <v>42.2</v>
      </c>
      <c r="R13" s="11" t="n">
        <f aca="false">IF(R$5&gt;=5,$C13*MAX(0,1-Inputs!$C$13-(Inputs!$C$14+Inputs!$C$84)*(R$5-5)),0)</f>
        <v>41.35</v>
      </c>
      <c r="S13" s="11" t="n">
        <f aca="false">IF(S$5&gt;=5,$C13*MAX(0,1-Inputs!$C$13-(Inputs!$C$14+Inputs!$C$84)*(S$5-5)),0)</f>
        <v>40.5</v>
      </c>
      <c r="T13" s="11" t="n">
        <f aca="false">IF(T$5&gt;=5,$C13*MAX(0,1-Inputs!$C$13-(Inputs!$C$14+Inputs!$C$84)*(T$5-5)),0)</f>
        <v>39.65</v>
      </c>
      <c r="U13" s="11" t="n">
        <f aca="false">IF(U$5&gt;=5,$C13*MAX(0,1-Inputs!$C$13-(Inputs!$C$14+Inputs!$C$84)*(U$5-5)),0)</f>
        <v>38.8</v>
      </c>
      <c r="V13" s="11" t="n">
        <f aca="false">IF(V$5&gt;=5,$C13*MAX(0,1-Inputs!$C$13-(Inputs!$C$14+Inputs!$C$84)*(V$5-5)),0)</f>
        <v>37.95</v>
      </c>
      <c r="W13" s="11" t="n">
        <f aca="false">IF(W$5&gt;=5,$C13*MAX(0,1-Inputs!$C$13-(Inputs!$C$14+Inputs!$C$84)*(W$5-5)),0)</f>
        <v>37.1</v>
      </c>
    </row>
    <row r="14" customFormat="false" ht="15" hidden="false" customHeight="false" outlineLevel="0" collapsed="false">
      <c r="B14" s="2" t="s">
        <v>104</v>
      </c>
      <c r="C14" s="10" t="n">
        <f aca="false">J31</f>
        <v>0</v>
      </c>
      <c r="D14" s="11" t="n">
        <v>0</v>
      </c>
      <c r="E14" s="11" t="n">
        <v>0</v>
      </c>
      <c r="F14" s="11" t="n">
        <v>0</v>
      </c>
      <c r="G14" s="11" t="n">
        <v>0</v>
      </c>
      <c r="H14" s="11" t="n">
        <v>0</v>
      </c>
      <c r="I14" s="11" t="n">
        <v>0</v>
      </c>
      <c r="J14" s="11" t="n">
        <f aca="false">IF(J$5&gt;=6,$C14*MAX(0,1-Inputs!$C$13-(Inputs!$C$14+Inputs!$C$84)*(J$5-6)),0)</f>
        <v>0</v>
      </c>
      <c r="K14" s="11" t="n">
        <f aca="false">IF(K$5&gt;=6,$C14*MAX(0,1-Inputs!$C$13-(Inputs!$C$14+Inputs!$C$84)*(K$5-6)),0)</f>
        <v>0</v>
      </c>
      <c r="L14" s="11" t="n">
        <f aca="false">IF(L$5&gt;=6,$C14*MAX(0,1-Inputs!$C$13-(Inputs!$C$14+Inputs!$C$84)*(L$5-6)),0)</f>
        <v>0</v>
      </c>
      <c r="M14" s="11" t="n">
        <f aca="false">IF(M$5&gt;=6,$C14*MAX(0,1-Inputs!$C$13-(Inputs!$C$14+Inputs!$C$84)*(M$5-6)),0)</f>
        <v>0</v>
      </c>
      <c r="N14" s="11" t="n">
        <f aca="false">IF(N$5&gt;=6,$C14*MAX(0,1-Inputs!$C$13-(Inputs!$C$14+Inputs!$C$84)*(N$5-6)),0)</f>
        <v>0</v>
      </c>
      <c r="O14" s="11" t="n">
        <f aca="false">IF(O$5&gt;=6,$C14*MAX(0,1-Inputs!$C$13-(Inputs!$C$14+Inputs!$C$84)*(O$5-6)),0)</f>
        <v>0</v>
      </c>
      <c r="P14" s="11" t="n">
        <f aca="false">IF(P$5&gt;=6,$C14*MAX(0,1-Inputs!$C$13-(Inputs!$C$14+Inputs!$C$84)*(P$5-6)),0)</f>
        <v>0</v>
      </c>
      <c r="Q14" s="11" t="n">
        <f aca="false">IF(Q$5&gt;=6,$C14*MAX(0,1-Inputs!$C$13-(Inputs!$C$14+Inputs!$C$84)*(Q$5-6)),0)</f>
        <v>0</v>
      </c>
      <c r="R14" s="11" t="n">
        <f aca="false">IF(R$5&gt;=6,$C14*MAX(0,1-Inputs!$C$13-(Inputs!$C$14+Inputs!$C$84)*(R$5-6)),0)</f>
        <v>0</v>
      </c>
      <c r="S14" s="11" t="n">
        <f aca="false">IF(S$5&gt;=6,$C14*MAX(0,1-Inputs!$C$13-(Inputs!$C$14+Inputs!$C$84)*(S$5-6)),0)</f>
        <v>0</v>
      </c>
      <c r="T14" s="11" t="n">
        <f aca="false">IF(T$5&gt;=6,$C14*MAX(0,1-Inputs!$C$13-(Inputs!$C$14+Inputs!$C$84)*(T$5-6)),0)</f>
        <v>0</v>
      </c>
      <c r="U14" s="11" t="n">
        <f aca="false">IF(U$5&gt;=6,$C14*MAX(0,1-Inputs!$C$13-(Inputs!$C$14+Inputs!$C$84)*(U$5-6)),0)</f>
        <v>0</v>
      </c>
      <c r="V14" s="11" t="n">
        <f aca="false">IF(V$5&gt;=6,$C14*MAX(0,1-Inputs!$C$13-(Inputs!$C$14+Inputs!$C$84)*(V$5-6)),0)</f>
        <v>0</v>
      </c>
      <c r="W14" s="11" t="n">
        <f aca="false">IF(W$5&gt;=6,$C14*MAX(0,1-Inputs!$C$13-(Inputs!$C$14+Inputs!$C$84)*(W$5-6)),0)</f>
        <v>0</v>
      </c>
    </row>
    <row r="15" customFormat="false" ht="15" hidden="false" customHeight="false" outlineLevel="0" collapsed="false">
      <c r="B15" s="2" t="s">
        <v>105</v>
      </c>
      <c r="C15" s="10" t="n">
        <f aca="false">K31</f>
        <v>0</v>
      </c>
      <c r="D15" s="11" t="n">
        <v>0</v>
      </c>
      <c r="E15" s="11" t="n">
        <v>0</v>
      </c>
      <c r="F15" s="11" t="n">
        <v>0</v>
      </c>
      <c r="G15" s="11" t="n">
        <v>0</v>
      </c>
      <c r="H15" s="11" t="n">
        <v>0</v>
      </c>
      <c r="I15" s="11" t="n">
        <v>0</v>
      </c>
      <c r="J15" s="11" t="n">
        <v>0</v>
      </c>
      <c r="K15" s="11" t="n">
        <f aca="false">IF(K$5&gt;=7,$C15*MAX(0,1-Inputs!$C$13-(Inputs!$C$14+Inputs!$C$84)*(K$5-7)),0)</f>
        <v>0</v>
      </c>
      <c r="L15" s="11" t="n">
        <f aca="false">IF(L$5&gt;=7,$C15*MAX(0,1-Inputs!$C$13-(Inputs!$C$14+Inputs!$C$84)*(L$5-7)),0)</f>
        <v>0</v>
      </c>
      <c r="M15" s="11" t="n">
        <f aca="false">IF(M$5&gt;=7,$C15*MAX(0,1-Inputs!$C$13-(Inputs!$C$14+Inputs!$C$84)*(M$5-7)),0)</f>
        <v>0</v>
      </c>
      <c r="N15" s="11" t="n">
        <f aca="false">IF(N$5&gt;=7,$C15*MAX(0,1-Inputs!$C$13-(Inputs!$C$14+Inputs!$C$84)*(N$5-7)),0)</f>
        <v>0</v>
      </c>
      <c r="O15" s="11" t="n">
        <f aca="false">IF(O$5&gt;=7,$C15*MAX(0,1-Inputs!$C$13-(Inputs!$C$14+Inputs!$C$84)*(O$5-7)),0)</f>
        <v>0</v>
      </c>
      <c r="P15" s="11" t="n">
        <f aca="false">IF(P$5&gt;=7,$C15*MAX(0,1-Inputs!$C$13-(Inputs!$C$14+Inputs!$C$84)*(P$5-7)),0)</f>
        <v>0</v>
      </c>
      <c r="Q15" s="11" t="n">
        <f aca="false">IF(Q$5&gt;=7,$C15*MAX(0,1-Inputs!$C$13-(Inputs!$C$14+Inputs!$C$84)*(Q$5-7)),0)</f>
        <v>0</v>
      </c>
      <c r="R15" s="11" t="n">
        <f aca="false">IF(R$5&gt;=7,$C15*MAX(0,1-Inputs!$C$13-(Inputs!$C$14+Inputs!$C$84)*(R$5-7)),0)</f>
        <v>0</v>
      </c>
      <c r="S15" s="11" t="n">
        <f aca="false">IF(S$5&gt;=7,$C15*MAX(0,1-Inputs!$C$13-(Inputs!$C$14+Inputs!$C$84)*(S$5-7)),0)</f>
        <v>0</v>
      </c>
      <c r="T15" s="11" t="n">
        <f aca="false">IF(T$5&gt;=7,$C15*MAX(0,1-Inputs!$C$13-(Inputs!$C$14+Inputs!$C$84)*(T$5-7)),0)</f>
        <v>0</v>
      </c>
      <c r="U15" s="11" t="n">
        <f aca="false">IF(U$5&gt;=7,$C15*MAX(0,1-Inputs!$C$13-(Inputs!$C$14+Inputs!$C$84)*(U$5-7)),0)</f>
        <v>0</v>
      </c>
      <c r="V15" s="11" t="n">
        <f aca="false">IF(V$5&gt;=7,$C15*MAX(0,1-Inputs!$C$13-(Inputs!$C$14+Inputs!$C$84)*(V$5-7)),0)</f>
        <v>0</v>
      </c>
      <c r="W15" s="11" t="n">
        <f aca="false">IF(W$5&gt;=7,$C15*MAX(0,1-Inputs!$C$13-(Inputs!$C$14+Inputs!$C$84)*(W$5-7)),0)</f>
        <v>0</v>
      </c>
    </row>
    <row r="16" customFormat="false" ht="15" hidden="false" customHeight="false" outlineLevel="0" collapsed="false">
      <c r="B16" s="2" t="s">
        <v>106</v>
      </c>
      <c r="C16" s="10" t="n">
        <f aca="false">L31</f>
        <v>50</v>
      </c>
      <c r="D16" s="11" t="n">
        <v>0</v>
      </c>
      <c r="E16" s="11" t="n">
        <v>0</v>
      </c>
      <c r="F16" s="11" t="n">
        <v>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f aca="false">IF(L$5&gt;=8,$C16*MAX(0,1-Inputs!$C$13-(Inputs!$C$14+Inputs!$C$84)*(L$5-8)),0)</f>
        <v>49</v>
      </c>
      <c r="M16" s="11" t="n">
        <f aca="false">IF(M$5&gt;=8,$C16*MAX(0,1-Inputs!$C$13-(Inputs!$C$14+Inputs!$C$84)*(M$5-8)),0)</f>
        <v>48.15</v>
      </c>
      <c r="N16" s="11" t="n">
        <f aca="false">IF(N$5&gt;=8,$C16*MAX(0,1-Inputs!$C$13-(Inputs!$C$14+Inputs!$C$84)*(N$5-8)),0)</f>
        <v>47.3</v>
      </c>
      <c r="O16" s="11" t="n">
        <f aca="false">IF(O$5&gt;=8,$C16*MAX(0,1-Inputs!$C$13-(Inputs!$C$14+Inputs!$C$84)*(O$5-8)),0)</f>
        <v>46.45</v>
      </c>
      <c r="P16" s="11" t="n">
        <f aca="false">IF(P$5&gt;=8,$C16*MAX(0,1-Inputs!$C$13-(Inputs!$C$14+Inputs!$C$84)*(P$5-8)),0)</f>
        <v>45.6</v>
      </c>
      <c r="Q16" s="11" t="n">
        <f aca="false">IF(Q$5&gt;=8,$C16*MAX(0,1-Inputs!$C$13-(Inputs!$C$14+Inputs!$C$84)*(Q$5-8)),0)</f>
        <v>44.75</v>
      </c>
      <c r="R16" s="11" t="n">
        <f aca="false">IF(R$5&gt;=8,$C16*MAX(0,1-Inputs!$C$13-(Inputs!$C$14+Inputs!$C$84)*(R$5-8)),0)</f>
        <v>43.9</v>
      </c>
      <c r="S16" s="11" t="n">
        <f aca="false">IF(S$5&gt;=8,$C16*MAX(0,1-Inputs!$C$13-(Inputs!$C$14+Inputs!$C$84)*(S$5-8)),0)</f>
        <v>43.05</v>
      </c>
      <c r="T16" s="11" t="n">
        <f aca="false">IF(T$5&gt;=8,$C16*MAX(0,1-Inputs!$C$13-(Inputs!$C$14+Inputs!$C$84)*(T$5-8)),0)</f>
        <v>42.2</v>
      </c>
      <c r="U16" s="11" t="n">
        <f aca="false">IF(U$5&gt;=8,$C16*MAX(0,1-Inputs!$C$13-(Inputs!$C$14+Inputs!$C$84)*(U$5-8)),0)</f>
        <v>41.35</v>
      </c>
      <c r="V16" s="11" t="n">
        <f aca="false">IF(V$5&gt;=8,$C16*MAX(0,1-Inputs!$C$13-(Inputs!$C$14+Inputs!$C$84)*(V$5-8)),0)</f>
        <v>40.5</v>
      </c>
      <c r="W16" s="11" t="n">
        <f aca="false">IF(W$5&gt;=8,$C16*MAX(0,1-Inputs!$C$13-(Inputs!$C$14+Inputs!$C$84)*(W$5-8)),0)</f>
        <v>39.65</v>
      </c>
    </row>
    <row r="17" customFormat="false" ht="15" hidden="false" customHeight="false" outlineLevel="0" collapsed="false">
      <c r="B17" s="2" t="s">
        <v>107</v>
      </c>
      <c r="C17" s="10" t="n">
        <f aca="false">M31</f>
        <v>0</v>
      </c>
      <c r="D17" s="11" t="n">
        <v>0</v>
      </c>
      <c r="E17" s="11" t="n">
        <v>0</v>
      </c>
      <c r="F17" s="11" t="n">
        <v>0</v>
      </c>
      <c r="G17" s="11" t="n">
        <v>0</v>
      </c>
      <c r="H17" s="11" t="n">
        <v>0</v>
      </c>
      <c r="I17" s="11" t="n">
        <v>0</v>
      </c>
      <c r="J17" s="11" t="n">
        <v>0</v>
      </c>
      <c r="K17" s="11" t="n">
        <v>0</v>
      </c>
      <c r="L17" s="11" t="n">
        <v>0</v>
      </c>
      <c r="M17" s="11" t="n">
        <f aca="false">IF(M$5&gt;=9,$C17*MAX(0,1-Inputs!$C$13-(Inputs!$C$14+Inputs!$C$84)*(M$5-9)),0)</f>
        <v>0</v>
      </c>
      <c r="N17" s="11" t="n">
        <f aca="false">IF(N$5&gt;=9,$C17*MAX(0,1-Inputs!$C$13-(Inputs!$C$14+Inputs!$C$84)*(N$5-9)),0)</f>
        <v>0</v>
      </c>
      <c r="O17" s="11" t="n">
        <f aca="false">IF(O$5&gt;=9,$C17*MAX(0,1-Inputs!$C$13-(Inputs!$C$14+Inputs!$C$84)*(O$5-9)),0)</f>
        <v>0</v>
      </c>
      <c r="P17" s="11" t="n">
        <f aca="false">IF(P$5&gt;=9,$C17*MAX(0,1-Inputs!$C$13-(Inputs!$C$14+Inputs!$C$84)*(P$5-9)),0)</f>
        <v>0</v>
      </c>
      <c r="Q17" s="11" t="n">
        <f aca="false">IF(Q$5&gt;=9,$C17*MAX(0,1-Inputs!$C$13-(Inputs!$C$14+Inputs!$C$84)*(Q$5-9)),0)</f>
        <v>0</v>
      </c>
      <c r="R17" s="11" t="n">
        <f aca="false">IF(R$5&gt;=9,$C17*MAX(0,1-Inputs!$C$13-(Inputs!$C$14+Inputs!$C$84)*(R$5-9)),0)</f>
        <v>0</v>
      </c>
      <c r="S17" s="11" t="n">
        <f aca="false">IF(S$5&gt;=9,$C17*MAX(0,1-Inputs!$C$13-(Inputs!$C$14+Inputs!$C$84)*(S$5-9)),0)</f>
        <v>0</v>
      </c>
      <c r="T17" s="11" t="n">
        <f aca="false">IF(T$5&gt;=9,$C17*MAX(0,1-Inputs!$C$13-(Inputs!$C$14+Inputs!$C$84)*(T$5-9)),0)</f>
        <v>0</v>
      </c>
      <c r="U17" s="11" t="n">
        <f aca="false">IF(U$5&gt;=9,$C17*MAX(0,1-Inputs!$C$13-(Inputs!$C$14+Inputs!$C$84)*(U$5-9)),0)</f>
        <v>0</v>
      </c>
      <c r="V17" s="11" t="n">
        <f aca="false">IF(V$5&gt;=9,$C17*MAX(0,1-Inputs!$C$13-(Inputs!$C$14+Inputs!$C$84)*(V$5-9)),0)</f>
        <v>0</v>
      </c>
      <c r="W17" s="11" t="n">
        <f aca="false">IF(W$5&gt;=9,$C17*MAX(0,1-Inputs!$C$13-(Inputs!$C$14+Inputs!$C$84)*(W$5-9)),0)</f>
        <v>0</v>
      </c>
    </row>
    <row r="18" customFormat="false" ht="15" hidden="false" customHeight="false" outlineLevel="0" collapsed="false">
      <c r="B18" s="2" t="s">
        <v>108</v>
      </c>
      <c r="C18" s="10" t="n">
        <f aca="false">N31</f>
        <v>0</v>
      </c>
      <c r="D18" s="11" t="n">
        <v>0</v>
      </c>
      <c r="E18" s="11" t="n">
        <v>0</v>
      </c>
      <c r="F18" s="11" t="n">
        <v>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1" t="n">
        <f aca="false">IF(N$5&gt;=10,$C18*MAX(0,1-Inputs!$C$13-(Inputs!$C$14+Inputs!$C$84)*(N$5-10)),0)</f>
        <v>0</v>
      </c>
      <c r="O18" s="11" t="n">
        <f aca="false">IF(O$5&gt;=10,$C18*MAX(0,1-Inputs!$C$13-(Inputs!$C$14+Inputs!$C$84)*(O$5-10)),0)</f>
        <v>0</v>
      </c>
      <c r="P18" s="11" t="n">
        <f aca="false">IF(P$5&gt;=10,$C18*MAX(0,1-Inputs!$C$13-(Inputs!$C$14+Inputs!$C$84)*(P$5-10)),0)</f>
        <v>0</v>
      </c>
      <c r="Q18" s="11" t="n">
        <f aca="false">IF(Q$5&gt;=10,$C18*MAX(0,1-Inputs!$C$13-(Inputs!$C$14+Inputs!$C$84)*(Q$5-10)),0)</f>
        <v>0</v>
      </c>
      <c r="R18" s="11" t="n">
        <f aca="false">IF(R$5&gt;=10,$C18*MAX(0,1-Inputs!$C$13-(Inputs!$C$14+Inputs!$C$84)*(R$5-10)),0)</f>
        <v>0</v>
      </c>
      <c r="S18" s="11" t="n">
        <f aca="false">IF(S$5&gt;=10,$C18*MAX(0,1-Inputs!$C$13-(Inputs!$C$14+Inputs!$C$84)*(S$5-10)),0)</f>
        <v>0</v>
      </c>
      <c r="T18" s="11" t="n">
        <f aca="false">IF(T$5&gt;=10,$C18*MAX(0,1-Inputs!$C$13-(Inputs!$C$14+Inputs!$C$84)*(T$5-10)),0)</f>
        <v>0</v>
      </c>
      <c r="U18" s="11" t="n">
        <f aca="false">IF(U$5&gt;=10,$C18*MAX(0,1-Inputs!$C$13-(Inputs!$C$14+Inputs!$C$84)*(U$5-10)),0)</f>
        <v>0</v>
      </c>
      <c r="V18" s="11" t="n">
        <f aca="false">IF(V$5&gt;=10,$C18*MAX(0,1-Inputs!$C$13-(Inputs!$C$14+Inputs!$C$84)*(V$5-10)),0)</f>
        <v>0</v>
      </c>
      <c r="W18" s="11" t="n">
        <f aca="false">IF(W$5&gt;=10,$C18*MAX(0,1-Inputs!$C$13-(Inputs!$C$14+Inputs!$C$84)*(W$5-10)),0)</f>
        <v>0</v>
      </c>
    </row>
    <row r="19" customFormat="false" ht="15" hidden="false" customHeight="false" outlineLevel="0" collapsed="false">
      <c r="B19" s="2" t="s">
        <v>109</v>
      </c>
      <c r="C19" s="10" t="n">
        <f aca="false">O31</f>
        <v>50</v>
      </c>
      <c r="D19" s="11" t="n">
        <v>0</v>
      </c>
      <c r="E19" s="11" t="n">
        <v>0</v>
      </c>
      <c r="F19" s="11" t="n">
        <v>0</v>
      </c>
      <c r="G19" s="11" t="n">
        <v>0</v>
      </c>
      <c r="H19" s="11" t="n">
        <v>0</v>
      </c>
      <c r="I19" s="11" t="n">
        <v>0</v>
      </c>
      <c r="J19" s="11" t="n">
        <v>0</v>
      </c>
      <c r="K19" s="11" t="n">
        <v>0</v>
      </c>
      <c r="L19" s="11" t="n">
        <v>0</v>
      </c>
      <c r="M19" s="11" t="n">
        <v>0</v>
      </c>
      <c r="N19" s="11" t="n">
        <v>0</v>
      </c>
      <c r="O19" s="11" t="n">
        <f aca="false">IF(O$5&gt;=11,$C19*MAX(0,1-Inputs!$C$13-(Inputs!$C$14+Inputs!$C$84)*(O$5-11)),0)</f>
        <v>49</v>
      </c>
      <c r="P19" s="11" t="n">
        <f aca="false">IF(P$5&gt;=11,$C19*MAX(0,1-Inputs!$C$13-(Inputs!$C$14+Inputs!$C$84)*(P$5-11)),0)</f>
        <v>48.15</v>
      </c>
      <c r="Q19" s="11" t="n">
        <f aca="false">IF(Q$5&gt;=11,$C19*MAX(0,1-Inputs!$C$13-(Inputs!$C$14+Inputs!$C$84)*(Q$5-11)),0)</f>
        <v>47.3</v>
      </c>
      <c r="R19" s="11" t="n">
        <f aca="false">IF(R$5&gt;=11,$C19*MAX(0,1-Inputs!$C$13-(Inputs!$C$14+Inputs!$C$84)*(R$5-11)),0)</f>
        <v>46.45</v>
      </c>
      <c r="S19" s="11" t="n">
        <f aca="false">IF(S$5&gt;=11,$C19*MAX(0,1-Inputs!$C$13-(Inputs!$C$14+Inputs!$C$84)*(S$5-11)),0)</f>
        <v>45.6</v>
      </c>
      <c r="T19" s="11" t="n">
        <f aca="false">IF(T$5&gt;=11,$C19*MAX(0,1-Inputs!$C$13-(Inputs!$C$14+Inputs!$C$84)*(T$5-11)),0)</f>
        <v>44.75</v>
      </c>
      <c r="U19" s="11" t="n">
        <f aca="false">IF(U$5&gt;=11,$C19*MAX(0,1-Inputs!$C$13-(Inputs!$C$14+Inputs!$C$84)*(U$5-11)),0)</f>
        <v>43.9</v>
      </c>
      <c r="V19" s="11" t="n">
        <f aca="false">IF(V$5&gt;=11,$C19*MAX(0,1-Inputs!$C$13-(Inputs!$C$14+Inputs!$C$84)*(V$5-11)),0)</f>
        <v>43.05</v>
      </c>
      <c r="W19" s="11" t="n">
        <f aca="false">IF(W$5&gt;=11,$C19*MAX(0,1-Inputs!$C$13-(Inputs!$C$14+Inputs!$C$84)*(W$5-11)),0)</f>
        <v>42.2</v>
      </c>
    </row>
    <row r="20" customFormat="false" ht="15" hidden="false" customHeight="false" outlineLevel="0" collapsed="false">
      <c r="B20" s="2" t="s">
        <v>110</v>
      </c>
      <c r="C20" s="10" t="n">
        <f aca="false">P31</f>
        <v>0</v>
      </c>
      <c r="D20" s="11" t="n">
        <v>0</v>
      </c>
      <c r="E20" s="11" t="n">
        <v>0</v>
      </c>
      <c r="F20" s="11" t="n">
        <v>0</v>
      </c>
      <c r="G20" s="11" t="n">
        <v>0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1" t="n">
        <v>0</v>
      </c>
      <c r="O20" s="11" t="n">
        <v>0</v>
      </c>
      <c r="P20" s="11" t="n">
        <f aca="false">IF(P$5&gt;=12,$C20*MAX(0,1-Inputs!$C$13-(Inputs!$C$14+Inputs!$C$84)*(P$5-12)),0)</f>
        <v>0</v>
      </c>
      <c r="Q20" s="11" t="n">
        <f aca="false">IF(Q$5&gt;=12,$C20*MAX(0,1-Inputs!$C$13-(Inputs!$C$14+Inputs!$C$84)*(Q$5-12)),0)</f>
        <v>0</v>
      </c>
      <c r="R20" s="11" t="n">
        <f aca="false">IF(R$5&gt;=12,$C20*MAX(0,1-Inputs!$C$13-(Inputs!$C$14+Inputs!$C$84)*(R$5-12)),0)</f>
        <v>0</v>
      </c>
      <c r="S20" s="11" t="n">
        <f aca="false">IF(S$5&gt;=12,$C20*MAX(0,1-Inputs!$C$13-(Inputs!$C$14+Inputs!$C$84)*(S$5-12)),0)</f>
        <v>0</v>
      </c>
      <c r="T20" s="11" t="n">
        <f aca="false">IF(T$5&gt;=12,$C20*MAX(0,1-Inputs!$C$13-(Inputs!$C$14+Inputs!$C$84)*(T$5-12)),0)</f>
        <v>0</v>
      </c>
      <c r="U20" s="11" t="n">
        <f aca="false">IF(U$5&gt;=12,$C20*MAX(0,1-Inputs!$C$13-(Inputs!$C$14+Inputs!$C$84)*(U$5-12)),0)</f>
        <v>0</v>
      </c>
      <c r="V20" s="11" t="n">
        <f aca="false">IF(V$5&gt;=12,$C20*MAX(0,1-Inputs!$C$13-(Inputs!$C$14+Inputs!$C$84)*(V$5-12)),0)</f>
        <v>0</v>
      </c>
      <c r="W20" s="11" t="n">
        <f aca="false">IF(W$5&gt;=12,$C20*MAX(0,1-Inputs!$C$13-(Inputs!$C$14+Inputs!$C$84)*(W$5-12)),0)</f>
        <v>0</v>
      </c>
    </row>
    <row r="21" customFormat="false" ht="15" hidden="false" customHeight="false" outlineLevel="0" collapsed="false">
      <c r="B21" s="2" t="s">
        <v>111</v>
      </c>
      <c r="C21" s="10" t="n">
        <f aca="false">Q31</f>
        <v>0</v>
      </c>
      <c r="D21" s="11" t="n">
        <v>0</v>
      </c>
      <c r="E21" s="11" t="n">
        <v>0</v>
      </c>
      <c r="F21" s="11" t="n">
        <v>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1" t="n">
        <v>0</v>
      </c>
      <c r="O21" s="11" t="n">
        <v>0</v>
      </c>
      <c r="P21" s="11" t="n">
        <v>0</v>
      </c>
      <c r="Q21" s="11" t="n">
        <f aca="false">IF(Q$5&gt;=13,$C21*MAX(0,1-Inputs!$C$13-(Inputs!$C$14+Inputs!$C$84)*(Q$5-13)),0)</f>
        <v>0</v>
      </c>
      <c r="R21" s="11" t="n">
        <f aca="false">IF(R$5&gt;=13,$C21*MAX(0,1-Inputs!$C$13-(Inputs!$C$14+Inputs!$C$84)*(R$5-13)),0)</f>
        <v>0</v>
      </c>
      <c r="S21" s="11" t="n">
        <f aca="false">IF(S$5&gt;=13,$C21*MAX(0,1-Inputs!$C$13-(Inputs!$C$14+Inputs!$C$84)*(S$5-13)),0)</f>
        <v>0</v>
      </c>
      <c r="T21" s="11" t="n">
        <f aca="false">IF(T$5&gt;=13,$C21*MAX(0,1-Inputs!$C$13-(Inputs!$C$14+Inputs!$C$84)*(T$5-13)),0)</f>
        <v>0</v>
      </c>
      <c r="U21" s="11" t="n">
        <f aca="false">IF(U$5&gt;=13,$C21*MAX(0,1-Inputs!$C$13-(Inputs!$C$14+Inputs!$C$84)*(U$5-13)),0)</f>
        <v>0</v>
      </c>
      <c r="V21" s="11" t="n">
        <f aca="false">IF(V$5&gt;=13,$C21*MAX(0,1-Inputs!$C$13-(Inputs!$C$14+Inputs!$C$84)*(V$5-13)),0)</f>
        <v>0</v>
      </c>
      <c r="W21" s="11" t="n">
        <f aca="false">IF(W$5&gt;=13,$C21*MAX(0,1-Inputs!$C$13-(Inputs!$C$14+Inputs!$C$84)*(W$5-13)),0)</f>
        <v>0</v>
      </c>
    </row>
    <row r="22" customFormat="false" ht="15" hidden="false" customHeight="false" outlineLevel="0" collapsed="false">
      <c r="B22" s="2" t="s">
        <v>112</v>
      </c>
      <c r="C22" s="10" t="n">
        <f aca="false">R31</f>
        <v>50</v>
      </c>
      <c r="D22" s="11" t="n">
        <v>0</v>
      </c>
      <c r="E22" s="11" t="n">
        <v>0</v>
      </c>
      <c r="F22" s="11" t="n">
        <v>0</v>
      </c>
      <c r="G22" s="11" t="n">
        <v>0</v>
      </c>
      <c r="H22" s="11" t="n">
        <v>0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1" t="n">
        <v>0</v>
      </c>
      <c r="O22" s="11" t="n">
        <v>0</v>
      </c>
      <c r="P22" s="11" t="n">
        <v>0</v>
      </c>
      <c r="Q22" s="11" t="n">
        <v>0</v>
      </c>
      <c r="R22" s="11" t="n">
        <f aca="false">IF(R$5&gt;=14,$C22*MAX(0,1-Inputs!$C$13-(Inputs!$C$14+Inputs!$C$84)*(R$5-14)),0)</f>
        <v>49</v>
      </c>
      <c r="S22" s="11" t="n">
        <f aca="false">IF(S$5&gt;=14,$C22*MAX(0,1-Inputs!$C$13-(Inputs!$C$14+Inputs!$C$84)*(S$5-14)),0)</f>
        <v>48.15</v>
      </c>
      <c r="T22" s="11" t="n">
        <f aca="false">IF(T$5&gt;=14,$C22*MAX(0,1-Inputs!$C$13-(Inputs!$C$14+Inputs!$C$84)*(T$5-14)),0)</f>
        <v>47.3</v>
      </c>
      <c r="U22" s="11" t="n">
        <f aca="false">IF(U$5&gt;=14,$C22*MAX(0,1-Inputs!$C$13-(Inputs!$C$14+Inputs!$C$84)*(U$5-14)),0)</f>
        <v>46.45</v>
      </c>
      <c r="V22" s="11" t="n">
        <f aca="false">IF(V$5&gt;=14,$C22*MAX(0,1-Inputs!$C$13-(Inputs!$C$14+Inputs!$C$84)*(V$5-14)),0)</f>
        <v>45.6</v>
      </c>
      <c r="W22" s="11" t="n">
        <f aca="false">IF(W$5&gt;=14,$C22*MAX(0,1-Inputs!$C$13-(Inputs!$C$14+Inputs!$C$84)*(W$5-14)),0)</f>
        <v>44.75</v>
      </c>
    </row>
    <row r="23" customFormat="false" ht="15" hidden="false" customHeight="false" outlineLevel="0" collapsed="false">
      <c r="B23" s="2" t="s">
        <v>113</v>
      </c>
      <c r="C23" s="10" t="n">
        <f aca="false">S31</f>
        <v>0</v>
      </c>
      <c r="D23" s="11" t="n">
        <v>0</v>
      </c>
      <c r="E23" s="11" t="n">
        <v>0</v>
      </c>
      <c r="F23" s="11" t="n">
        <v>0</v>
      </c>
      <c r="G23" s="11" t="n">
        <v>0</v>
      </c>
      <c r="H23" s="11" t="n">
        <v>0</v>
      </c>
      <c r="I23" s="11" t="n">
        <v>0</v>
      </c>
      <c r="J23" s="11" t="n">
        <v>0</v>
      </c>
      <c r="K23" s="11" t="n">
        <v>0</v>
      </c>
      <c r="L23" s="11" t="n">
        <v>0</v>
      </c>
      <c r="M23" s="11" t="n">
        <v>0</v>
      </c>
      <c r="N23" s="11" t="n">
        <v>0</v>
      </c>
      <c r="O23" s="11" t="n">
        <v>0</v>
      </c>
      <c r="P23" s="11" t="n">
        <v>0</v>
      </c>
      <c r="Q23" s="11" t="n">
        <v>0</v>
      </c>
      <c r="R23" s="11" t="n">
        <v>0</v>
      </c>
      <c r="S23" s="11" t="n">
        <f aca="false">IF(S$5&gt;=15,$C23*MAX(0,1-Inputs!$C$13-(Inputs!$C$14+Inputs!$C$84)*(S$5-15)),0)</f>
        <v>0</v>
      </c>
      <c r="T23" s="11" t="n">
        <f aca="false">IF(T$5&gt;=15,$C23*MAX(0,1-Inputs!$C$13-(Inputs!$C$14+Inputs!$C$84)*(T$5-15)),0)</f>
        <v>0</v>
      </c>
      <c r="U23" s="11" t="n">
        <f aca="false">IF(U$5&gt;=15,$C23*MAX(0,1-Inputs!$C$13-(Inputs!$C$14+Inputs!$C$84)*(U$5-15)),0)</f>
        <v>0</v>
      </c>
      <c r="V23" s="11" t="n">
        <f aca="false">IF(V$5&gt;=15,$C23*MAX(0,1-Inputs!$C$13-(Inputs!$C$14+Inputs!$C$84)*(V$5-15)),0)</f>
        <v>0</v>
      </c>
      <c r="W23" s="11" t="n">
        <f aca="false">IF(W$5&gt;=15,$C23*MAX(0,1-Inputs!$C$13-(Inputs!$C$14+Inputs!$C$84)*(W$5-15)),0)</f>
        <v>0</v>
      </c>
    </row>
    <row r="24" customFormat="false" ht="15" hidden="false" customHeight="false" outlineLevel="0" collapsed="false">
      <c r="B24" s="2" t="s">
        <v>114</v>
      </c>
      <c r="C24" s="10" t="n">
        <f aca="false">T31</f>
        <v>0</v>
      </c>
      <c r="D24" s="11" t="n">
        <v>0</v>
      </c>
      <c r="E24" s="11" t="n">
        <v>0</v>
      </c>
      <c r="F24" s="11" t="n">
        <v>0</v>
      </c>
      <c r="G24" s="11" t="n">
        <v>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1" t="n">
        <v>0</v>
      </c>
      <c r="O24" s="11" t="n">
        <v>0</v>
      </c>
      <c r="P24" s="11" t="n">
        <v>0</v>
      </c>
      <c r="Q24" s="11" t="n">
        <v>0</v>
      </c>
      <c r="R24" s="11" t="n">
        <v>0</v>
      </c>
      <c r="S24" s="11" t="n">
        <v>0</v>
      </c>
      <c r="T24" s="11" t="n">
        <f aca="false">IF(T$5&gt;=16,$C24*MAX(0,1-Inputs!$C$13-(Inputs!$C$14+Inputs!$C$84)*(T$5-16)),0)</f>
        <v>0</v>
      </c>
      <c r="U24" s="11" t="n">
        <f aca="false">IF(U$5&gt;=16,$C24*MAX(0,1-Inputs!$C$13-(Inputs!$C$14+Inputs!$C$84)*(U$5-16)),0)</f>
        <v>0</v>
      </c>
      <c r="V24" s="11" t="n">
        <f aca="false">IF(V$5&gt;=16,$C24*MAX(0,1-Inputs!$C$13-(Inputs!$C$14+Inputs!$C$84)*(V$5-16)),0)</f>
        <v>0</v>
      </c>
      <c r="W24" s="11" t="n">
        <f aca="false">IF(W$5&gt;=16,$C24*MAX(0,1-Inputs!$C$13-(Inputs!$C$14+Inputs!$C$84)*(W$5-16)),0)</f>
        <v>0</v>
      </c>
    </row>
    <row r="25" customFormat="false" ht="15" hidden="false" customHeight="false" outlineLevel="0" collapsed="false">
      <c r="B25" s="2" t="s">
        <v>115</v>
      </c>
      <c r="C25" s="10" t="n">
        <f aca="false">U31</f>
        <v>60</v>
      </c>
      <c r="D25" s="11" t="n">
        <v>0</v>
      </c>
      <c r="E25" s="11" t="n">
        <v>0</v>
      </c>
      <c r="F25" s="11" t="n">
        <v>0</v>
      </c>
      <c r="G25" s="11" t="n">
        <v>0</v>
      </c>
      <c r="H25" s="11" t="n">
        <v>0</v>
      </c>
      <c r="I25" s="11" t="n">
        <v>0</v>
      </c>
      <c r="J25" s="11" t="n">
        <v>0</v>
      </c>
      <c r="K25" s="11" t="n">
        <v>0</v>
      </c>
      <c r="L25" s="11" t="n">
        <v>0</v>
      </c>
      <c r="M25" s="11" t="n">
        <v>0</v>
      </c>
      <c r="N25" s="11" t="n">
        <v>0</v>
      </c>
      <c r="O25" s="11" t="n">
        <v>0</v>
      </c>
      <c r="P25" s="11" t="n">
        <v>0</v>
      </c>
      <c r="Q25" s="11" t="n">
        <v>0</v>
      </c>
      <c r="R25" s="11" t="n">
        <v>0</v>
      </c>
      <c r="S25" s="11" t="n">
        <v>0</v>
      </c>
      <c r="T25" s="11" t="n">
        <v>0</v>
      </c>
      <c r="U25" s="11" t="n">
        <f aca="false">IF(U$5&gt;=17,$C25*MAX(0,1-Inputs!$C$13-(Inputs!$C$14+Inputs!$C$84)*(U$5-17)),0)</f>
        <v>58.8</v>
      </c>
      <c r="V25" s="11" t="n">
        <f aca="false">IF(V$5&gt;=17,$C25*MAX(0,1-Inputs!$C$13-(Inputs!$C$14+Inputs!$C$84)*(V$5-17)),0)</f>
        <v>57.78</v>
      </c>
      <c r="W25" s="11" t="n">
        <f aca="false">IF(W$5&gt;=17,$C25*MAX(0,1-Inputs!$C$13-(Inputs!$C$14+Inputs!$C$84)*(W$5-17)),0)</f>
        <v>56.76</v>
      </c>
    </row>
    <row r="26" customFormat="false" ht="15" hidden="false" customHeight="false" outlineLevel="0" collapsed="false">
      <c r="B26" s="2" t="s">
        <v>116</v>
      </c>
      <c r="C26" s="10" t="n">
        <f aca="false">V31</f>
        <v>0</v>
      </c>
      <c r="D26" s="11" t="n">
        <v>0</v>
      </c>
      <c r="E26" s="11" t="n">
        <v>0</v>
      </c>
      <c r="F26" s="11" t="n">
        <v>0</v>
      </c>
      <c r="G26" s="11" t="n">
        <v>0</v>
      </c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1" t="n">
        <v>0</v>
      </c>
      <c r="O26" s="11" t="n">
        <v>0</v>
      </c>
      <c r="P26" s="11" t="n">
        <v>0</v>
      </c>
      <c r="Q26" s="11" t="n">
        <v>0</v>
      </c>
      <c r="R26" s="11" t="n">
        <v>0</v>
      </c>
      <c r="S26" s="11" t="n">
        <v>0</v>
      </c>
      <c r="T26" s="11" t="n">
        <v>0</v>
      </c>
      <c r="U26" s="11" t="n">
        <v>0</v>
      </c>
      <c r="V26" s="11" t="n">
        <f aca="false">IF(V$5&gt;=18,$C26*MAX(0,1-Inputs!$C$13-(Inputs!$C$14+Inputs!$C$84)*(V$5-18)),0)</f>
        <v>0</v>
      </c>
      <c r="W26" s="11" t="n">
        <f aca="false">IF(W$5&gt;=18,$C26*MAX(0,1-Inputs!$C$13-(Inputs!$C$14+Inputs!$C$84)*(W$5-18)),0)</f>
        <v>0</v>
      </c>
    </row>
    <row r="27" customFormat="false" ht="15" hidden="false" customHeight="false" outlineLevel="0" collapsed="false">
      <c r="B27" s="2" t="s">
        <v>117</v>
      </c>
      <c r="C27" s="10" t="n">
        <f aca="false">W31</f>
        <v>0</v>
      </c>
      <c r="D27" s="11" t="n">
        <v>0</v>
      </c>
      <c r="E27" s="11" t="n">
        <v>0</v>
      </c>
      <c r="F27" s="11" t="n">
        <v>0</v>
      </c>
      <c r="G27" s="11" t="n">
        <v>0</v>
      </c>
      <c r="H27" s="11" t="n">
        <v>0</v>
      </c>
      <c r="I27" s="11" t="n">
        <v>0</v>
      </c>
      <c r="J27" s="11" t="n">
        <v>0</v>
      </c>
      <c r="K27" s="11" t="n">
        <v>0</v>
      </c>
      <c r="L27" s="11" t="n">
        <v>0</v>
      </c>
      <c r="M27" s="11" t="n">
        <v>0</v>
      </c>
      <c r="N27" s="11" t="n">
        <v>0</v>
      </c>
      <c r="O27" s="11" t="n">
        <v>0</v>
      </c>
      <c r="P27" s="11" t="n">
        <v>0</v>
      </c>
      <c r="Q27" s="11" t="n">
        <v>0</v>
      </c>
      <c r="R27" s="11" t="n">
        <v>0</v>
      </c>
      <c r="S27" s="11" t="n">
        <v>0</v>
      </c>
      <c r="T27" s="11" t="n">
        <v>0</v>
      </c>
      <c r="U27" s="11" t="n">
        <v>0</v>
      </c>
      <c r="V27" s="11" t="n">
        <v>0</v>
      </c>
      <c r="W27" s="11" t="n">
        <f aca="false">IF(W$5&gt;=19,$C27*MAX(0,1-Inputs!$C$13-(Inputs!$C$14+Inputs!$C$84)*(W$5-19)),0)</f>
        <v>0</v>
      </c>
    </row>
    <row r="29" customFormat="false" ht="15" hidden="false" customHeight="false" outlineLevel="0" collapsed="false">
      <c r="B29" s="2" t="s">
        <v>118</v>
      </c>
      <c r="D29" s="11" t="n">
        <f aca="false">D8</f>
        <v>823.2</v>
      </c>
      <c r="E29" s="11" t="n">
        <f aca="false">SUM(E8)</f>
        <v>808.92</v>
      </c>
      <c r="F29" s="11" t="n">
        <f aca="false">SUM(F8:F9)</f>
        <v>794.64</v>
      </c>
      <c r="G29" s="11" t="n">
        <f aca="false">SUM(G8:G10)</f>
        <v>828.51</v>
      </c>
      <c r="H29" s="11" t="n">
        <f aca="false">SUM(H8:H11)</f>
        <v>813.38</v>
      </c>
      <c r="I29" s="11" t="n">
        <f aca="false">SUM(I8:I12)</f>
        <v>798.25</v>
      </c>
      <c r="J29" s="11" t="n">
        <f aca="false">SUM(J8:J13)</f>
        <v>831.27</v>
      </c>
      <c r="K29" s="11" t="n">
        <f aca="false">SUM(K8:K14)</f>
        <v>815.29</v>
      </c>
      <c r="L29" s="11" t="n">
        <f aca="false">SUM(L8:L15)</f>
        <v>799.31</v>
      </c>
      <c r="M29" s="11" t="n">
        <f aca="false">SUM(M8:M16)</f>
        <v>831.48</v>
      </c>
      <c r="N29" s="11" t="n">
        <f aca="false">SUM(N8:N17)</f>
        <v>814.65</v>
      </c>
      <c r="O29" s="11" t="n">
        <f aca="false">SUM(O8:O18)</f>
        <v>797.82</v>
      </c>
      <c r="P29" s="11" t="n">
        <f aca="false">SUM(P8:P19)</f>
        <v>829.14</v>
      </c>
      <c r="Q29" s="11" t="n">
        <f aca="false">SUM(Q8:Q20)</f>
        <v>811.46</v>
      </c>
      <c r="R29" s="11" t="n">
        <f aca="false">SUM(R8:R21)</f>
        <v>793.78</v>
      </c>
      <c r="S29" s="11" t="n">
        <f aca="false">SUM(S8:S22)</f>
        <v>824.25</v>
      </c>
      <c r="T29" s="11" t="n">
        <f aca="false">SUM(T8:T23)</f>
        <v>805.72</v>
      </c>
      <c r="U29" s="11" t="n">
        <f aca="false">SUM(U8:U24)</f>
        <v>787.19</v>
      </c>
      <c r="V29" s="11" t="n">
        <f aca="false">SUM(V8:V25)</f>
        <v>826.44</v>
      </c>
      <c r="W29" s="11" t="n">
        <f aca="false">SUM(W8:W26)</f>
        <v>806.89</v>
      </c>
    </row>
    <row r="31" customFormat="false" ht="15" hidden="false" customHeight="false" outlineLevel="0" collapsed="false">
      <c r="B31" s="3" t="s">
        <v>119</v>
      </c>
      <c r="D31" s="10" t="n">
        <v>0</v>
      </c>
      <c r="E31" s="10" t="n">
        <f aca="false">IF(AND(Inputs!$C$85=1,E29&lt;Inputs!$C$7),ROUNDUP((Inputs!$C$15-E29)/MAX(0,1-Inputs!$C$13)/Inputs!$C$16,0)*Inputs!$C$16,0)</f>
        <v>0</v>
      </c>
      <c r="F31" s="10" t="n">
        <f aca="false">IF(AND(Inputs!$C$85=1,F29&lt;Inputs!$C$7),ROUNDUP((Inputs!$C$15-F29)/MAX(0,1-Inputs!$C$13)/Inputs!$C$16,0)*Inputs!$C$16,0)</f>
        <v>50</v>
      </c>
      <c r="G31" s="10" t="n">
        <f aca="false">IF(AND(Inputs!$C$85=1,G29&lt;Inputs!$C$7),ROUNDUP((Inputs!$C$15-G29)/MAX(0,1-Inputs!$C$13)/Inputs!$C$16,0)*Inputs!$C$16,0)</f>
        <v>0</v>
      </c>
      <c r="H31" s="10" t="n">
        <f aca="false">IF(AND(Inputs!$C$85=1,H29&lt;Inputs!$C$7),ROUNDUP((Inputs!$C$15-H29)/MAX(0,1-Inputs!$C$13)/Inputs!$C$16,0)*Inputs!$C$16,0)</f>
        <v>0</v>
      </c>
      <c r="I31" s="10" t="n">
        <f aca="false">IF(AND(Inputs!$C$85=1,I29&lt;Inputs!$C$7),ROUNDUP((Inputs!$C$15-I29)/MAX(0,1-Inputs!$C$13)/Inputs!$C$16,0)*Inputs!$C$16,0)</f>
        <v>50</v>
      </c>
      <c r="J31" s="10" t="n">
        <f aca="false">IF(AND(Inputs!$C$85=1,J29&lt;Inputs!$C$7),ROUNDUP((Inputs!$C$15-J29)/MAX(0,1-Inputs!$C$13)/Inputs!$C$16,0)*Inputs!$C$16,0)</f>
        <v>0</v>
      </c>
      <c r="K31" s="10" t="n">
        <f aca="false">IF(AND(Inputs!$C$85=1,K29&lt;Inputs!$C$7),ROUNDUP((Inputs!$C$15-K29)/MAX(0,1-Inputs!$C$13)/Inputs!$C$16,0)*Inputs!$C$16,0)</f>
        <v>0</v>
      </c>
      <c r="L31" s="10" t="n">
        <f aca="false">IF(AND(Inputs!$C$85=1,L29&lt;Inputs!$C$7),ROUNDUP((Inputs!$C$15-L29)/MAX(0,1-Inputs!$C$13)/Inputs!$C$16,0)*Inputs!$C$16,0)</f>
        <v>50</v>
      </c>
      <c r="M31" s="10" t="n">
        <f aca="false">IF(AND(Inputs!$C$85=1,M29&lt;Inputs!$C$7),ROUNDUP((Inputs!$C$15-M29)/MAX(0,1-Inputs!$C$13)/Inputs!$C$16,0)*Inputs!$C$16,0)</f>
        <v>0</v>
      </c>
      <c r="N31" s="10" t="n">
        <f aca="false">IF(AND(Inputs!$C$85=1,N29&lt;Inputs!$C$7),ROUNDUP((Inputs!$C$15-N29)/MAX(0,1-Inputs!$C$13)/Inputs!$C$16,0)*Inputs!$C$16,0)</f>
        <v>0</v>
      </c>
      <c r="O31" s="10" t="n">
        <f aca="false">IF(AND(Inputs!$C$85=1,O29&lt;Inputs!$C$7),ROUNDUP((Inputs!$C$15-O29)/MAX(0,1-Inputs!$C$13)/Inputs!$C$16,0)*Inputs!$C$16,0)</f>
        <v>50</v>
      </c>
      <c r="P31" s="10" t="n">
        <f aca="false">IF(AND(Inputs!$C$85=1,P29&lt;Inputs!$C$7),ROUNDUP((Inputs!$C$15-P29)/MAX(0,1-Inputs!$C$13)/Inputs!$C$16,0)*Inputs!$C$16,0)</f>
        <v>0</v>
      </c>
      <c r="Q31" s="10" t="n">
        <f aca="false">IF(AND(Inputs!$C$85=1,Q29&lt;Inputs!$C$7),ROUNDUP((Inputs!$C$15-Q29)/MAX(0,1-Inputs!$C$13)/Inputs!$C$16,0)*Inputs!$C$16,0)</f>
        <v>0</v>
      </c>
      <c r="R31" s="10" t="n">
        <f aca="false">IF(AND(Inputs!$C$85=1,R29&lt;Inputs!$C$7),ROUNDUP((Inputs!$C$15-R29)/MAX(0,1-Inputs!$C$13)/Inputs!$C$16,0)*Inputs!$C$16,0)</f>
        <v>50</v>
      </c>
      <c r="S31" s="10" t="n">
        <f aca="false">IF(AND(Inputs!$C$85=1,S29&lt;Inputs!$C$7),ROUNDUP((Inputs!$C$15-S29)/MAX(0,1-Inputs!$C$13)/Inputs!$C$16,0)*Inputs!$C$16,0)</f>
        <v>0</v>
      </c>
      <c r="T31" s="10" t="n">
        <f aca="false">IF(AND(Inputs!$C$85=1,T29&lt;Inputs!$C$7),ROUNDUP((Inputs!$C$15-T29)/MAX(0,1-Inputs!$C$13)/Inputs!$C$16,0)*Inputs!$C$16,0)</f>
        <v>0</v>
      </c>
      <c r="U31" s="10" t="n">
        <f aca="false">IF(AND(Inputs!$C$85=1,U29&lt;Inputs!$C$7),ROUNDUP((Inputs!$C$15-U29)/MAX(0,1-Inputs!$C$13)/Inputs!$C$16,0)*Inputs!$C$16,0)</f>
        <v>60</v>
      </c>
      <c r="V31" s="10" t="n">
        <f aca="false">IF(AND(Inputs!$C$85=1,V29&lt;Inputs!$C$7),ROUNDUP((Inputs!$C$15-V29)/MAX(0,1-Inputs!$C$13)/Inputs!$C$16,0)*Inputs!$C$16,0)</f>
        <v>0</v>
      </c>
      <c r="W31" s="10" t="n">
        <f aca="false">IF(AND(Inputs!$C$85=1,W29&lt;Inputs!$C$7),ROUNDUP((Inputs!$C$15-W29)/MAX(0,1-Inputs!$C$13)/Inputs!$C$16,0)*Inputs!$C$16,0)</f>
        <v>0</v>
      </c>
    </row>
    <row r="32" customFormat="false" ht="15" hidden="false" customHeight="false" outlineLevel="0" collapsed="false">
      <c r="B32" s="3" t="s">
        <v>120</v>
      </c>
      <c r="D32" s="12" t="n">
        <f aca="false">SUM(D8:D27)</f>
        <v>823.2</v>
      </c>
      <c r="E32" s="12" t="n">
        <f aca="false">SUM(E8:E27)</f>
        <v>808.92</v>
      </c>
      <c r="F32" s="12" t="n">
        <f aca="false">SUM(F8:F27)</f>
        <v>843.64</v>
      </c>
      <c r="G32" s="12" t="n">
        <f aca="false">SUM(G8:G27)</f>
        <v>828.51</v>
      </c>
      <c r="H32" s="12" t="n">
        <f aca="false">SUM(H8:H27)</f>
        <v>813.38</v>
      </c>
      <c r="I32" s="12" t="n">
        <f aca="false">SUM(I8:I27)</f>
        <v>847.25</v>
      </c>
      <c r="J32" s="12" t="n">
        <f aca="false">SUM(J8:J27)</f>
        <v>831.27</v>
      </c>
      <c r="K32" s="12" t="n">
        <f aca="false">SUM(K8:K27)</f>
        <v>815.29</v>
      </c>
      <c r="L32" s="12" t="n">
        <f aca="false">SUM(L8:L27)</f>
        <v>848.31</v>
      </c>
      <c r="M32" s="12" t="n">
        <f aca="false">SUM(M8:M27)</f>
        <v>831.48</v>
      </c>
      <c r="N32" s="12" t="n">
        <f aca="false">SUM(N8:N27)</f>
        <v>814.65</v>
      </c>
      <c r="O32" s="12" t="n">
        <f aca="false">SUM(O8:O27)</f>
        <v>846.82</v>
      </c>
      <c r="P32" s="12" t="n">
        <f aca="false">SUM(P8:P27)</f>
        <v>829.14</v>
      </c>
      <c r="Q32" s="12" t="n">
        <f aca="false">SUM(Q8:Q27)</f>
        <v>811.46</v>
      </c>
      <c r="R32" s="12" t="n">
        <f aca="false">SUM(R8:R27)</f>
        <v>842.78</v>
      </c>
      <c r="S32" s="12" t="n">
        <f aca="false">SUM(S8:S27)</f>
        <v>824.25</v>
      </c>
      <c r="T32" s="12" t="n">
        <f aca="false">SUM(T8:T27)</f>
        <v>805.72</v>
      </c>
      <c r="U32" s="12" t="n">
        <f aca="false">SUM(U8:U27)</f>
        <v>845.99</v>
      </c>
      <c r="V32" s="12" t="n">
        <f aca="false">SUM(V8:V27)</f>
        <v>826.44</v>
      </c>
      <c r="W32" s="12" t="n">
        <f aca="false">SUM(W8:W27)</f>
        <v>806.89</v>
      </c>
    </row>
    <row r="33" customFormat="false" ht="15" hidden="false" customHeight="false" outlineLevel="0" collapsed="false">
      <c r="B33" s="2" t="s">
        <v>121</v>
      </c>
      <c r="D33" s="13" t="n">
        <f aca="false">Inputs!$C$26*(1-Inputs!$C$27)^(D$4-2027)</f>
        <v>121.25</v>
      </c>
      <c r="E33" s="13" t="n">
        <f aca="false">Inputs!$C$26*(1-Inputs!$C$27)^(E$4-2027)</f>
        <v>117.6125</v>
      </c>
      <c r="F33" s="13" t="n">
        <f aca="false">Inputs!$C$26*(1-Inputs!$C$27)^(F$4-2027)</f>
        <v>114.084125</v>
      </c>
      <c r="G33" s="13" t="n">
        <f aca="false">Inputs!$C$26*(1-Inputs!$C$27)^(G$4-2027)</f>
        <v>110.66160125</v>
      </c>
      <c r="H33" s="13" t="n">
        <f aca="false">Inputs!$C$26*(1-Inputs!$C$27)^(H$4-2027)</f>
        <v>107.3417532125</v>
      </c>
      <c r="I33" s="13" t="n">
        <f aca="false">Inputs!$C$26*(1-Inputs!$C$27)^(I$4-2027)</f>
        <v>104.121500616125</v>
      </c>
      <c r="J33" s="13" t="n">
        <f aca="false">Inputs!$C$26*(1-Inputs!$C$27)^(J$4-2027)</f>
        <v>100.997855597641</v>
      </c>
      <c r="K33" s="13" t="n">
        <f aca="false">Inputs!$C$26*(1-Inputs!$C$27)^(K$4-2027)</f>
        <v>97.967919929712</v>
      </c>
      <c r="L33" s="13" t="n">
        <f aca="false">Inputs!$C$26*(1-Inputs!$C$27)^(L$4-2027)</f>
        <v>95.0288823318206</v>
      </c>
      <c r="M33" s="13" t="n">
        <f aca="false">Inputs!$C$26*(1-Inputs!$C$27)^(M$4-2027)</f>
        <v>92.178015861866</v>
      </c>
      <c r="N33" s="13" t="n">
        <f aca="false">Inputs!$C$26*(1-Inputs!$C$27)^(N$4-2027)</f>
        <v>89.41267538601</v>
      </c>
      <c r="O33" s="13" t="n">
        <f aca="false">Inputs!$C$26*(1-Inputs!$C$27)^(O$4-2027)</f>
        <v>86.7302951244297</v>
      </c>
      <c r="P33" s="13" t="n">
        <f aca="false">Inputs!$C$26*(1-Inputs!$C$27)^(P$4-2027)</f>
        <v>84.1283862706968</v>
      </c>
      <c r="Q33" s="13" t="n">
        <f aca="false">Inputs!$C$26*(1-Inputs!$C$27)^(Q$4-2027)</f>
        <v>81.6045346825759</v>
      </c>
      <c r="R33" s="13" t="n">
        <f aca="false">Inputs!$C$26*(1-Inputs!$C$27)^(R$4-2027)</f>
        <v>79.1563986420986</v>
      </c>
      <c r="S33" s="13" t="n">
        <f aca="false">Inputs!$C$26*(1-Inputs!$C$27)^(S$4-2027)</f>
        <v>76.7817066828357</v>
      </c>
      <c r="T33" s="13" t="n">
        <f aca="false">Inputs!$C$26*(1-Inputs!$C$27)^(T$4-2027)</f>
        <v>74.4782554823506</v>
      </c>
      <c r="U33" s="13" t="n">
        <f aca="false">Inputs!$C$26*(1-Inputs!$C$27)^(U$4-2027)</f>
        <v>72.2439078178801</v>
      </c>
      <c r="V33" s="13" t="n">
        <f aca="false">Inputs!$C$26*(1-Inputs!$C$27)^(V$4-2027)</f>
        <v>70.0765905833437</v>
      </c>
      <c r="W33" s="13" t="n">
        <f aca="false">Inputs!$C$26*(1-Inputs!$C$27)^(W$4-2027)</f>
        <v>67.9742928658434</v>
      </c>
    </row>
    <row r="34" customFormat="false" ht="15" hidden="false" customHeight="false" outlineLevel="0" collapsed="false">
      <c r="B34" s="3" t="s">
        <v>122</v>
      </c>
      <c r="D34" s="14" t="n">
        <f aca="false">D31*1000*D33</f>
        <v>0</v>
      </c>
      <c r="E34" s="14" t="n">
        <f aca="false">E31*1000*E33</f>
        <v>0</v>
      </c>
      <c r="F34" s="14" t="n">
        <f aca="false">F31*1000*F33</f>
        <v>5704206.25</v>
      </c>
      <c r="G34" s="14" t="n">
        <f aca="false">G31*1000*G33</f>
        <v>0</v>
      </c>
      <c r="H34" s="14" t="n">
        <f aca="false">H31*1000*H33</f>
        <v>0</v>
      </c>
      <c r="I34" s="14" t="n">
        <f aca="false">I31*1000*I33</f>
        <v>5206075.03080625</v>
      </c>
      <c r="J34" s="14" t="n">
        <f aca="false">J31*1000*J33</f>
        <v>0</v>
      </c>
      <c r="K34" s="14" t="n">
        <f aca="false">K31*1000*K33</f>
        <v>0</v>
      </c>
      <c r="L34" s="14" t="n">
        <f aca="false">L31*1000*L33</f>
        <v>4751444.11659103</v>
      </c>
      <c r="M34" s="14" t="n">
        <f aca="false">M31*1000*M33</f>
        <v>0</v>
      </c>
      <c r="N34" s="14" t="n">
        <f aca="false">N31*1000*N33</f>
        <v>0</v>
      </c>
      <c r="O34" s="14" t="n">
        <f aca="false">O31*1000*O33</f>
        <v>4336514.75622149</v>
      </c>
      <c r="P34" s="14" t="n">
        <f aca="false">P31*1000*P33</f>
        <v>0</v>
      </c>
      <c r="Q34" s="14" t="n">
        <f aca="false">Q31*1000*Q33</f>
        <v>0</v>
      </c>
      <c r="R34" s="14" t="n">
        <f aca="false">R31*1000*R33</f>
        <v>3957819.93210493</v>
      </c>
      <c r="S34" s="14" t="n">
        <f aca="false">S31*1000*S33</f>
        <v>0</v>
      </c>
      <c r="T34" s="14" t="n">
        <f aca="false">T31*1000*T33</f>
        <v>0</v>
      </c>
      <c r="U34" s="14" t="n">
        <f aca="false">U31*1000*U33</f>
        <v>4334634.46907281</v>
      </c>
      <c r="V34" s="14" t="n">
        <f aca="false">V31*1000*V33</f>
        <v>0</v>
      </c>
      <c r="W34" s="14" t="n">
        <f aca="false">W31*1000*W33</f>
        <v>0</v>
      </c>
    </row>
    <row r="36" customFormat="false" ht="15" hidden="false" customHeight="false" outlineLevel="0" collapsed="false">
      <c r="B36" s="2" t="s">
        <v>123</v>
      </c>
      <c r="C36" s="10" t="n">
        <f aca="false">SUM(D31:W31)</f>
        <v>310</v>
      </c>
    </row>
    <row r="37" customFormat="false" ht="15" hidden="false" customHeight="false" outlineLevel="0" collapsed="false">
      <c r="B37" s="2" t="s">
        <v>124</v>
      </c>
      <c r="C37" s="15" t="n">
        <f aca="false">SUM(D34:W34)</f>
        <v>28290694.5547965</v>
      </c>
    </row>
    <row r="38" customFormat="false" ht="15" hidden="false" customHeight="false" outlineLevel="0" collapsed="false">
      <c r="B38" s="2" t="s">
        <v>125</v>
      </c>
      <c r="C38" s="15" t="n">
        <f aca="false">C37/20</f>
        <v>1414534.72773983</v>
      </c>
    </row>
    <row r="39" customFormat="false" ht="15" hidden="false" customHeight="false" outlineLevel="0" collapsed="false">
      <c r="B39" s="2" t="s">
        <v>126</v>
      </c>
      <c r="C39" s="11" t="n">
        <f aca="false">MIN(D32:W32)</f>
        <v>805.72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W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6"/>
    <col collapsed="false" customWidth="true" hidden="false" outlineLevel="0" max="3" min="3" style="0" width="4"/>
    <col collapsed="false" customWidth="true" hidden="false" outlineLevel="0" max="23" min="4" style="0" width="11"/>
  </cols>
  <sheetData>
    <row r="2" customFormat="false" ht="16.15" hidden="false" customHeight="false" outlineLevel="0" collapsed="false">
      <c r="B2" s="1" t="s">
        <v>127</v>
      </c>
    </row>
    <row r="4" customFormat="false" ht="15" hidden="false" customHeight="false" outlineLevel="0" collapsed="false">
      <c r="B4" s="3" t="s">
        <v>95</v>
      </c>
      <c r="D4" s="3" t="n">
        <v>2028</v>
      </c>
      <c r="E4" s="3" t="n">
        <v>2029</v>
      </c>
      <c r="F4" s="3" t="n">
        <v>2030</v>
      </c>
      <c r="G4" s="3" t="n">
        <v>2031</v>
      </c>
      <c r="H4" s="3" t="n">
        <v>2032</v>
      </c>
      <c r="I4" s="3" t="n">
        <v>2033</v>
      </c>
      <c r="J4" s="3" t="n">
        <v>2034</v>
      </c>
      <c r="K4" s="3" t="n">
        <v>2035</v>
      </c>
      <c r="L4" s="3" t="n">
        <v>2036</v>
      </c>
      <c r="M4" s="3" t="n">
        <v>2037</v>
      </c>
      <c r="N4" s="3" t="n">
        <v>2038</v>
      </c>
      <c r="O4" s="3" t="n">
        <v>2039</v>
      </c>
      <c r="P4" s="3" t="n">
        <v>2040</v>
      </c>
      <c r="Q4" s="3" t="n">
        <v>2041</v>
      </c>
      <c r="R4" s="3" t="n">
        <v>2042</v>
      </c>
      <c r="S4" s="3" t="n">
        <v>2043</v>
      </c>
      <c r="T4" s="3" t="n">
        <v>2044</v>
      </c>
      <c r="U4" s="3" t="n">
        <v>2045</v>
      </c>
      <c r="V4" s="3" t="n">
        <v>2046</v>
      </c>
      <c r="W4" s="3" t="n">
        <v>2047</v>
      </c>
    </row>
    <row r="5" customFormat="false" ht="15" hidden="false" customHeight="false" outlineLevel="0" collapsed="false">
      <c r="B5" s="3" t="s">
        <v>128</v>
      </c>
      <c r="D5" s="2" t="n">
        <v>0</v>
      </c>
      <c r="E5" s="2" t="n">
        <v>1</v>
      </c>
      <c r="F5" s="2" t="n">
        <v>2</v>
      </c>
      <c r="G5" s="2" t="n">
        <v>3</v>
      </c>
      <c r="H5" s="2" t="n">
        <v>4</v>
      </c>
      <c r="I5" s="2" t="n">
        <v>5</v>
      </c>
      <c r="J5" s="2" t="n">
        <v>6</v>
      </c>
      <c r="K5" s="2" t="n">
        <v>7</v>
      </c>
      <c r="L5" s="2" t="n">
        <v>8</v>
      </c>
      <c r="M5" s="2" t="n">
        <v>9</v>
      </c>
      <c r="N5" s="2" t="n">
        <v>10</v>
      </c>
      <c r="O5" s="2" t="n">
        <v>11</v>
      </c>
      <c r="P5" s="2" t="n">
        <v>12</v>
      </c>
      <c r="Q5" s="2" t="n">
        <v>13</v>
      </c>
      <c r="R5" s="2" t="n">
        <v>14</v>
      </c>
      <c r="S5" s="2" t="n">
        <v>15</v>
      </c>
      <c r="T5" s="2" t="n">
        <v>16</v>
      </c>
      <c r="U5" s="2" t="n">
        <v>17</v>
      </c>
      <c r="V5" s="2" t="n">
        <v>18</v>
      </c>
      <c r="W5" s="2" t="n">
        <v>19</v>
      </c>
    </row>
    <row r="7" customFormat="false" ht="15" hidden="false" customHeight="false" outlineLevel="0" collapsed="false">
      <c r="B7" s="2" t="s">
        <v>129</v>
      </c>
      <c r="D7" s="16" t="n">
        <f aca="false">(1-Inputs!$C$47)^MIN(D$5,Inputs!$C$48)</f>
        <v>1</v>
      </c>
      <c r="E7" s="16" t="n">
        <f aca="false">(1-Inputs!$C$47)^MIN(E$5,Inputs!$C$48)</f>
        <v>0.97</v>
      </c>
      <c r="F7" s="16" t="n">
        <f aca="false">(1-Inputs!$C$47)^MIN(F$5,Inputs!$C$48)</f>
        <v>0.9409</v>
      </c>
      <c r="G7" s="16" t="n">
        <f aca="false">(1-Inputs!$C$47)^MIN(G$5,Inputs!$C$48)</f>
        <v>0.912673</v>
      </c>
      <c r="H7" s="16" t="n">
        <f aca="false">(1-Inputs!$C$47)^MIN(H$5,Inputs!$C$48)</f>
        <v>0.88529281</v>
      </c>
      <c r="I7" s="16" t="n">
        <f aca="false">(1-Inputs!$C$47)^MIN(I$5,Inputs!$C$48)</f>
        <v>0.8587340257</v>
      </c>
      <c r="J7" s="16" t="n">
        <f aca="false">(1-Inputs!$C$47)^MIN(J$5,Inputs!$C$48)</f>
        <v>0.832972004929</v>
      </c>
      <c r="K7" s="16" t="n">
        <f aca="false">(1-Inputs!$C$47)^MIN(K$5,Inputs!$C$48)</f>
        <v>0.80798284478113</v>
      </c>
      <c r="L7" s="16" t="n">
        <f aca="false">(1-Inputs!$C$47)^MIN(L$5,Inputs!$C$48)</f>
        <v>0.783743359437696</v>
      </c>
      <c r="M7" s="16" t="n">
        <f aca="false">(1-Inputs!$C$47)^MIN(M$5,Inputs!$C$48)</f>
        <v>0.783743359437696</v>
      </c>
      <c r="N7" s="16" t="n">
        <f aca="false">(1-Inputs!$C$47)^MIN(N$5,Inputs!$C$48)</f>
        <v>0.783743359437696</v>
      </c>
      <c r="O7" s="16" t="n">
        <f aca="false">(1-Inputs!$C$47)^MIN(O$5,Inputs!$C$48)</f>
        <v>0.783743359437696</v>
      </c>
      <c r="P7" s="16" t="n">
        <f aca="false">(1-Inputs!$C$47)^MIN(P$5,Inputs!$C$48)</f>
        <v>0.783743359437696</v>
      </c>
      <c r="Q7" s="16" t="n">
        <f aca="false">(1-Inputs!$C$47)^MIN(Q$5,Inputs!$C$48)</f>
        <v>0.783743359437696</v>
      </c>
      <c r="R7" s="16" t="n">
        <f aca="false">(1-Inputs!$C$47)^MIN(R$5,Inputs!$C$48)</f>
        <v>0.783743359437696</v>
      </c>
      <c r="S7" s="16" t="n">
        <f aca="false">(1-Inputs!$C$47)^MIN(S$5,Inputs!$C$48)</f>
        <v>0.783743359437696</v>
      </c>
      <c r="T7" s="16" t="n">
        <f aca="false">(1-Inputs!$C$47)^MIN(T$5,Inputs!$C$48)</f>
        <v>0.783743359437696</v>
      </c>
      <c r="U7" s="16" t="n">
        <f aca="false">(1-Inputs!$C$47)^MIN(U$5,Inputs!$C$48)</f>
        <v>0.783743359437696</v>
      </c>
      <c r="V7" s="16" t="n">
        <f aca="false">(1-Inputs!$C$47)^MIN(V$5,Inputs!$C$48)</f>
        <v>0.783743359437696</v>
      </c>
      <c r="W7" s="16" t="n">
        <f aca="false">(1-Inputs!$C$47)^MIN(W$5,Inputs!$C$48)</f>
        <v>0.783743359437696</v>
      </c>
    </row>
    <row r="8" customFormat="false" ht="15" hidden="false" customHeight="false" outlineLevel="0" collapsed="false">
      <c r="B8" s="2" t="s">
        <v>130</v>
      </c>
      <c r="D8" s="13" t="n">
        <f aca="false">Inputs!$C$44*(1+Inputs!$C$46)^D$5*D7</f>
        <v>96</v>
      </c>
      <c r="E8" s="13" t="n">
        <f aca="false">Inputs!$C$44*(1+Inputs!$C$46)^E$5*E7</f>
        <v>94.9824</v>
      </c>
      <c r="F8" s="13" t="n">
        <f aca="false">Inputs!$C$44*(1+Inputs!$C$46)^F$5*F7</f>
        <v>93.97558656</v>
      </c>
      <c r="G8" s="13" t="n">
        <f aca="false">Inputs!$C$44*(1+Inputs!$C$46)^G$5*G7</f>
        <v>92.979445342464</v>
      </c>
      <c r="H8" s="13" t="n">
        <f aca="false">Inputs!$C$44*(1+Inputs!$C$46)^H$5*H7</f>
        <v>91.9938632218339</v>
      </c>
      <c r="I8" s="13" t="n">
        <f aca="false">Inputs!$C$44*(1+Inputs!$C$46)^I$5*I7</f>
        <v>91.0187282716824</v>
      </c>
      <c r="J8" s="13" t="n">
        <f aca="false">Inputs!$C$44*(1+Inputs!$C$46)^J$5*J7</f>
        <v>90.0539297520026</v>
      </c>
      <c r="K8" s="13" t="n">
        <f aca="false">Inputs!$C$44*(1+Inputs!$C$46)^K$5*K7</f>
        <v>89.0993580966314</v>
      </c>
      <c r="L8" s="13" t="n">
        <f aca="false">Inputs!$C$44*(1+Inputs!$C$46)^L$5*L7</f>
        <v>88.1549049008071</v>
      </c>
      <c r="M8" s="13" t="n">
        <f aca="false">Inputs!$C$44*(1+Inputs!$C$46)^M$5*M7</f>
        <v>89.9180029988232</v>
      </c>
      <c r="N8" s="13" t="n">
        <f aca="false">Inputs!$C$44*(1+Inputs!$C$46)^N$5*N7</f>
        <v>91.7163630587997</v>
      </c>
      <c r="O8" s="13" t="n">
        <f aca="false">Inputs!$C$44*(1+Inputs!$C$46)^O$5*O7</f>
        <v>93.5506903199757</v>
      </c>
      <c r="P8" s="13" t="n">
        <f aca="false">Inputs!$C$44*(1+Inputs!$C$46)^P$5*P7</f>
        <v>95.4217041263752</v>
      </c>
      <c r="Q8" s="13" t="n">
        <f aca="false">Inputs!$C$44*(1+Inputs!$C$46)^Q$5*Q7</f>
        <v>97.3301382089027</v>
      </c>
      <c r="R8" s="13" t="n">
        <f aca="false">Inputs!$C$44*(1+Inputs!$C$46)^R$5*R7</f>
        <v>99.2767409730808</v>
      </c>
      <c r="S8" s="13" t="n">
        <f aca="false">Inputs!$C$44*(1+Inputs!$C$46)^S$5*S7</f>
        <v>101.262275792542</v>
      </c>
      <c r="T8" s="13" t="n">
        <f aca="false">Inputs!$C$44*(1+Inputs!$C$46)^T$5*T7</f>
        <v>103.287521308393</v>
      </c>
      <c r="U8" s="13" t="n">
        <f aca="false">Inputs!$C$44*(1+Inputs!$C$46)^U$5*U7</f>
        <v>105.353271734561</v>
      </c>
      <c r="V8" s="13" t="n">
        <f aca="false">Inputs!$C$44*(1+Inputs!$C$46)^V$5*V7</f>
        <v>107.460337169252</v>
      </c>
      <c r="W8" s="13" t="n">
        <f aca="false">Inputs!$C$44*(1+Inputs!$C$46)^W$5*W7</f>
        <v>109.609543912637</v>
      </c>
    </row>
    <row r="9" customFormat="false" ht="15" hidden="false" customHeight="false" outlineLevel="0" collapsed="false">
      <c r="B9" s="2" t="s">
        <v>131</v>
      </c>
      <c r="D9" s="13" t="n">
        <f aca="false">Inputs!$C$45*(1+Inputs!$C$46)^D$5</f>
        <v>32</v>
      </c>
      <c r="E9" s="13" t="n">
        <f aca="false">Inputs!$C$45*(1+Inputs!$C$46)^E$5</f>
        <v>32.64</v>
      </c>
      <c r="F9" s="13" t="n">
        <f aca="false">Inputs!$C$45*(1+Inputs!$C$46)^F$5</f>
        <v>33.2928</v>
      </c>
      <c r="G9" s="13" t="n">
        <f aca="false">Inputs!$C$45*(1+Inputs!$C$46)^G$5</f>
        <v>33.958656</v>
      </c>
      <c r="H9" s="13" t="n">
        <f aca="false">Inputs!$C$45*(1+Inputs!$C$46)^H$5</f>
        <v>34.63782912</v>
      </c>
      <c r="I9" s="13" t="n">
        <f aca="false">Inputs!$C$45*(1+Inputs!$C$46)^I$5</f>
        <v>35.3305857024</v>
      </c>
      <c r="J9" s="13" t="n">
        <f aca="false">Inputs!$C$45*(1+Inputs!$C$46)^J$5</f>
        <v>36.037197416448</v>
      </c>
      <c r="K9" s="13" t="n">
        <f aca="false">Inputs!$C$45*(1+Inputs!$C$46)^K$5</f>
        <v>36.757941364777</v>
      </c>
      <c r="L9" s="13" t="n">
        <f aca="false">Inputs!$C$45*(1+Inputs!$C$46)^L$5</f>
        <v>37.4931001920725</v>
      </c>
      <c r="M9" s="13" t="n">
        <f aca="false">Inputs!$C$45*(1+Inputs!$C$46)^M$5</f>
        <v>38.242962195914</v>
      </c>
      <c r="N9" s="13" t="n">
        <f aca="false">Inputs!$C$45*(1+Inputs!$C$46)^N$5</f>
        <v>39.0078214398322</v>
      </c>
      <c r="O9" s="13" t="n">
        <f aca="false">Inputs!$C$45*(1+Inputs!$C$46)^O$5</f>
        <v>39.7879778686289</v>
      </c>
      <c r="P9" s="13" t="n">
        <f aca="false">Inputs!$C$45*(1+Inputs!$C$46)^P$5</f>
        <v>40.5837374260015</v>
      </c>
      <c r="Q9" s="13" t="n">
        <f aca="false">Inputs!$C$45*(1+Inputs!$C$46)^Q$5</f>
        <v>41.3954121745215</v>
      </c>
      <c r="R9" s="13" t="n">
        <f aca="false">Inputs!$C$45*(1+Inputs!$C$46)^R$5</f>
        <v>42.2233204180119</v>
      </c>
      <c r="S9" s="13" t="n">
        <f aca="false">Inputs!$C$45*(1+Inputs!$C$46)^S$5</f>
        <v>43.0677868263722</v>
      </c>
      <c r="T9" s="13" t="n">
        <f aca="false">Inputs!$C$45*(1+Inputs!$C$46)^T$5</f>
        <v>43.9291425628996</v>
      </c>
      <c r="U9" s="13" t="n">
        <f aca="false">Inputs!$C$45*(1+Inputs!$C$46)^U$5</f>
        <v>44.8077254141576</v>
      </c>
      <c r="V9" s="13" t="n">
        <f aca="false">Inputs!$C$45*(1+Inputs!$C$46)^V$5</f>
        <v>45.7038799224408</v>
      </c>
      <c r="W9" s="13" t="n">
        <f aca="false">Inputs!$C$45*(1+Inputs!$C$46)^W$5</f>
        <v>46.6179575208896</v>
      </c>
    </row>
    <row r="10" customFormat="false" ht="15" hidden="false" customHeight="false" outlineLevel="0" collapsed="false">
      <c r="B10" s="2" t="s">
        <v>132</v>
      </c>
      <c r="D10" s="13" t="n">
        <f aca="false">D9+(D8-D9)*(1+Inputs!$C$81)</f>
        <v>96</v>
      </c>
      <c r="E10" s="13" t="n">
        <f aca="false">E9+(E8-E9)*(1+Inputs!$C$81)</f>
        <v>94.9824</v>
      </c>
      <c r="F10" s="13" t="n">
        <f aca="false">F9+(F8-F9)*(1+Inputs!$C$81)</f>
        <v>93.97558656</v>
      </c>
      <c r="G10" s="13" t="n">
        <f aca="false">G9+(G8-G9)*(1+Inputs!$C$81)</f>
        <v>92.979445342464</v>
      </c>
      <c r="H10" s="13" t="n">
        <f aca="false">H9+(H8-H9)*(1+Inputs!$C$81)</f>
        <v>91.9938632218339</v>
      </c>
      <c r="I10" s="13" t="n">
        <f aca="false">I9+(I8-I9)*(1+Inputs!$C$81)</f>
        <v>91.0187282716824</v>
      </c>
      <c r="J10" s="13" t="n">
        <f aca="false">J9+(J8-J9)*(1+Inputs!$C$81)</f>
        <v>90.0539297520026</v>
      </c>
      <c r="K10" s="13" t="n">
        <f aca="false">K9+(K8-K9)*(1+Inputs!$C$81)</f>
        <v>89.0993580966314</v>
      </c>
      <c r="L10" s="13" t="n">
        <f aca="false">L9+(L8-L9)*(1+Inputs!$C$81)</f>
        <v>88.1549049008071</v>
      </c>
      <c r="M10" s="13" t="n">
        <f aca="false">M9+(M8-M9)*(1+Inputs!$C$81)</f>
        <v>89.9180029988232</v>
      </c>
      <c r="N10" s="13" t="n">
        <f aca="false">N9+(N8-N9)*(1+Inputs!$C$81)</f>
        <v>91.7163630587997</v>
      </c>
      <c r="O10" s="13" t="n">
        <f aca="false">O9+(O8-O9)*(1+Inputs!$C$81)</f>
        <v>93.5506903199757</v>
      </c>
      <c r="P10" s="13" t="n">
        <f aca="false">P9+(P8-P9)*(1+Inputs!$C$81)</f>
        <v>95.4217041263752</v>
      </c>
      <c r="Q10" s="13" t="n">
        <f aca="false">Q9+(Q8-Q9)*(1+Inputs!$C$81)</f>
        <v>97.3301382089027</v>
      </c>
      <c r="R10" s="13" t="n">
        <f aca="false">R9+(R8-R9)*(1+Inputs!$C$81)</f>
        <v>99.2767409730808</v>
      </c>
      <c r="S10" s="13" t="n">
        <f aca="false">S9+(S8-S9)*(1+Inputs!$C$81)</f>
        <v>101.262275792542</v>
      </c>
      <c r="T10" s="13" t="n">
        <f aca="false">T9+(T8-T9)*(1+Inputs!$C$81)</f>
        <v>103.287521308393</v>
      </c>
      <c r="U10" s="13" t="n">
        <f aca="false">U9+(U8-U9)*(1+Inputs!$C$81)</f>
        <v>105.353271734561</v>
      </c>
      <c r="V10" s="13" t="n">
        <f aca="false">V9+(V8-V9)*(1+Inputs!$C$81)</f>
        <v>107.460337169252</v>
      </c>
      <c r="W10" s="13" t="n">
        <f aca="false">W9+(W8-W9)*(1+Inputs!$C$81)</f>
        <v>109.609543912637</v>
      </c>
    </row>
    <row r="11" customFormat="false" ht="15" hidden="false" customHeight="false" outlineLevel="0" collapsed="false">
      <c r="B11" s="2" t="s">
        <v>133</v>
      </c>
      <c r="D11" s="11" t="n">
        <f aca="false">MIN(Fleet!D$32,Inputs!$C$7)</f>
        <v>800</v>
      </c>
      <c r="E11" s="11" t="n">
        <f aca="false">MIN(Fleet!E$32,Inputs!$C$7)</f>
        <v>800</v>
      </c>
      <c r="F11" s="11" t="n">
        <f aca="false">MIN(Fleet!F$32,Inputs!$C$7)</f>
        <v>800</v>
      </c>
      <c r="G11" s="11" t="n">
        <f aca="false">MIN(Fleet!G$32,Inputs!$C$7)</f>
        <v>800</v>
      </c>
      <c r="H11" s="11" t="n">
        <f aca="false">MIN(Fleet!H$32,Inputs!$C$7)</f>
        <v>800</v>
      </c>
      <c r="I11" s="11" t="n">
        <f aca="false">MIN(Fleet!I$32,Inputs!$C$7)</f>
        <v>800</v>
      </c>
      <c r="J11" s="11" t="n">
        <f aca="false">MIN(Fleet!J$32,Inputs!$C$7)</f>
        <v>800</v>
      </c>
      <c r="K11" s="11" t="n">
        <f aca="false">MIN(Fleet!K$32,Inputs!$C$7)</f>
        <v>800</v>
      </c>
      <c r="L11" s="11" t="n">
        <f aca="false">MIN(Fleet!L$32,Inputs!$C$7)</f>
        <v>800</v>
      </c>
      <c r="M11" s="11" t="n">
        <f aca="false">MIN(Fleet!M$32,Inputs!$C$7)</f>
        <v>800</v>
      </c>
      <c r="N11" s="11" t="n">
        <f aca="false">MIN(Fleet!N$32,Inputs!$C$7)</f>
        <v>800</v>
      </c>
      <c r="O11" s="11" t="n">
        <f aca="false">MIN(Fleet!O$32,Inputs!$C$7)</f>
        <v>800</v>
      </c>
      <c r="P11" s="11" t="n">
        <f aca="false">MIN(Fleet!P$32,Inputs!$C$7)</f>
        <v>800</v>
      </c>
      <c r="Q11" s="11" t="n">
        <f aca="false">MIN(Fleet!Q$32,Inputs!$C$7)</f>
        <v>800</v>
      </c>
      <c r="R11" s="11" t="n">
        <f aca="false">MIN(Fleet!R$32,Inputs!$C$7)</f>
        <v>800</v>
      </c>
      <c r="S11" s="11" t="n">
        <f aca="false">MIN(Fleet!S$32,Inputs!$C$7)</f>
        <v>800</v>
      </c>
      <c r="T11" s="11" t="n">
        <f aca="false">MIN(Fleet!T$32,Inputs!$C$7)</f>
        <v>800</v>
      </c>
      <c r="U11" s="11" t="n">
        <f aca="false">MIN(Fleet!U$32,Inputs!$C$7)</f>
        <v>800</v>
      </c>
      <c r="V11" s="11" t="n">
        <f aca="false">MIN(Fleet!V$32,Inputs!$C$7)</f>
        <v>800</v>
      </c>
      <c r="W11" s="11" t="n">
        <f aca="false">MIN(Fleet!W$32,Inputs!$C$7)</f>
        <v>800</v>
      </c>
    </row>
    <row r="12" customFormat="false" ht="15" hidden="false" customHeight="false" outlineLevel="0" collapsed="false">
      <c r="B12" s="2" t="s">
        <v>134</v>
      </c>
      <c r="D12" s="10" t="n">
        <f aca="false">D11*Inputs!$C$11*Inputs!$C$86</f>
        <v>256080</v>
      </c>
      <c r="E12" s="10" t="n">
        <f aca="false">E11*Inputs!$C$11*Inputs!$C$86</f>
        <v>256080</v>
      </c>
      <c r="F12" s="10" t="n">
        <f aca="false">F11*Inputs!$C$11*Inputs!$C$86</f>
        <v>256080</v>
      </c>
      <c r="G12" s="10" t="n">
        <f aca="false">G11*Inputs!$C$11*Inputs!$C$86</f>
        <v>256080</v>
      </c>
      <c r="H12" s="10" t="n">
        <f aca="false">H11*Inputs!$C$11*Inputs!$C$86</f>
        <v>256080</v>
      </c>
      <c r="I12" s="10" t="n">
        <f aca="false">I11*Inputs!$C$11*Inputs!$C$86</f>
        <v>256080</v>
      </c>
      <c r="J12" s="10" t="n">
        <f aca="false">J11*Inputs!$C$11*Inputs!$C$86</f>
        <v>256080</v>
      </c>
      <c r="K12" s="10" t="n">
        <f aca="false">K11*Inputs!$C$11*Inputs!$C$86</f>
        <v>256080</v>
      </c>
      <c r="L12" s="10" t="n">
        <f aca="false">L11*Inputs!$C$11*Inputs!$C$86</f>
        <v>256080</v>
      </c>
      <c r="M12" s="10" t="n">
        <f aca="false">M11*Inputs!$C$11*Inputs!$C$86</f>
        <v>256080</v>
      </c>
      <c r="N12" s="10" t="n">
        <f aca="false">N11*Inputs!$C$11*Inputs!$C$86</f>
        <v>256080</v>
      </c>
      <c r="O12" s="10" t="n">
        <f aca="false">O11*Inputs!$C$11*Inputs!$C$86</f>
        <v>256080</v>
      </c>
      <c r="P12" s="10" t="n">
        <f aca="false">P11*Inputs!$C$11*Inputs!$C$86</f>
        <v>256080</v>
      </c>
      <c r="Q12" s="10" t="n">
        <f aca="false">Q11*Inputs!$C$11*Inputs!$C$86</f>
        <v>256080</v>
      </c>
      <c r="R12" s="10" t="n">
        <f aca="false">R11*Inputs!$C$11*Inputs!$C$86</f>
        <v>256080</v>
      </c>
      <c r="S12" s="10" t="n">
        <f aca="false">S11*Inputs!$C$11*Inputs!$C$86</f>
        <v>256080</v>
      </c>
      <c r="T12" s="10" t="n">
        <f aca="false">T11*Inputs!$C$11*Inputs!$C$86</f>
        <v>256080</v>
      </c>
      <c r="U12" s="10" t="n">
        <f aca="false">U11*Inputs!$C$11*Inputs!$C$86</f>
        <v>256080</v>
      </c>
      <c r="V12" s="10" t="n">
        <f aca="false">V11*Inputs!$C$11*Inputs!$C$86</f>
        <v>256080</v>
      </c>
      <c r="W12" s="10" t="n">
        <f aca="false">W11*Inputs!$C$11*Inputs!$C$86</f>
        <v>256080</v>
      </c>
    </row>
    <row r="13" customFormat="false" ht="15" hidden="false" customHeight="false" outlineLevel="0" collapsed="false">
      <c r="B13" s="2" t="s">
        <v>135</v>
      </c>
      <c r="D13" s="10" t="n">
        <f aca="false">D12/Inputs!$C$9</f>
        <v>297767.441860465</v>
      </c>
      <c r="E13" s="10" t="n">
        <f aca="false">E12/Inputs!$C$9</f>
        <v>297767.441860465</v>
      </c>
      <c r="F13" s="10" t="n">
        <f aca="false">F12/Inputs!$C$9</f>
        <v>297767.441860465</v>
      </c>
      <c r="G13" s="10" t="n">
        <f aca="false">G12/Inputs!$C$9</f>
        <v>297767.441860465</v>
      </c>
      <c r="H13" s="10" t="n">
        <f aca="false">H12/Inputs!$C$9</f>
        <v>297767.441860465</v>
      </c>
      <c r="I13" s="10" t="n">
        <f aca="false">I12/Inputs!$C$9</f>
        <v>297767.441860465</v>
      </c>
      <c r="J13" s="10" t="n">
        <f aca="false">J12/Inputs!$C$9</f>
        <v>297767.441860465</v>
      </c>
      <c r="K13" s="10" t="n">
        <f aca="false">K12/Inputs!$C$9</f>
        <v>297767.441860465</v>
      </c>
      <c r="L13" s="10" t="n">
        <f aca="false">L12/Inputs!$C$9</f>
        <v>297767.441860465</v>
      </c>
      <c r="M13" s="10" t="n">
        <f aca="false">M12/Inputs!$C$9</f>
        <v>297767.441860465</v>
      </c>
      <c r="N13" s="10" t="n">
        <f aca="false">N12/Inputs!$C$9</f>
        <v>297767.441860465</v>
      </c>
      <c r="O13" s="10" t="n">
        <f aca="false">O12/Inputs!$C$9</f>
        <v>297767.441860465</v>
      </c>
      <c r="P13" s="10" t="n">
        <f aca="false">P12/Inputs!$C$9</f>
        <v>297767.441860465</v>
      </c>
      <c r="Q13" s="10" t="n">
        <f aca="false">Q12/Inputs!$C$9</f>
        <v>297767.441860465</v>
      </c>
      <c r="R13" s="10" t="n">
        <f aca="false">R12/Inputs!$C$9</f>
        <v>297767.441860465</v>
      </c>
      <c r="S13" s="10" t="n">
        <f aca="false">S12/Inputs!$C$9</f>
        <v>297767.441860465</v>
      </c>
      <c r="T13" s="10" t="n">
        <f aca="false">T12/Inputs!$C$9</f>
        <v>297767.441860465</v>
      </c>
      <c r="U13" s="10" t="n">
        <f aca="false">U12/Inputs!$C$9</f>
        <v>297767.441860465</v>
      </c>
      <c r="V13" s="10" t="n">
        <f aca="false">V12/Inputs!$C$9</f>
        <v>297767.441860465</v>
      </c>
      <c r="W13" s="10" t="n">
        <f aca="false">W12/Inputs!$C$9</f>
        <v>297767.441860465</v>
      </c>
    </row>
    <row r="14" customFormat="false" ht="15" hidden="false" customHeight="false" outlineLevel="0" collapsed="false">
      <c r="B14" s="3" t="s">
        <v>136</v>
      </c>
      <c r="D14" s="14" t="n">
        <f aca="false">D12*D10-D13*D9</f>
        <v>15055121.8604651</v>
      </c>
      <c r="E14" s="14" t="n">
        <f aca="false">E12*E10-E13*E9</f>
        <v>14603963.6896744</v>
      </c>
      <c r="F14" s="14" t="n">
        <f aca="false">F12*F10-F13*F9</f>
        <v>14151756.3179127</v>
      </c>
      <c r="G14" s="14" t="n">
        <f aca="false">G12*G10-G13*G9</f>
        <v>13698394.2371586</v>
      </c>
      <c r="H14" s="14" t="n">
        <f aca="false">H12*H10-H13*H9</f>
        <v>13243770.7251849</v>
      </c>
      <c r="I14" s="14" t="n">
        <f aca="false">I12*I10-I13*I9</f>
        <v>12787777.8117769</v>
      </c>
      <c r="J14" s="14" t="n">
        <f aca="false">J12*J10-J13*J9</f>
        <v>12330306.2443765</v>
      </c>
      <c r="K14" s="14" t="n">
        <f aca="false">K12*K10-K13*K9</f>
        <v>11871245.4531388</v>
      </c>
      <c r="L14" s="14" t="n">
        <f aca="false">L12*L10-L13*L9</f>
        <v>11410483.5153871</v>
      </c>
      <c r="M14" s="14" t="n">
        <f aca="false">M12*M10-M13*M9</f>
        <v>11638693.1856949</v>
      </c>
      <c r="N14" s="14" t="n">
        <f aca="false">N12*N10-N13*N9</f>
        <v>11871467.0494088</v>
      </c>
      <c r="O14" s="14" t="n">
        <f aca="false">O12*O10-O13*O9</f>
        <v>12108896.390397</v>
      </c>
      <c r="P14" s="14" t="n">
        <f aca="false">P12*P10-P13*P9</f>
        <v>12351074.3182049</v>
      </c>
      <c r="Q14" s="14" t="n">
        <f aca="false">Q12*Q10-Q13*Q9</f>
        <v>12598095.804569</v>
      </c>
      <c r="R14" s="14" t="n">
        <f aca="false">R12*R10-R13*R9</f>
        <v>12850057.7206604</v>
      </c>
      <c r="S14" s="14" t="n">
        <f aca="false">S12*S10-S13*S9</f>
        <v>13107058.8750736</v>
      </c>
      <c r="T14" s="14" t="n">
        <f aca="false">T12*T10-T13*T9</f>
        <v>13369200.0525751</v>
      </c>
      <c r="U14" s="14" t="n">
        <f aca="false">U12*U10-U13*U9</f>
        <v>13636584.0536265</v>
      </c>
      <c r="V14" s="14" t="n">
        <f aca="false">V12*V10-V13*V9</f>
        <v>13909315.7346991</v>
      </c>
      <c r="W14" s="14" t="n">
        <f aca="false">W12*W10-W13*W9</f>
        <v>14187502.0493931</v>
      </c>
    </row>
    <row r="15" customFormat="false" ht="15" hidden="false" customHeight="false" outlineLevel="0" collapsed="false">
      <c r="B15" s="2" t="s">
        <v>137</v>
      </c>
      <c r="D15" s="17" t="n">
        <f aca="false">MAX(Inputs!$C$53,Inputs!$C$51-Inputs!$C$52*D$5)</f>
        <v>0.85</v>
      </c>
      <c r="E15" s="17" t="n">
        <f aca="false">MAX(Inputs!$C$53,Inputs!$C$51-Inputs!$C$52*E$5)</f>
        <v>0.835</v>
      </c>
      <c r="F15" s="17" t="n">
        <f aca="false">MAX(Inputs!$C$53,Inputs!$C$51-Inputs!$C$52*F$5)</f>
        <v>0.82</v>
      </c>
      <c r="G15" s="17" t="n">
        <f aca="false">MAX(Inputs!$C$53,Inputs!$C$51-Inputs!$C$52*G$5)</f>
        <v>0.805</v>
      </c>
      <c r="H15" s="17" t="n">
        <f aca="false">MAX(Inputs!$C$53,Inputs!$C$51-Inputs!$C$52*H$5)</f>
        <v>0.79</v>
      </c>
      <c r="I15" s="17" t="n">
        <f aca="false">MAX(Inputs!$C$53,Inputs!$C$51-Inputs!$C$52*I$5)</f>
        <v>0.775</v>
      </c>
      <c r="J15" s="17" t="n">
        <f aca="false">MAX(Inputs!$C$53,Inputs!$C$51-Inputs!$C$52*J$5)</f>
        <v>0.76</v>
      </c>
      <c r="K15" s="17" t="n">
        <f aca="false">MAX(Inputs!$C$53,Inputs!$C$51-Inputs!$C$52*K$5)</f>
        <v>0.745</v>
      </c>
      <c r="L15" s="17" t="n">
        <f aca="false">MAX(Inputs!$C$53,Inputs!$C$51-Inputs!$C$52*L$5)</f>
        <v>0.73</v>
      </c>
      <c r="M15" s="17" t="n">
        <f aca="false">MAX(Inputs!$C$53,Inputs!$C$51-Inputs!$C$52*M$5)</f>
        <v>0.715</v>
      </c>
      <c r="N15" s="17" t="n">
        <f aca="false">MAX(Inputs!$C$53,Inputs!$C$51-Inputs!$C$52*N$5)</f>
        <v>0.7</v>
      </c>
      <c r="O15" s="17" t="n">
        <f aca="false">MAX(Inputs!$C$53,Inputs!$C$51-Inputs!$C$52*O$5)</f>
        <v>0.7</v>
      </c>
      <c r="P15" s="17" t="n">
        <f aca="false">MAX(Inputs!$C$53,Inputs!$C$51-Inputs!$C$52*P$5)</f>
        <v>0.7</v>
      </c>
      <c r="Q15" s="17" t="n">
        <f aca="false">MAX(Inputs!$C$53,Inputs!$C$51-Inputs!$C$52*Q$5)</f>
        <v>0.7</v>
      </c>
      <c r="R15" s="17" t="n">
        <f aca="false">MAX(Inputs!$C$53,Inputs!$C$51-Inputs!$C$52*R$5)</f>
        <v>0.7</v>
      </c>
      <c r="S15" s="17" t="n">
        <f aca="false">MAX(Inputs!$C$53,Inputs!$C$51-Inputs!$C$52*S$5)</f>
        <v>0.7</v>
      </c>
      <c r="T15" s="17" t="n">
        <f aca="false">MAX(Inputs!$C$53,Inputs!$C$51-Inputs!$C$52*T$5)</f>
        <v>0.7</v>
      </c>
      <c r="U15" s="17" t="n">
        <f aca="false">MAX(Inputs!$C$53,Inputs!$C$51-Inputs!$C$52*U$5)</f>
        <v>0.7</v>
      </c>
      <c r="V15" s="17" t="n">
        <f aca="false">MAX(Inputs!$C$53,Inputs!$C$51-Inputs!$C$52*V$5)</f>
        <v>0.7</v>
      </c>
      <c r="W15" s="17" t="n">
        <f aca="false">MAX(Inputs!$C$53,Inputs!$C$51-Inputs!$C$52*W$5)</f>
        <v>0.7</v>
      </c>
    </row>
    <row r="16" customFormat="false" ht="15" hidden="false" customHeight="false" outlineLevel="0" collapsed="false">
      <c r="B16" s="3" t="s">
        <v>138</v>
      </c>
      <c r="D16" s="14" t="n">
        <f aca="false">Inputs!$C$49*(1+Inputs!$C$50)^D$5*(1+Inputs!$C$82)*12*Inputs!$C$6*1000*D15*(D11/Inputs!$C$7)*(Inputs!$C$86/Inputs!$C$10)</f>
        <v>14790000</v>
      </c>
      <c r="E16" s="14" t="n">
        <f aca="false">Inputs!$C$49*(1+Inputs!$C$50)^E$5*(1+Inputs!$C$82)*12*Inputs!$C$6*1000*E15*(E11/Inputs!$C$7)*(Inputs!$C$86/Inputs!$C$10)</f>
        <v>14819580</v>
      </c>
      <c r="F16" s="14" t="n">
        <f aca="false">Inputs!$C$49*(1+Inputs!$C$50)^F$5*(1+Inputs!$C$82)*12*Inputs!$C$6*1000*F15*(F11/Inputs!$C$7)*(Inputs!$C$86/Inputs!$C$10)</f>
        <v>14844427.2</v>
      </c>
      <c r="G16" s="14" t="n">
        <f aca="false">Inputs!$C$49*(1+Inputs!$C$50)^G$5*(1+Inputs!$C$82)*12*Inputs!$C$6*1000*G15*(G11/Inputs!$C$7)*(Inputs!$C$86/Inputs!$C$10)</f>
        <v>14864340.456</v>
      </c>
      <c r="H16" s="14" t="n">
        <f aca="false">Inputs!$C$49*(1+Inputs!$C$50)^H$5*(1+Inputs!$C$82)*12*Inputs!$C$6*1000*H15*(H11/Inputs!$C$7)*(Inputs!$C$86/Inputs!$C$10)</f>
        <v>14879112.47136</v>
      </c>
      <c r="I16" s="14" t="n">
        <f aca="false">Inputs!$C$49*(1+Inputs!$C$50)^I$5*(1+Inputs!$C$82)*12*Inputs!$C$6*1000*I15*(I11/Inputs!$C$7)*(Inputs!$C$86/Inputs!$C$10)</f>
        <v>14888529.631152</v>
      </c>
      <c r="J16" s="14" t="n">
        <f aca="false">Inputs!$C$49*(1+Inputs!$C$50)^J$5*(1+Inputs!$C$82)*12*Inputs!$C$6*1000*J15*(J11/Inputs!$C$7)*(Inputs!$C$86/Inputs!$C$10)</f>
        <v>14892371.8323471</v>
      </c>
      <c r="K16" s="14" t="n">
        <f aca="false">Inputs!$C$49*(1+Inputs!$C$50)^K$5*(1+Inputs!$C$82)*12*Inputs!$C$6*1000*K15*(K11/Inputs!$C$7)*(Inputs!$C$86/Inputs!$C$10)</f>
        <v>14890412.3097376</v>
      </c>
      <c r="L16" s="14" t="n">
        <f aca="false">Inputs!$C$49*(1+Inputs!$C$50)^L$5*(1+Inputs!$C$82)*12*Inputs!$C$6*1000*L15*(L11/Inputs!$C$7)*(Inputs!$C$86/Inputs!$C$10)</f>
        <v>14882417.4574908</v>
      </c>
      <c r="M16" s="14" t="n">
        <f aca="false">Inputs!$C$49*(1+Inputs!$C$50)^M$5*(1+Inputs!$C$82)*12*Inputs!$C$6*1000*M15*(M11/Inputs!$C$7)*(Inputs!$C$86/Inputs!$C$10)</f>
        <v>14868146.6462302</v>
      </c>
      <c r="N16" s="14" t="n">
        <f aca="false">Inputs!$C$49*(1+Inputs!$C$50)^N$5*(1+Inputs!$C$82)*12*Inputs!$C$6*1000*N15*(N11/Inputs!$C$7)*(Inputs!$C$86/Inputs!$C$10)</f>
        <v>14847352.0355361</v>
      </c>
      <c r="O16" s="14" t="n">
        <f aca="false">Inputs!$C$49*(1+Inputs!$C$50)^O$5*(1+Inputs!$C$82)*12*Inputs!$C$6*1000*O15*(O11/Inputs!$C$7)*(Inputs!$C$86/Inputs!$C$10)</f>
        <v>15144299.0762469</v>
      </c>
      <c r="P16" s="14" t="n">
        <f aca="false">Inputs!$C$49*(1+Inputs!$C$50)^P$5*(1+Inputs!$C$82)*12*Inputs!$C$6*1000*P15*(P11/Inputs!$C$7)*(Inputs!$C$86/Inputs!$C$10)</f>
        <v>15447185.0577718</v>
      </c>
      <c r="Q16" s="14" t="n">
        <f aca="false">Inputs!$C$49*(1+Inputs!$C$50)^Q$5*(1+Inputs!$C$82)*12*Inputs!$C$6*1000*Q15*(Q11/Inputs!$C$7)*(Inputs!$C$86/Inputs!$C$10)</f>
        <v>15756128.7589272</v>
      </c>
      <c r="R16" s="14" t="n">
        <f aca="false">Inputs!$C$49*(1+Inputs!$C$50)^R$5*(1+Inputs!$C$82)*12*Inputs!$C$6*1000*R15*(R11/Inputs!$C$7)*(Inputs!$C$86/Inputs!$C$10)</f>
        <v>16071251.3341058</v>
      </c>
      <c r="S16" s="14" t="n">
        <f aca="false">Inputs!$C$49*(1+Inputs!$C$50)^S$5*(1+Inputs!$C$82)*12*Inputs!$C$6*1000*S15*(S11/Inputs!$C$7)*(Inputs!$C$86/Inputs!$C$10)</f>
        <v>16392676.3607879</v>
      </c>
      <c r="T16" s="14" t="n">
        <f aca="false">Inputs!$C$49*(1+Inputs!$C$50)^T$5*(1+Inputs!$C$82)*12*Inputs!$C$6*1000*T15*(T11/Inputs!$C$7)*(Inputs!$C$86/Inputs!$C$10)</f>
        <v>16720529.8880037</v>
      </c>
      <c r="U16" s="14" t="n">
        <f aca="false">Inputs!$C$49*(1+Inputs!$C$50)^U$5*(1+Inputs!$C$82)*12*Inputs!$C$6*1000*U15*(U11/Inputs!$C$7)*(Inputs!$C$86/Inputs!$C$10)</f>
        <v>17054940.4857637</v>
      </c>
      <c r="V16" s="14" t="n">
        <f aca="false">Inputs!$C$49*(1+Inputs!$C$50)^V$5*(1+Inputs!$C$82)*12*Inputs!$C$6*1000*V15*(V11/Inputs!$C$7)*(Inputs!$C$86/Inputs!$C$10)</f>
        <v>17396039.295479</v>
      </c>
      <c r="W16" s="14" t="n">
        <f aca="false">Inputs!$C$49*(1+Inputs!$C$50)^W$5*(1+Inputs!$C$82)*12*Inputs!$C$6*1000*W15*(W11/Inputs!$C$7)*(Inputs!$C$86/Inputs!$C$10)</f>
        <v>17743960.0813886</v>
      </c>
    </row>
    <row r="17" customFormat="false" ht="15" hidden="false" customHeight="false" outlineLevel="0" collapsed="false">
      <c r="B17" s="3" t="s">
        <v>139</v>
      </c>
      <c r="D17" s="14" t="n">
        <f aca="false">MAX(Inputs!$C$56,Inputs!$C$54*(1-Inputs!$C$55)^D$5)*Inputs!$C$6*1000*(Inputs!$C$86/Inputs!$C$10)</f>
        <v>2800000</v>
      </c>
      <c r="E17" s="14" t="n">
        <f aca="false">MAX(Inputs!$C$56,Inputs!$C$54*(1-Inputs!$C$55)^E$5)*Inputs!$C$6*1000*(Inputs!$C$86/Inputs!$C$10)</f>
        <v>2576000</v>
      </c>
      <c r="F17" s="14" t="n">
        <f aca="false">MAX(Inputs!$C$56,Inputs!$C$54*(1-Inputs!$C$55)^F$5)*Inputs!$C$6*1000*(Inputs!$C$86/Inputs!$C$10)</f>
        <v>2369920</v>
      </c>
      <c r="G17" s="14" t="n">
        <f aca="false">MAX(Inputs!$C$56,Inputs!$C$54*(1-Inputs!$C$55)^G$5)*Inputs!$C$6*1000*(Inputs!$C$86/Inputs!$C$10)</f>
        <v>2180326.4</v>
      </c>
      <c r="H17" s="14" t="n">
        <f aca="false">MAX(Inputs!$C$56,Inputs!$C$54*(1-Inputs!$C$55)^H$5)*Inputs!$C$6*1000*(Inputs!$C$86/Inputs!$C$10)</f>
        <v>2005900.288</v>
      </c>
      <c r="I17" s="14" t="n">
        <f aca="false">MAX(Inputs!$C$56,Inputs!$C$54*(1-Inputs!$C$55)^I$5)*Inputs!$C$6*1000*(Inputs!$C$86/Inputs!$C$10)</f>
        <v>1845428.26496</v>
      </c>
      <c r="J17" s="14" t="n">
        <f aca="false">MAX(Inputs!$C$56,Inputs!$C$54*(1-Inputs!$C$55)^J$5)*Inputs!$C$6*1000*(Inputs!$C$86/Inputs!$C$10)</f>
        <v>1697794.0037632</v>
      </c>
      <c r="K17" s="14" t="n">
        <f aca="false">MAX(Inputs!$C$56,Inputs!$C$54*(1-Inputs!$C$55)^K$5)*Inputs!$C$6*1000*(Inputs!$C$86/Inputs!$C$10)</f>
        <v>1561970.48346214</v>
      </c>
      <c r="L17" s="14" t="n">
        <f aca="false">MAX(Inputs!$C$56,Inputs!$C$54*(1-Inputs!$C$55)^L$5)*Inputs!$C$6*1000*(Inputs!$C$86/Inputs!$C$10)</f>
        <v>1437012.84478517</v>
      </c>
      <c r="M17" s="14" t="n">
        <f aca="false">MAX(Inputs!$C$56,Inputs!$C$54*(1-Inputs!$C$55)^M$5)*Inputs!$C$6*1000*(Inputs!$C$86/Inputs!$C$10)</f>
        <v>1322051.81720236</v>
      </c>
      <c r="N17" s="14" t="n">
        <f aca="false">MAX(Inputs!$C$56,Inputs!$C$54*(1-Inputs!$C$55)^N$5)*Inputs!$C$6*1000*(Inputs!$C$86/Inputs!$C$10)</f>
        <v>1216287.67182617</v>
      </c>
      <c r="O17" s="14" t="n">
        <f aca="false">MAX(Inputs!$C$56,Inputs!$C$54*(1-Inputs!$C$55)^O$5)*Inputs!$C$6*1000*(Inputs!$C$86/Inputs!$C$10)</f>
        <v>1118984.65808008</v>
      </c>
      <c r="P17" s="14" t="n">
        <f aca="false">MAX(Inputs!$C$56,Inputs!$C$54*(1-Inputs!$C$55)^P$5)*Inputs!$C$6*1000*(Inputs!$C$86/Inputs!$C$10)</f>
        <v>1029465.88543367</v>
      </c>
      <c r="Q17" s="14" t="n">
        <f aca="false">MAX(Inputs!$C$56,Inputs!$C$54*(1-Inputs!$C$55)^Q$5)*Inputs!$C$6*1000*(Inputs!$C$86/Inputs!$C$10)</f>
        <v>1000000</v>
      </c>
      <c r="R17" s="14" t="n">
        <f aca="false">MAX(Inputs!$C$56,Inputs!$C$54*(1-Inputs!$C$55)^R$5)*Inputs!$C$6*1000*(Inputs!$C$86/Inputs!$C$10)</f>
        <v>1000000</v>
      </c>
      <c r="S17" s="14" t="n">
        <f aca="false">MAX(Inputs!$C$56,Inputs!$C$54*(1-Inputs!$C$55)^S$5)*Inputs!$C$6*1000*(Inputs!$C$86/Inputs!$C$10)</f>
        <v>1000000</v>
      </c>
      <c r="T17" s="14" t="n">
        <f aca="false">MAX(Inputs!$C$56,Inputs!$C$54*(1-Inputs!$C$55)^T$5)*Inputs!$C$6*1000*(Inputs!$C$86/Inputs!$C$10)</f>
        <v>1000000</v>
      </c>
      <c r="U17" s="14" t="n">
        <f aca="false">MAX(Inputs!$C$56,Inputs!$C$54*(1-Inputs!$C$55)^U$5)*Inputs!$C$6*1000*(Inputs!$C$86/Inputs!$C$10)</f>
        <v>1000000</v>
      </c>
      <c r="V17" s="14" t="n">
        <f aca="false">MAX(Inputs!$C$56,Inputs!$C$54*(1-Inputs!$C$55)^V$5)*Inputs!$C$6*1000*(Inputs!$C$86/Inputs!$C$10)</f>
        <v>1000000</v>
      </c>
      <c r="W17" s="14" t="n">
        <f aca="false">MAX(Inputs!$C$56,Inputs!$C$54*(1-Inputs!$C$55)^W$5)*Inputs!$C$6*1000*(Inputs!$C$86/Inputs!$C$10)</f>
        <v>1000000</v>
      </c>
    </row>
    <row r="18" customFormat="false" ht="15" hidden="false" customHeight="false" outlineLevel="0" collapsed="false">
      <c r="B18" s="3" t="s">
        <v>140</v>
      </c>
      <c r="D18" s="14" t="n">
        <f aca="false">D14+D16+D17</f>
        <v>32645121.8604651</v>
      </c>
      <c r="E18" s="14" t="n">
        <f aca="false">E14+E16+E17</f>
        <v>31999543.6896744</v>
      </c>
      <c r="F18" s="14" t="n">
        <f aca="false">F14+F16+F17</f>
        <v>31366103.5179127</v>
      </c>
      <c r="G18" s="14" t="n">
        <f aca="false">G14+G16+G17</f>
        <v>30743061.0931586</v>
      </c>
      <c r="H18" s="14" t="n">
        <f aca="false">H14+H16+H17</f>
        <v>30128783.4845449</v>
      </c>
      <c r="I18" s="14" t="n">
        <f aca="false">I14+I16+I17</f>
        <v>29521735.7078889</v>
      </c>
      <c r="J18" s="14" t="n">
        <f aca="false">J14+J16+J17</f>
        <v>28920472.0804869</v>
      </c>
      <c r="K18" s="14" t="n">
        <f aca="false">K14+K16+K17</f>
        <v>28323628.2463385</v>
      </c>
      <c r="L18" s="14" t="n">
        <f aca="false">L14+L16+L17</f>
        <v>27729913.8176631</v>
      </c>
      <c r="M18" s="14" t="n">
        <f aca="false">M14+M16+M17</f>
        <v>27828891.6491274</v>
      </c>
      <c r="N18" s="14" t="n">
        <f aca="false">N14+N16+N17</f>
        <v>27935106.7567711</v>
      </c>
      <c r="O18" s="14" t="n">
        <f aca="false">O14+O16+O17</f>
        <v>28372180.1247239</v>
      </c>
      <c r="P18" s="14" t="n">
        <f aca="false">P14+P16+P17</f>
        <v>28827725.2614104</v>
      </c>
      <c r="Q18" s="14" t="n">
        <f aca="false">Q14+Q16+Q17</f>
        <v>29354224.5634962</v>
      </c>
      <c r="R18" s="14" t="n">
        <f aca="false">R14+R16+R17</f>
        <v>29921309.0547662</v>
      </c>
      <c r="S18" s="14" t="n">
        <f aca="false">S14+S16+S17</f>
        <v>30499735.2358615</v>
      </c>
      <c r="T18" s="14" t="n">
        <f aca="false">T14+T16+T17</f>
        <v>31089729.9405787</v>
      </c>
      <c r="U18" s="14" t="n">
        <f aca="false">U14+U16+U17</f>
        <v>31691524.5393903</v>
      </c>
      <c r="V18" s="14" t="n">
        <f aca="false">V14+V16+V17</f>
        <v>32305355.0301781</v>
      </c>
      <c r="W18" s="14" t="n">
        <f aca="false">W14+W16+W17</f>
        <v>32931462.1307817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X9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0"/>
    <col collapsed="false" customWidth="true" hidden="false" outlineLevel="0" max="3" min="3" style="0" width="14"/>
    <col collapsed="false" customWidth="true" hidden="false" outlineLevel="0" max="23" min="4" style="0" width="11"/>
  </cols>
  <sheetData>
    <row r="2" customFormat="false" ht="16.15" hidden="false" customHeight="false" outlineLevel="0" collapsed="false">
      <c r="B2" s="1" t="s">
        <v>141</v>
      </c>
    </row>
    <row r="4" customFormat="false" ht="15" hidden="false" customHeight="false" outlineLevel="0" collapsed="false">
      <c r="B4" s="3" t="s">
        <v>95</v>
      </c>
      <c r="D4" s="3" t="n">
        <v>2028</v>
      </c>
      <c r="E4" s="3" t="n">
        <v>2029</v>
      </c>
      <c r="F4" s="3" t="n">
        <v>2030</v>
      </c>
      <c r="G4" s="3" t="n">
        <v>2031</v>
      </c>
      <c r="H4" s="3" t="n">
        <v>2032</v>
      </c>
      <c r="I4" s="3" t="n">
        <v>2033</v>
      </c>
      <c r="J4" s="3" t="n">
        <v>2034</v>
      </c>
      <c r="K4" s="3" t="n">
        <v>2035</v>
      </c>
      <c r="L4" s="3" t="n">
        <v>2036</v>
      </c>
      <c r="M4" s="3" t="n">
        <v>2037</v>
      </c>
      <c r="N4" s="3" t="n">
        <v>2038</v>
      </c>
      <c r="O4" s="3" t="n">
        <v>2039</v>
      </c>
      <c r="P4" s="3" t="n">
        <v>2040</v>
      </c>
      <c r="Q4" s="3" t="n">
        <v>2041</v>
      </c>
      <c r="R4" s="3" t="n">
        <v>2042</v>
      </c>
      <c r="S4" s="3" t="n">
        <v>2043</v>
      </c>
      <c r="T4" s="3" t="n">
        <v>2044</v>
      </c>
      <c r="U4" s="3" t="n">
        <v>2045</v>
      </c>
      <c r="V4" s="3" t="n">
        <v>2046</v>
      </c>
      <c r="W4" s="3" t="n">
        <v>2047</v>
      </c>
    </row>
    <row r="5" customFormat="false" ht="15" hidden="false" customHeight="false" outlineLevel="0" collapsed="false">
      <c r="B5" s="3" t="s">
        <v>128</v>
      </c>
      <c r="D5" s="2" t="n">
        <v>0</v>
      </c>
      <c r="E5" s="2" t="n">
        <v>1</v>
      </c>
      <c r="F5" s="2" t="n">
        <v>2</v>
      </c>
      <c r="G5" s="2" t="n">
        <v>3</v>
      </c>
      <c r="H5" s="2" t="n">
        <v>4</v>
      </c>
      <c r="I5" s="2" t="n">
        <v>5</v>
      </c>
      <c r="J5" s="2" t="n">
        <v>6</v>
      </c>
      <c r="K5" s="2" t="n">
        <v>7</v>
      </c>
      <c r="L5" s="2" t="n">
        <v>8</v>
      </c>
      <c r="M5" s="2" t="n">
        <v>9</v>
      </c>
      <c r="N5" s="2" t="n">
        <v>10</v>
      </c>
      <c r="O5" s="2" t="n">
        <v>11</v>
      </c>
      <c r="P5" s="2" t="n">
        <v>12</v>
      </c>
      <c r="Q5" s="2" t="n">
        <v>13</v>
      </c>
      <c r="R5" s="2" t="n">
        <v>14</v>
      </c>
      <c r="S5" s="2" t="n">
        <v>15</v>
      </c>
      <c r="T5" s="2" t="n">
        <v>16</v>
      </c>
      <c r="U5" s="2" t="n">
        <v>17</v>
      </c>
      <c r="V5" s="2" t="n">
        <v>18</v>
      </c>
      <c r="W5" s="2" t="n">
        <v>19</v>
      </c>
    </row>
    <row r="7" customFormat="false" ht="15" hidden="false" customHeight="false" outlineLevel="0" collapsed="false">
      <c r="B7" s="2" t="s">
        <v>142</v>
      </c>
      <c r="D7" s="15" t="n">
        <f aca="false">(Inputs!$C$35*Inputs!$C$6*1000+Inputs!$C$37*Credit!$C$11+Inputs!$C$36+Inputs!$C$38+Inputs!$C$39+Inputs!$C$40)*(1+Inputs!$C$41)^D$5</f>
        <v>5662520</v>
      </c>
      <c r="E7" s="15" t="n">
        <f aca="false">(Inputs!$C$35*Inputs!$C$6*1000+Inputs!$C$37*Credit!$C$11+Inputs!$C$36+Inputs!$C$38+Inputs!$C$39+Inputs!$C$40)*(1+Inputs!$C$41)^E$5</f>
        <v>5804083</v>
      </c>
      <c r="F7" s="15" t="n">
        <f aca="false">(Inputs!$C$35*Inputs!$C$6*1000+Inputs!$C$37*Credit!$C$11+Inputs!$C$36+Inputs!$C$38+Inputs!$C$39+Inputs!$C$40)*(1+Inputs!$C$41)^F$5</f>
        <v>5949185.075</v>
      </c>
      <c r="G7" s="15" t="n">
        <f aca="false">(Inputs!$C$35*Inputs!$C$6*1000+Inputs!$C$37*Credit!$C$11+Inputs!$C$36+Inputs!$C$38+Inputs!$C$39+Inputs!$C$40)*(1+Inputs!$C$41)^G$5</f>
        <v>6097914.701875</v>
      </c>
      <c r="H7" s="15" t="n">
        <f aca="false">(Inputs!$C$35*Inputs!$C$6*1000+Inputs!$C$37*Credit!$C$11+Inputs!$C$36+Inputs!$C$38+Inputs!$C$39+Inputs!$C$40)*(1+Inputs!$C$41)^H$5</f>
        <v>6250362.56942187</v>
      </c>
      <c r="I7" s="15" t="n">
        <f aca="false">(Inputs!$C$35*Inputs!$C$6*1000+Inputs!$C$37*Credit!$C$11+Inputs!$C$36+Inputs!$C$38+Inputs!$C$39+Inputs!$C$40)*(1+Inputs!$C$41)^I$5</f>
        <v>6406621.63365742</v>
      </c>
      <c r="J7" s="15" t="n">
        <f aca="false">(Inputs!$C$35*Inputs!$C$6*1000+Inputs!$C$37*Credit!$C$11+Inputs!$C$36+Inputs!$C$38+Inputs!$C$39+Inputs!$C$40)*(1+Inputs!$C$41)^J$5</f>
        <v>6566787.17449885</v>
      </c>
      <c r="K7" s="15" t="n">
        <f aca="false">(Inputs!$C$35*Inputs!$C$6*1000+Inputs!$C$37*Credit!$C$11+Inputs!$C$36+Inputs!$C$38+Inputs!$C$39+Inputs!$C$40)*(1+Inputs!$C$41)^K$5</f>
        <v>6730956.85386133</v>
      </c>
      <c r="L7" s="15" t="n">
        <f aca="false">(Inputs!$C$35*Inputs!$C$6*1000+Inputs!$C$37*Credit!$C$11+Inputs!$C$36+Inputs!$C$38+Inputs!$C$39+Inputs!$C$40)*(1+Inputs!$C$41)^L$5</f>
        <v>6899230.77520786</v>
      </c>
      <c r="M7" s="15" t="n">
        <f aca="false">(Inputs!$C$35*Inputs!$C$6*1000+Inputs!$C$37*Credit!$C$11+Inputs!$C$36+Inputs!$C$38+Inputs!$C$39+Inputs!$C$40)*(1+Inputs!$C$41)^M$5</f>
        <v>7071711.54458805</v>
      </c>
      <c r="N7" s="15" t="n">
        <f aca="false">(Inputs!$C$35*Inputs!$C$6*1000+Inputs!$C$37*Credit!$C$11+Inputs!$C$36+Inputs!$C$38+Inputs!$C$39+Inputs!$C$40)*(1+Inputs!$C$41)^N$5</f>
        <v>7248504.33320275</v>
      </c>
      <c r="O7" s="15" t="n">
        <f aca="false">(Inputs!$C$35*Inputs!$C$6*1000+Inputs!$C$37*Credit!$C$11+Inputs!$C$36+Inputs!$C$38+Inputs!$C$39+Inputs!$C$40)*(1+Inputs!$C$41)^O$5</f>
        <v>7429716.94153282</v>
      </c>
      <c r="P7" s="15" t="n">
        <f aca="false">(Inputs!$C$35*Inputs!$C$6*1000+Inputs!$C$37*Credit!$C$11+Inputs!$C$36+Inputs!$C$38+Inputs!$C$39+Inputs!$C$40)*(1+Inputs!$C$41)^P$5</f>
        <v>7615459.86507114</v>
      </c>
      <c r="Q7" s="15" t="n">
        <f aca="false">(Inputs!$C$35*Inputs!$C$6*1000+Inputs!$C$37*Credit!$C$11+Inputs!$C$36+Inputs!$C$38+Inputs!$C$39+Inputs!$C$40)*(1+Inputs!$C$41)^Q$5</f>
        <v>7805846.36169792</v>
      </c>
      <c r="R7" s="15" t="n">
        <f aca="false">(Inputs!$C$35*Inputs!$C$6*1000+Inputs!$C$37*Credit!$C$11+Inputs!$C$36+Inputs!$C$38+Inputs!$C$39+Inputs!$C$40)*(1+Inputs!$C$41)^R$5</f>
        <v>8000992.52074037</v>
      </c>
      <c r="S7" s="15" t="n">
        <f aca="false">(Inputs!$C$35*Inputs!$C$6*1000+Inputs!$C$37*Credit!$C$11+Inputs!$C$36+Inputs!$C$38+Inputs!$C$39+Inputs!$C$40)*(1+Inputs!$C$41)^S$5</f>
        <v>8201017.33375888</v>
      </c>
      <c r="T7" s="15" t="n">
        <f aca="false">(Inputs!$C$35*Inputs!$C$6*1000+Inputs!$C$37*Credit!$C$11+Inputs!$C$36+Inputs!$C$38+Inputs!$C$39+Inputs!$C$40)*(1+Inputs!$C$41)^T$5</f>
        <v>8406042.76710285</v>
      </c>
      <c r="U7" s="15" t="n">
        <f aca="false">(Inputs!$C$35*Inputs!$C$6*1000+Inputs!$C$37*Credit!$C$11+Inputs!$C$36+Inputs!$C$38+Inputs!$C$39+Inputs!$C$40)*(1+Inputs!$C$41)^U$5</f>
        <v>8616193.83628042</v>
      </c>
      <c r="V7" s="15" t="n">
        <f aca="false">(Inputs!$C$35*Inputs!$C$6*1000+Inputs!$C$37*Credit!$C$11+Inputs!$C$36+Inputs!$C$38+Inputs!$C$39+Inputs!$C$40)*(1+Inputs!$C$41)^V$5</f>
        <v>8831598.68218743</v>
      </c>
      <c r="W7" s="15" t="n">
        <f aca="false">(Inputs!$C$35*Inputs!$C$6*1000+Inputs!$C$37*Credit!$C$11+Inputs!$C$36+Inputs!$C$38+Inputs!$C$39+Inputs!$C$40)*(1+Inputs!$C$41)^W$5</f>
        <v>9052388.64924211</v>
      </c>
    </row>
    <row r="8" customFormat="false" ht="15" hidden="false" customHeight="false" outlineLevel="0" collapsed="false">
      <c r="B8" s="2" t="s">
        <v>143</v>
      </c>
      <c r="D8" s="16" t="n">
        <f aca="false">1/(1+Inputs!$C$67)^(D$5+2)</f>
        <v>0.873438728273212</v>
      </c>
      <c r="E8" s="16" t="n">
        <f aca="false">1/(1+Inputs!$C$67)^(E$5+2)</f>
        <v>0.816297876890852</v>
      </c>
      <c r="F8" s="16" t="n">
        <f aca="false">1/(1+Inputs!$C$67)^(F$5+2)</f>
        <v>0.762895212047525</v>
      </c>
      <c r="G8" s="16" t="n">
        <f aca="false">1/(1+Inputs!$C$67)^(G$5+2)</f>
        <v>0.712986179483668</v>
      </c>
      <c r="H8" s="16" t="n">
        <f aca="false">1/(1+Inputs!$C$67)^(H$5+2)</f>
        <v>0.666342223816512</v>
      </c>
      <c r="I8" s="16" t="n">
        <f aca="false">1/(1+Inputs!$C$67)^(I$5+2)</f>
        <v>0.622749741884591</v>
      </c>
      <c r="J8" s="16" t="n">
        <f aca="false">1/(1+Inputs!$C$67)^(J$5+2)</f>
        <v>0.582009104565038</v>
      </c>
      <c r="K8" s="16" t="n">
        <f aca="false">1/(1+Inputs!$C$67)^(K$5+2)</f>
        <v>0.543933742584148</v>
      </c>
      <c r="L8" s="16" t="n">
        <f aca="false">1/(1+Inputs!$C$67)^(L$5+2)</f>
        <v>0.508349292134718</v>
      </c>
      <c r="M8" s="16" t="n">
        <f aca="false">1/(1+Inputs!$C$67)^(M$5+2)</f>
        <v>0.475092796387586</v>
      </c>
      <c r="N8" s="16" t="n">
        <f aca="false">1/(1+Inputs!$C$67)^(N$5+2)</f>
        <v>0.444011959240735</v>
      </c>
      <c r="O8" s="16" t="n">
        <f aca="false">1/(1+Inputs!$C$67)^(O$5+2)</f>
        <v>0.414964447888537</v>
      </c>
      <c r="P8" s="16" t="n">
        <f aca="false">1/(1+Inputs!$C$67)^(P$5+2)</f>
        <v>0.387817241017325</v>
      </c>
      <c r="Q8" s="16" t="n">
        <f aca="false">1/(1+Inputs!$C$67)^(Q$5+2)</f>
        <v>0.362446019642359</v>
      </c>
      <c r="R8" s="16" t="n">
        <f aca="false">1/(1+Inputs!$C$67)^(R$5+2)</f>
        <v>0.338734597796598</v>
      </c>
      <c r="S8" s="16" t="n">
        <f aca="false">1/(1+Inputs!$C$67)^(S$5+2)</f>
        <v>0.31657439046411</v>
      </c>
      <c r="T8" s="16" t="n">
        <f aca="false">1/(1+Inputs!$C$67)^(T$5+2)</f>
        <v>0.295863916321598</v>
      </c>
      <c r="U8" s="16" t="n">
        <f aca="false">1/(1+Inputs!$C$67)^(U$5+2)</f>
        <v>0.276508333010839</v>
      </c>
      <c r="V8" s="16" t="n">
        <f aca="false">1/(1+Inputs!$C$67)^(V$5+2)</f>
        <v>0.258419002813868</v>
      </c>
      <c r="W8" s="16" t="n">
        <f aca="false">1/(1+Inputs!$C$67)^(W$5+2)</f>
        <v>0.241513086741933</v>
      </c>
    </row>
    <row r="9" customFormat="false" ht="15" hidden="false" customHeight="false" outlineLevel="0" collapsed="false">
      <c r="B9" s="2" t="s">
        <v>144</v>
      </c>
      <c r="D9" s="16" t="n">
        <f aca="false">1/(1+Inputs!$C$68)^(D$5+2)</f>
        <v>0.834010967244219</v>
      </c>
      <c r="E9" s="16" t="n">
        <f aca="false">1/(1+Inputs!$C$68)^(E$5+2)</f>
        <v>0.761653851364584</v>
      </c>
      <c r="F9" s="16" t="n">
        <f aca="false">1/(1+Inputs!$C$68)^(F$5+2)</f>
        <v>0.695574293483638</v>
      </c>
      <c r="G9" s="16" t="n">
        <f aca="false">1/(1+Inputs!$C$68)^(G$5+2)</f>
        <v>0.635227665281862</v>
      </c>
      <c r="H9" s="16" t="n">
        <f aca="false">1/(1+Inputs!$C$68)^(H$5+2)</f>
        <v>0.580116589298504</v>
      </c>
      <c r="I9" s="16" t="n">
        <f aca="false">1/(1+Inputs!$C$68)^(I$5+2)</f>
        <v>0.529786839542012</v>
      </c>
      <c r="J9" s="16" t="n">
        <f aca="false">1/(1+Inputs!$C$68)^(J$5+2)</f>
        <v>0.483823597755263</v>
      </c>
      <c r="K9" s="16" t="n">
        <f aca="false">1/(1+Inputs!$C$68)^(K$5+2)</f>
        <v>0.441848034479692</v>
      </c>
      <c r="L9" s="16" t="n">
        <f aca="false">1/(1+Inputs!$C$68)^(L$5+2)</f>
        <v>0.403514186739445</v>
      </c>
      <c r="M9" s="16" t="n">
        <f aca="false">1/(1+Inputs!$C$68)^(M$5+2)</f>
        <v>0.368506106611365</v>
      </c>
      <c r="N9" s="16" t="n">
        <f aca="false">1/(1+Inputs!$C$68)^(N$5+2)</f>
        <v>0.336535257179329</v>
      </c>
      <c r="O9" s="16" t="n">
        <f aca="false">1/(1+Inputs!$C$68)^(O$5+2)</f>
        <v>0.307338134410346</v>
      </c>
      <c r="P9" s="16" t="n">
        <f aca="false">1/(1+Inputs!$C$68)^(P$5+2)</f>
        <v>0.280674095351914</v>
      </c>
      <c r="Q9" s="16" t="n">
        <f aca="false">1/(1+Inputs!$C$68)^(Q$5+2)</f>
        <v>0.256323374750606</v>
      </c>
      <c r="R9" s="16" t="n">
        <f aca="false">1/(1+Inputs!$C$68)^(R$5+2)</f>
        <v>0.234085273744846</v>
      </c>
      <c r="S9" s="16" t="n">
        <f aca="false">1/(1+Inputs!$C$68)^(S$5+2)</f>
        <v>0.213776505703056</v>
      </c>
      <c r="T9" s="16" t="n">
        <f aca="false">1/(1+Inputs!$C$68)^(T$5+2)</f>
        <v>0.195229685573567</v>
      </c>
      <c r="U9" s="16" t="n">
        <f aca="false">1/(1+Inputs!$C$68)^(U$5+2)</f>
        <v>0.178291950295495</v>
      </c>
      <c r="V9" s="16" t="n">
        <f aca="false">1/(1+Inputs!$C$68)^(V$5+2)</f>
        <v>0.162823698899995</v>
      </c>
      <c r="W9" s="16" t="n">
        <f aca="false">1/(1+Inputs!$C$68)^(W$5+2)</f>
        <v>0.148697441917804</v>
      </c>
    </row>
    <row r="10" customFormat="false" ht="15" hidden="false" customHeight="false" outlineLevel="0" collapsed="false">
      <c r="B10" s="2" t="s">
        <v>145</v>
      </c>
      <c r="D10" s="16" t="n">
        <f aca="false">1/(1+Inputs!$C$67)^(D$5+1)</f>
        <v>0.934579439252336</v>
      </c>
      <c r="E10" s="16" t="n">
        <f aca="false">1/(1+Inputs!$C$67)^(E$5+1)</f>
        <v>0.873438728273212</v>
      </c>
      <c r="F10" s="16" t="n">
        <f aca="false">1/(1+Inputs!$C$67)^(F$5+1)</f>
        <v>0.816297876890852</v>
      </c>
      <c r="G10" s="16" t="n">
        <f aca="false">1/(1+Inputs!$C$67)^(G$5+1)</f>
        <v>0.762895212047525</v>
      </c>
      <c r="H10" s="16" t="n">
        <f aca="false">1/(1+Inputs!$C$67)^(H$5+1)</f>
        <v>0.712986179483668</v>
      </c>
      <c r="I10" s="16" t="n">
        <f aca="false">1/(1+Inputs!$C$67)^(I$5+1)</f>
        <v>0.666342223816512</v>
      </c>
      <c r="J10" s="16" t="n">
        <f aca="false">1/(1+Inputs!$C$67)^(J$5+1)</f>
        <v>0.622749741884591</v>
      </c>
      <c r="K10" s="16" t="n">
        <f aca="false">1/(1+Inputs!$C$67)^(K$5+1)</f>
        <v>0.582009104565038</v>
      </c>
      <c r="L10" s="16" t="n">
        <f aca="false">1/(1+Inputs!$C$67)^(L$5+1)</f>
        <v>0.543933742584148</v>
      </c>
      <c r="M10" s="16" t="n">
        <f aca="false">1/(1+Inputs!$C$67)^(M$5+1)</f>
        <v>0.508349292134718</v>
      </c>
      <c r="N10" s="16" t="n">
        <f aca="false">1/(1+Inputs!$C$67)^(N$5+1)</f>
        <v>0.475092796387586</v>
      </c>
      <c r="O10" s="16" t="n">
        <f aca="false">1/(1+Inputs!$C$67)^(O$5+1)</f>
        <v>0.444011959240735</v>
      </c>
      <c r="P10" s="16" t="n">
        <f aca="false">1/(1+Inputs!$C$67)^(P$5+1)</f>
        <v>0.414964447888537</v>
      </c>
      <c r="Q10" s="16" t="n">
        <f aca="false">1/(1+Inputs!$C$67)^(Q$5+1)</f>
        <v>0.387817241017325</v>
      </c>
      <c r="R10" s="16" t="n">
        <f aca="false">1/(1+Inputs!$C$67)^(R$5+1)</f>
        <v>0.362446019642359</v>
      </c>
      <c r="S10" s="16" t="n">
        <f aca="false">1/(1+Inputs!$C$67)^(S$5+1)</f>
        <v>0.338734597796598</v>
      </c>
      <c r="T10" s="16" t="n">
        <f aca="false">1/(1+Inputs!$C$67)^(T$5+1)</f>
        <v>0.31657439046411</v>
      </c>
      <c r="U10" s="16" t="n">
        <f aca="false">1/(1+Inputs!$C$67)^(U$5+1)</f>
        <v>0.295863916321598</v>
      </c>
      <c r="V10" s="16" t="n">
        <f aca="false">1/(1+Inputs!$C$67)^(V$5+1)</f>
        <v>0.276508333010839</v>
      </c>
      <c r="W10" s="16" t="n">
        <f aca="false">1/(1+Inputs!$C$67)^(W$5+1)</f>
        <v>0.258419002813868</v>
      </c>
    </row>
    <row r="11" customFormat="false" ht="15" hidden="false" customHeight="false" outlineLevel="0" collapsed="false">
      <c r="B11" s="2" t="s">
        <v>146</v>
      </c>
      <c r="D11" s="16" t="n">
        <f aca="false">1/(1+Inputs!$C$68)^(D$5+1)</f>
        <v>0.91324200913242</v>
      </c>
      <c r="E11" s="16" t="n">
        <f aca="false">1/(1+Inputs!$C$68)^(E$5+1)</f>
        <v>0.834010967244219</v>
      </c>
      <c r="F11" s="16" t="n">
        <f aca="false">1/(1+Inputs!$C$68)^(F$5+1)</f>
        <v>0.761653851364584</v>
      </c>
      <c r="G11" s="16" t="n">
        <f aca="false">1/(1+Inputs!$C$68)^(G$5+1)</f>
        <v>0.695574293483638</v>
      </c>
      <c r="H11" s="16" t="n">
        <f aca="false">1/(1+Inputs!$C$68)^(H$5+1)</f>
        <v>0.635227665281862</v>
      </c>
      <c r="I11" s="16" t="n">
        <f aca="false">1/(1+Inputs!$C$68)^(I$5+1)</f>
        <v>0.580116589298504</v>
      </c>
      <c r="J11" s="16" t="n">
        <f aca="false">1/(1+Inputs!$C$68)^(J$5+1)</f>
        <v>0.529786839542012</v>
      </c>
      <c r="K11" s="16" t="n">
        <f aca="false">1/(1+Inputs!$C$68)^(K$5+1)</f>
        <v>0.483823597755263</v>
      </c>
      <c r="L11" s="16" t="n">
        <f aca="false">1/(1+Inputs!$C$68)^(L$5+1)</f>
        <v>0.441848034479692</v>
      </c>
      <c r="M11" s="16" t="n">
        <f aca="false">1/(1+Inputs!$C$68)^(M$5+1)</f>
        <v>0.403514186739445</v>
      </c>
      <c r="N11" s="16" t="n">
        <f aca="false">1/(1+Inputs!$C$68)^(N$5+1)</f>
        <v>0.368506106611365</v>
      </c>
      <c r="O11" s="16" t="n">
        <f aca="false">1/(1+Inputs!$C$68)^(O$5+1)</f>
        <v>0.336535257179329</v>
      </c>
      <c r="P11" s="16" t="n">
        <f aca="false">1/(1+Inputs!$C$68)^(P$5+1)</f>
        <v>0.307338134410346</v>
      </c>
      <c r="Q11" s="16" t="n">
        <f aca="false">1/(1+Inputs!$C$68)^(Q$5+1)</f>
        <v>0.280674095351914</v>
      </c>
      <c r="R11" s="16" t="n">
        <f aca="false">1/(1+Inputs!$C$68)^(R$5+1)</f>
        <v>0.256323374750606</v>
      </c>
      <c r="S11" s="16" t="n">
        <f aca="false">1/(1+Inputs!$C$68)^(S$5+1)</f>
        <v>0.234085273744846</v>
      </c>
      <c r="T11" s="16" t="n">
        <f aca="false">1/(1+Inputs!$C$68)^(T$5+1)</f>
        <v>0.213776505703056</v>
      </c>
      <c r="U11" s="16" t="n">
        <f aca="false">1/(1+Inputs!$C$68)^(U$5+1)</f>
        <v>0.195229685573567</v>
      </c>
      <c r="V11" s="16" t="n">
        <f aca="false">1/(1+Inputs!$C$68)^(V$5+1)</f>
        <v>0.178291950295495</v>
      </c>
      <c r="W11" s="16" t="n">
        <f aca="false">1/(1+Inputs!$C$68)^(W$5+1)</f>
        <v>0.162823698899995</v>
      </c>
    </row>
    <row r="12" customFormat="false" ht="15" hidden="false" customHeight="false" outlineLevel="0" collapsed="false">
      <c r="B12" s="2" t="s">
        <v>147</v>
      </c>
      <c r="D12" s="16" t="n">
        <f aca="false">IF(D$4&gt;=2033,1/(1+Inputs!$C$67)^(D$4-2032),0)</f>
        <v>0</v>
      </c>
      <c r="E12" s="16" t="n">
        <f aca="false">IF(E$4&gt;=2033,1/(1+Inputs!$C$67)^(E$4-2032),0)</f>
        <v>0</v>
      </c>
      <c r="F12" s="16" t="n">
        <f aca="false">IF(F$4&gt;=2033,1/(1+Inputs!$C$67)^(F$4-2032),0)</f>
        <v>0</v>
      </c>
      <c r="G12" s="16" t="n">
        <f aca="false">IF(G$4&gt;=2033,1/(1+Inputs!$C$67)^(G$4-2032),0)</f>
        <v>0</v>
      </c>
      <c r="H12" s="16" t="n">
        <f aca="false">IF(H$4&gt;=2033,1/(1+Inputs!$C$67)^(H$4-2032),0)</f>
        <v>0</v>
      </c>
      <c r="I12" s="16" t="n">
        <f aca="false">IF(I$4&gt;=2033,1/(1+Inputs!$C$67)^(I$4-2032),0)</f>
        <v>0.934579439252336</v>
      </c>
      <c r="J12" s="16" t="n">
        <f aca="false">IF(J$4&gt;=2033,1/(1+Inputs!$C$67)^(J$4-2032),0)</f>
        <v>0.873438728273212</v>
      </c>
      <c r="K12" s="16" t="n">
        <f aca="false">IF(K$4&gt;=2033,1/(1+Inputs!$C$67)^(K$4-2032),0)</f>
        <v>0.816297876890852</v>
      </c>
      <c r="L12" s="16" t="n">
        <f aca="false">IF(L$4&gt;=2033,1/(1+Inputs!$C$67)^(L$4-2032),0)</f>
        <v>0.762895212047525</v>
      </c>
      <c r="M12" s="16" t="n">
        <f aca="false">IF(M$4&gt;=2033,1/(1+Inputs!$C$67)^(M$4-2032),0)</f>
        <v>0.712986179483668</v>
      </c>
      <c r="N12" s="16" t="n">
        <f aca="false">IF(N$4&gt;=2033,1/(1+Inputs!$C$67)^(N$4-2032),0)</f>
        <v>0.666342223816512</v>
      </c>
      <c r="O12" s="16" t="n">
        <f aca="false">IF(O$4&gt;=2033,1/(1+Inputs!$C$67)^(O$4-2032),0)</f>
        <v>0.622749741884591</v>
      </c>
      <c r="P12" s="16" t="n">
        <f aca="false">IF(P$4&gt;=2033,1/(1+Inputs!$C$67)^(P$4-2032),0)</f>
        <v>0.582009104565038</v>
      </c>
      <c r="Q12" s="16" t="n">
        <f aca="false">IF(Q$4&gt;=2033,1/(1+Inputs!$C$67)^(Q$4-2032),0)</f>
        <v>0.543933742584148</v>
      </c>
      <c r="R12" s="16" t="n">
        <f aca="false">IF(R$4&gt;=2033,1/(1+Inputs!$C$67)^(R$4-2032),0)</f>
        <v>0.508349292134718</v>
      </c>
      <c r="S12" s="16" t="n">
        <f aca="false">IF(S$4&gt;=2033,1/(1+Inputs!$C$67)^(S$4-2032),0)</f>
        <v>0.475092796387586</v>
      </c>
      <c r="T12" s="16" t="n">
        <f aca="false">IF(T$4&gt;=2033,1/(1+Inputs!$C$67)^(T$4-2032),0)</f>
        <v>0.444011959240735</v>
      </c>
      <c r="U12" s="16" t="n">
        <f aca="false">IF(U$4&gt;=2033,1/(1+Inputs!$C$67)^(U$4-2032),0)</f>
        <v>0.414964447888537</v>
      </c>
      <c r="V12" s="16" t="n">
        <f aca="false">IF(V$4&gt;=2033,1/(1+Inputs!$C$67)^(V$4-2032),0)</f>
        <v>0.387817241017325</v>
      </c>
      <c r="W12" s="16" t="n">
        <f aca="false">IF(W$4&gt;=2033,1/(1+Inputs!$C$67)^(W$4-2032),0)</f>
        <v>0.362446019642359</v>
      </c>
    </row>
    <row r="13" customFormat="false" ht="15" hidden="false" customHeight="false" outlineLevel="0" collapsed="false">
      <c r="B13" s="2" t="s">
        <v>148</v>
      </c>
      <c r="D13" s="16" t="n">
        <f aca="false">IF(D$4&gt;=2033,1/(1+Inputs!$C$68)^(D$4-2032),0)</f>
        <v>0</v>
      </c>
      <c r="E13" s="16" t="n">
        <f aca="false">IF(E$4&gt;=2033,1/(1+Inputs!$C$68)^(E$4-2032),0)</f>
        <v>0</v>
      </c>
      <c r="F13" s="16" t="n">
        <f aca="false">IF(F$4&gt;=2033,1/(1+Inputs!$C$68)^(F$4-2032),0)</f>
        <v>0</v>
      </c>
      <c r="G13" s="16" t="n">
        <f aca="false">IF(G$4&gt;=2033,1/(1+Inputs!$C$68)^(G$4-2032),0)</f>
        <v>0</v>
      </c>
      <c r="H13" s="16" t="n">
        <f aca="false">IF(H$4&gt;=2033,1/(1+Inputs!$C$68)^(H$4-2032),0)</f>
        <v>0</v>
      </c>
      <c r="I13" s="16" t="n">
        <f aca="false">IF(I$4&gt;=2033,1/(1+Inputs!$C$68)^(I$4-2032),0)</f>
        <v>0.91324200913242</v>
      </c>
      <c r="J13" s="16" t="n">
        <f aca="false">IF(J$4&gt;=2033,1/(1+Inputs!$C$68)^(J$4-2032),0)</f>
        <v>0.834010967244219</v>
      </c>
      <c r="K13" s="16" t="n">
        <f aca="false">IF(K$4&gt;=2033,1/(1+Inputs!$C$68)^(K$4-2032),0)</f>
        <v>0.761653851364584</v>
      </c>
      <c r="L13" s="16" t="n">
        <f aca="false">IF(L$4&gt;=2033,1/(1+Inputs!$C$68)^(L$4-2032),0)</f>
        <v>0.695574293483638</v>
      </c>
      <c r="M13" s="16" t="n">
        <f aca="false">IF(M$4&gt;=2033,1/(1+Inputs!$C$68)^(M$4-2032),0)</f>
        <v>0.635227665281862</v>
      </c>
      <c r="N13" s="16" t="n">
        <f aca="false">IF(N$4&gt;=2033,1/(1+Inputs!$C$68)^(N$4-2032),0)</f>
        <v>0.580116589298504</v>
      </c>
      <c r="O13" s="16" t="n">
        <f aca="false">IF(O$4&gt;=2033,1/(1+Inputs!$C$68)^(O$4-2032),0)</f>
        <v>0.529786839542012</v>
      </c>
      <c r="P13" s="16" t="n">
        <f aca="false">IF(P$4&gt;=2033,1/(1+Inputs!$C$68)^(P$4-2032),0)</f>
        <v>0.483823597755263</v>
      </c>
      <c r="Q13" s="16" t="n">
        <f aca="false">IF(Q$4&gt;=2033,1/(1+Inputs!$C$68)^(Q$4-2032),0)</f>
        <v>0.441848034479692</v>
      </c>
      <c r="R13" s="16" t="n">
        <f aca="false">IF(R$4&gt;=2033,1/(1+Inputs!$C$68)^(R$4-2032),0)</f>
        <v>0.403514186739445</v>
      </c>
      <c r="S13" s="16" t="n">
        <f aca="false">IF(S$4&gt;=2033,1/(1+Inputs!$C$68)^(S$4-2032),0)</f>
        <v>0.368506106611365</v>
      </c>
      <c r="T13" s="16" t="n">
        <f aca="false">IF(T$4&gt;=2033,1/(1+Inputs!$C$68)^(T$4-2032),0)</f>
        <v>0.336535257179329</v>
      </c>
      <c r="U13" s="16" t="n">
        <f aca="false">IF(U$4&gt;=2033,1/(1+Inputs!$C$68)^(U$4-2032),0)</f>
        <v>0.307338134410346</v>
      </c>
      <c r="V13" s="16" t="n">
        <f aca="false">IF(V$4&gt;=2033,1/(1+Inputs!$C$68)^(V$4-2032),0)</f>
        <v>0.280674095351914</v>
      </c>
      <c r="W13" s="16" t="n">
        <f aca="false">IF(W$4&gt;=2033,1/(1+Inputs!$C$68)^(W$4-2032),0)</f>
        <v>0.256323374750606</v>
      </c>
    </row>
    <row r="15" customFormat="false" ht="15" hidden="false" customHeight="false" outlineLevel="0" collapsed="false">
      <c r="B15" s="2" t="s">
        <v>149</v>
      </c>
      <c r="C15" s="15" t="n">
        <f aca="false">Inputs!$C$28*Inputs!$C$8*1000*(1+Inputs!$C$41)^21</f>
        <v>16930185.0610804</v>
      </c>
    </row>
    <row r="17" customFormat="false" ht="15" hidden="false" customHeight="false" outlineLevel="0" collapsed="false">
      <c r="B17" s="18" t="s">
        <v>150</v>
      </c>
    </row>
    <row r="18" customFormat="false" ht="15" hidden="false" customHeight="false" outlineLevel="0" collapsed="false">
      <c r="B18" s="2" t="s">
        <v>151</v>
      </c>
      <c r="D18" s="15" t="n">
        <f aca="false">0</f>
        <v>0</v>
      </c>
      <c r="E18" s="15" t="n">
        <f aca="false">0</f>
        <v>0</v>
      </c>
      <c r="F18" s="15" t="n">
        <f aca="false">0</f>
        <v>0</v>
      </c>
      <c r="G18" s="15" t="n">
        <f aca="false">0</f>
        <v>0</v>
      </c>
      <c r="H18" s="15" t="n">
        <f aca="false">0</f>
        <v>0</v>
      </c>
      <c r="I18" s="15" t="n">
        <f aca="false">0</f>
        <v>0</v>
      </c>
      <c r="J18" s="15" t="n">
        <f aca="false">0</f>
        <v>0</v>
      </c>
      <c r="K18" s="15" t="n">
        <f aca="false">0</f>
        <v>0</v>
      </c>
      <c r="L18" s="15" t="n">
        <f aca="false">0</f>
        <v>0</v>
      </c>
      <c r="M18" s="15" t="n">
        <f aca="false">0</f>
        <v>0</v>
      </c>
      <c r="N18" s="15" t="n">
        <f aca="false">0</f>
        <v>0</v>
      </c>
      <c r="O18" s="15" t="n">
        <f aca="false">0</f>
        <v>0</v>
      </c>
      <c r="P18" s="15" t="n">
        <f aca="false">0</f>
        <v>0</v>
      </c>
      <c r="Q18" s="15" t="n">
        <f aca="false">0</f>
        <v>0</v>
      </c>
      <c r="R18" s="15" t="n">
        <f aca="false">0</f>
        <v>0</v>
      </c>
      <c r="S18" s="15" t="n">
        <f aca="false">0</f>
        <v>0</v>
      </c>
      <c r="T18" s="15" t="n">
        <f aca="false">0</f>
        <v>0</v>
      </c>
      <c r="U18" s="15" t="n">
        <f aca="false">0</f>
        <v>0</v>
      </c>
      <c r="V18" s="15" t="n">
        <f aca="false">0</f>
        <v>0</v>
      </c>
      <c r="W18" s="15" t="n">
        <f aca="false">0</f>
        <v>0</v>
      </c>
    </row>
    <row r="19" customFormat="false" ht="15" hidden="false" customHeight="false" outlineLevel="0" collapsed="false">
      <c r="B19" s="2" t="s">
        <v>140</v>
      </c>
      <c r="D19" s="15" t="n">
        <f aca="false">Merchant!D$18</f>
        <v>32645121.8604651</v>
      </c>
      <c r="E19" s="15" t="n">
        <f aca="false">Merchant!E$18</f>
        <v>31999543.6896744</v>
      </c>
      <c r="F19" s="15" t="n">
        <f aca="false">Merchant!F$18</f>
        <v>31366103.5179127</v>
      </c>
      <c r="G19" s="15" t="n">
        <f aca="false">Merchant!G$18</f>
        <v>30743061.0931586</v>
      </c>
      <c r="H19" s="15" t="n">
        <f aca="false">Merchant!H$18</f>
        <v>30128783.4845449</v>
      </c>
      <c r="I19" s="15" t="n">
        <f aca="false">Merchant!I$18</f>
        <v>29521735.7078889</v>
      </c>
      <c r="J19" s="15" t="n">
        <f aca="false">Merchant!J$18</f>
        <v>28920472.0804869</v>
      </c>
      <c r="K19" s="15" t="n">
        <f aca="false">Merchant!K$18</f>
        <v>28323628.2463385</v>
      </c>
      <c r="L19" s="15" t="n">
        <f aca="false">Merchant!L$18</f>
        <v>27729913.8176631</v>
      </c>
      <c r="M19" s="15" t="n">
        <f aca="false">Merchant!M$18</f>
        <v>27828891.6491274</v>
      </c>
      <c r="N19" s="15" t="n">
        <f aca="false">Merchant!N$18</f>
        <v>27935106.7567711</v>
      </c>
      <c r="O19" s="15" t="n">
        <f aca="false">Merchant!O$18</f>
        <v>28372180.1247239</v>
      </c>
      <c r="P19" s="15" t="n">
        <f aca="false">Merchant!P$18</f>
        <v>28827725.2614104</v>
      </c>
      <c r="Q19" s="15" t="n">
        <f aca="false">Merchant!Q$18</f>
        <v>29354224.5634962</v>
      </c>
      <c r="R19" s="15" t="n">
        <f aca="false">Merchant!R$18</f>
        <v>29921309.0547662</v>
      </c>
      <c r="S19" s="15" t="n">
        <f aca="false">Merchant!S$18</f>
        <v>30499735.2358615</v>
      </c>
      <c r="T19" s="15" t="n">
        <f aca="false">Merchant!T$18</f>
        <v>31089729.9405787</v>
      </c>
      <c r="U19" s="15" t="n">
        <f aca="false">Merchant!U$18</f>
        <v>31691524.5393903</v>
      </c>
      <c r="V19" s="15" t="n">
        <f aca="false">Merchant!V$18</f>
        <v>32305355.0301781</v>
      </c>
      <c r="W19" s="15" t="n">
        <f aca="false">Merchant!W$18</f>
        <v>32931462.1307817</v>
      </c>
    </row>
    <row r="20" customFormat="false" ht="15" hidden="false" customHeight="false" outlineLevel="0" collapsed="false">
      <c r="B20" s="2" t="s">
        <v>152</v>
      </c>
      <c r="D20" s="15" t="n">
        <f aca="false">D18+D19</f>
        <v>32645121.8604651</v>
      </c>
      <c r="E20" s="15" t="n">
        <f aca="false">E18+E19</f>
        <v>31999543.6896744</v>
      </c>
      <c r="F20" s="15" t="n">
        <f aca="false">F18+F19</f>
        <v>31366103.5179127</v>
      </c>
      <c r="G20" s="15" t="n">
        <f aca="false">G18+G19</f>
        <v>30743061.0931586</v>
      </c>
      <c r="H20" s="15" t="n">
        <f aca="false">H18+H19</f>
        <v>30128783.4845449</v>
      </c>
      <c r="I20" s="15" t="n">
        <f aca="false">I18+I19</f>
        <v>29521735.7078889</v>
      </c>
      <c r="J20" s="15" t="n">
        <f aca="false">J18+J19</f>
        <v>28920472.0804869</v>
      </c>
      <c r="K20" s="15" t="n">
        <f aca="false">K18+K19</f>
        <v>28323628.2463385</v>
      </c>
      <c r="L20" s="15" t="n">
        <f aca="false">L18+L19</f>
        <v>27729913.8176631</v>
      </c>
      <c r="M20" s="15" t="n">
        <f aca="false">M18+M19</f>
        <v>27828891.6491274</v>
      </c>
      <c r="N20" s="15" t="n">
        <f aca="false">N18+N19</f>
        <v>27935106.7567711</v>
      </c>
      <c r="O20" s="15" t="n">
        <f aca="false">O18+O19</f>
        <v>28372180.1247239</v>
      </c>
      <c r="P20" s="15" t="n">
        <f aca="false">P18+P19</f>
        <v>28827725.2614104</v>
      </c>
      <c r="Q20" s="15" t="n">
        <f aca="false">Q18+Q19</f>
        <v>29354224.5634962</v>
      </c>
      <c r="R20" s="15" t="n">
        <f aca="false">R18+R19</f>
        <v>29921309.0547662</v>
      </c>
      <c r="S20" s="15" t="n">
        <f aca="false">S18+S19</f>
        <v>30499735.2358615</v>
      </c>
      <c r="T20" s="15" t="n">
        <f aca="false">T18+T19</f>
        <v>31089729.9405787</v>
      </c>
      <c r="U20" s="15" t="n">
        <f aca="false">U18+U19</f>
        <v>31691524.5393903</v>
      </c>
      <c r="V20" s="15" t="n">
        <f aca="false">V18+V19</f>
        <v>32305355.0301781</v>
      </c>
      <c r="W20" s="15" t="n">
        <f aca="false">W18+W19</f>
        <v>32931462.1307817</v>
      </c>
    </row>
    <row r="21" customFormat="false" ht="15" hidden="false" customHeight="false" outlineLevel="0" collapsed="false">
      <c r="B21" s="2" t="s">
        <v>153</v>
      </c>
      <c r="D21" s="14" t="n">
        <f aca="false">D20-D$7</f>
        <v>26982601.8604651</v>
      </c>
      <c r="E21" s="14" t="n">
        <f aca="false">E20-E$7</f>
        <v>26195460.6896744</v>
      </c>
      <c r="F21" s="14" t="n">
        <f aca="false">F20-F$7</f>
        <v>25416918.4429127</v>
      </c>
      <c r="G21" s="14" t="n">
        <f aca="false">G20-G$7</f>
        <v>24645146.3912836</v>
      </c>
      <c r="H21" s="14" t="n">
        <f aca="false">H20-H$7</f>
        <v>23878420.915123</v>
      </c>
      <c r="I21" s="14" t="n">
        <f aca="false">I20-I$7</f>
        <v>23115114.0742315</v>
      </c>
      <c r="J21" s="14" t="n">
        <f aca="false">J20-J$7</f>
        <v>22353684.905988</v>
      </c>
      <c r="K21" s="14" t="n">
        <f aca="false">K20-K$7</f>
        <v>21592671.3924772</v>
      </c>
      <c r="L21" s="14" t="n">
        <f aca="false">L20-L$7</f>
        <v>20830683.0424552</v>
      </c>
      <c r="M21" s="14" t="n">
        <f aca="false">M20-M$7</f>
        <v>20757180.1045394</v>
      </c>
      <c r="N21" s="14" t="n">
        <f aca="false">N20-N$7</f>
        <v>20686602.4235683</v>
      </c>
      <c r="O21" s="14" t="n">
        <f aca="false">O20-O$7</f>
        <v>20942463.1831911</v>
      </c>
      <c r="P21" s="14" t="n">
        <f aca="false">P20-P$7</f>
        <v>21212265.3963392</v>
      </c>
      <c r="Q21" s="14" t="n">
        <f aca="false">Q20-Q$7</f>
        <v>21548378.2017983</v>
      </c>
      <c r="R21" s="14" t="n">
        <f aca="false">R20-R$7</f>
        <v>21920316.5340258</v>
      </c>
      <c r="S21" s="14" t="n">
        <f aca="false">S20-S$7</f>
        <v>22298717.9021026</v>
      </c>
      <c r="T21" s="14" t="n">
        <f aca="false">T20-T$7</f>
        <v>22683687.1734759</v>
      </c>
      <c r="U21" s="14" t="n">
        <f aca="false">U20-U$7</f>
        <v>23075330.7031099</v>
      </c>
      <c r="V21" s="14" t="n">
        <f aca="false">V20-V$7</f>
        <v>23473756.3479907</v>
      </c>
      <c r="W21" s="14" t="n">
        <f aca="false">W20-W$7</f>
        <v>23879073.4815395</v>
      </c>
    </row>
    <row r="22" customFormat="false" ht="15" hidden="false" customHeight="false" outlineLevel="0" collapsed="false">
      <c r="B22" s="2" t="s">
        <v>154</v>
      </c>
      <c r="D22" s="15" t="n">
        <f aca="false">Fleet!D$34</f>
        <v>0</v>
      </c>
      <c r="E22" s="15" t="n">
        <f aca="false">Fleet!E$34</f>
        <v>0</v>
      </c>
      <c r="F22" s="15" t="n">
        <f aca="false">Fleet!F$34</f>
        <v>5704206.25</v>
      </c>
      <c r="G22" s="15" t="n">
        <f aca="false">Fleet!G$34</f>
        <v>0</v>
      </c>
      <c r="H22" s="15" t="n">
        <f aca="false">Fleet!H$34</f>
        <v>0</v>
      </c>
      <c r="I22" s="15" t="n">
        <f aca="false">Fleet!I$34</f>
        <v>5206075.03080625</v>
      </c>
      <c r="J22" s="15" t="n">
        <f aca="false">Fleet!J$34</f>
        <v>0</v>
      </c>
      <c r="K22" s="15" t="n">
        <f aca="false">Fleet!K$34</f>
        <v>0</v>
      </c>
      <c r="L22" s="15" t="n">
        <f aca="false">Fleet!L$34</f>
        <v>4751444.11659103</v>
      </c>
      <c r="M22" s="15" t="n">
        <f aca="false">Fleet!M$34</f>
        <v>0</v>
      </c>
      <c r="N22" s="15" t="n">
        <f aca="false">Fleet!N$34</f>
        <v>0</v>
      </c>
      <c r="O22" s="15" t="n">
        <f aca="false">Fleet!O$34</f>
        <v>4336514.75622149</v>
      </c>
      <c r="P22" s="15" t="n">
        <f aca="false">Fleet!P$34</f>
        <v>0</v>
      </c>
      <c r="Q22" s="15" t="n">
        <f aca="false">Fleet!Q$34</f>
        <v>0</v>
      </c>
      <c r="R22" s="15" t="n">
        <f aca="false">Fleet!R$34</f>
        <v>3957819.93210493</v>
      </c>
      <c r="S22" s="15" t="n">
        <f aca="false">Fleet!S$34</f>
        <v>0</v>
      </c>
      <c r="T22" s="15" t="n">
        <f aca="false">Fleet!T$34</f>
        <v>0</v>
      </c>
      <c r="U22" s="15" t="n">
        <f aca="false">Fleet!U$34</f>
        <v>4334634.46907281</v>
      </c>
      <c r="V22" s="15" t="n">
        <f aca="false">Fleet!V$34</f>
        <v>0</v>
      </c>
      <c r="W22" s="15" t="n">
        <f aca="false">Fleet!W$34</f>
        <v>0</v>
      </c>
    </row>
    <row r="23" customFormat="false" ht="15" hidden="false" customHeight="false" outlineLevel="0" collapsed="false">
      <c r="B23" s="2" t="s">
        <v>155</v>
      </c>
      <c r="D23" s="15" t="n">
        <f aca="false">D21-D22</f>
        <v>26982601.8604651</v>
      </c>
      <c r="E23" s="15" t="n">
        <f aca="false">E21-E22</f>
        <v>26195460.6896744</v>
      </c>
      <c r="F23" s="15" t="n">
        <f aca="false">F21-F22</f>
        <v>19712712.1929127</v>
      </c>
      <c r="G23" s="15" t="n">
        <f aca="false">G21-G22</f>
        <v>24645146.3912836</v>
      </c>
      <c r="H23" s="15" t="n">
        <f aca="false">H21-H22</f>
        <v>23878420.915123</v>
      </c>
      <c r="I23" s="15" t="n">
        <f aca="false">I21-I22</f>
        <v>17909039.0434252</v>
      </c>
      <c r="J23" s="15" t="n">
        <f aca="false">J21-J22</f>
        <v>22353684.905988</v>
      </c>
      <c r="K23" s="15" t="n">
        <f aca="false">K21-K22</f>
        <v>21592671.3924772</v>
      </c>
      <c r="L23" s="15" t="n">
        <f aca="false">L21-L22</f>
        <v>16079238.9258642</v>
      </c>
      <c r="M23" s="15" t="n">
        <f aca="false">M21-M22</f>
        <v>20757180.1045394</v>
      </c>
      <c r="N23" s="15" t="n">
        <f aca="false">N21-N22</f>
        <v>20686602.4235683</v>
      </c>
      <c r="O23" s="15" t="n">
        <f aca="false">O21-O22</f>
        <v>16605948.4269696</v>
      </c>
      <c r="P23" s="15" t="n">
        <f aca="false">P21-P22</f>
        <v>21212265.3963392</v>
      </c>
      <c r="Q23" s="15" t="n">
        <f aca="false">Q21-Q22</f>
        <v>21548378.2017983</v>
      </c>
      <c r="R23" s="15" t="n">
        <f aca="false">R21-R22</f>
        <v>17962496.6019209</v>
      </c>
      <c r="S23" s="15" t="n">
        <f aca="false">S21-S22</f>
        <v>22298717.9021026</v>
      </c>
      <c r="T23" s="15" t="n">
        <f aca="false">T21-T22</f>
        <v>22683687.1734759</v>
      </c>
      <c r="U23" s="15" t="n">
        <f aca="false">U21-U22</f>
        <v>18740696.2340371</v>
      </c>
      <c r="V23" s="15" t="n">
        <f aca="false">V21-V22</f>
        <v>23473756.3479907</v>
      </c>
      <c r="W23" s="15" t="n">
        <f aca="false">W21-W22</f>
        <v>23879073.4815395</v>
      </c>
    </row>
    <row r="25" customFormat="false" ht="15" hidden="false" customHeight="false" outlineLevel="0" collapsed="false">
      <c r="B25" s="2" t="s">
        <v>156</v>
      </c>
      <c r="C25" s="15" t="n">
        <f aca="false">Credit!$C$16/(1+Inputs!$C$67)^2+SUMPRODUCT($D$18:$W$18,$D$8:$W$8)+SUMPRODUCT($D$19:$W$19,$D$9:$W$9)-SUMPRODUCT(($D$7:$W$7+$D$22:$W$22),$D$8:$W$8)-Cases!$C$15/(1+Inputs!$C$67)^21</f>
        <v>224054155.694311</v>
      </c>
    </row>
    <row r="26" customFormat="false" ht="15" hidden="false" customHeight="false" outlineLevel="0" collapsed="false">
      <c r="B26" s="3" t="s">
        <v>157</v>
      </c>
      <c r="C26" s="14" t="n">
        <f aca="false">C25-Credit!$C$11/(1+Inputs!$C$67)</f>
        <v>1026118.31113333</v>
      </c>
    </row>
    <row r="27" customFormat="false" ht="15" hidden="false" customHeight="false" outlineLevel="0" collapsed="false">
      <c r="B27" s="2" t="s">
        <v>158</v>
      </c>
      <c r="C27" s="15" t="n">
        <f aca="false">SUMPRODUCT($D$18:$W$18,$D$10:$W$10)+SUMPRODUCT($D$19:$W$19,$D$11:$W$11)-SUMPRODUCT(($D$7:$W$7+$D$22:$W$22),$D$10:$W$10)-Cases!$C$15/(1+Inputs!$C$67)^20</f>
        <v>173975572.661116</v>
      </c>
    </row>
    <row r="28" customFormat="false" ht="15" hidden="false" customHeight="false" outlineLevel="0" collapsed="false">
      <c r="B28" s="2" t="s">
        <v>159</v>
      </c>
      <c r="C28" s="15" t="n">
        <f aca="false">SUMPRODUCT($D$18:$W$18,$D$12:$W$12)+SUMPRODUCT($D$19:$W$19,$D$13:$W$13)-SUMPRODUCT(($D$7:$W$7+$D$22:$W$22),$D$12:$W$12)-Cases!$C$15/(1+Inputs!$C$67)^15</f>
        <v>140024549.584703</v>
      </c>
    </row>
    <row r="29" customFormat="false" ht="15" hidden="false" customHeight="false" outlineLevel="0" collapsed="false">
      <c r="B29" s="3" t="s">
        <v>160</v>
      </c>
      <c r="C29" s="19" t="n">
        <f aca="false">IFERROR(IRR(C31:X31,0.1),"n.m.")</f>
        <v>0.0992128726692748</v>
      </c>
    </row>
    <row r="30" customFormat="false" ht="15" hidden="false" customHeight="false" outlineLevel="0" collapsed="false">
      <c r="B30" s="2" t="s">
        <v>161</v>
      </c>
    </row>
    <row r="31" customFormat="false" ht="15" hidden="false" customHeight="false" outlineLevel="0" collapsed="false">
      <c r="C31" s="15" t="n">
        <f aca="false">-Inputs!$C$25</f>
        <v>-16000000</v>
      </c>
      <c r="D31" s="15" t="n">
        <f aca="false">-Credit!$C$11</f>
        <v>-238640000</v>
      </c>
      <c r="E31" s="15" t="n">
        <f aca="false">D23+Credit!$C$16</f>
        <v>103852681.860465</v>
      </c>
      <c r="F31" s="15" t="n">
        <f aca="false">E23</f>
        <v>26195460.6896744</v>
      </c>
      <c r="G31" s="15" t="n">
        <f aca="false">F23</f>
        <v>19712712.1929127</v>
      </c>
      <c r="H31" s="15" t="n">
        <f aca="false">G23</f>
        <v>24645146.3912836</v>
      </c>
      <c r="I31" s="15" t="n">
        <f aca="false">H23</f>
        <v>23878420.915123</v>
      </c>
      <c r="J31" s="15" t="n">
        <f aca="false">I23</f>
        <v>17909039.0434252</v>
      </c>
      <c r="K31" s="15" t="n">
        <f aca="false">J23</f>
        <v>22353684.905988</v>
      </c>
      <c r="L31" s="15" t="n">
        <f aca="false">K23</f>
        <v>21592671.3924772</v>
      </c>
      <c r="M31" s="15" t="n">
        <f aca="false">L23</f>
        <v>16079238.9258642</v>
      </c>
      <c r="N31" s="15" t="n">
        <f aca="false">M23</f>
        <v>20757180.1045394</v>
      </c>
      <c r="O31" s="15" t="n">
        <f aca="false">N23</f>
        <v>20686602.4235683</v>
      </c>
      <c r="P31" s="15" t="n">
        <f aca="false">O23</f>
        <v>16605948.4269696</v>
      </c>
      <c r="Q31" s="15" t="n">
        <f aca="false">P23</f>
        <v>21212265.3963392</v>
      </c>
      <c r="R31" s="15" t="n">
        <f aca="false">Q23</f>
        <v>21548378.2017983</v>
      </c>
      <c r="S31" s="15" t="n">
        <f aca="false">R23</f>
        <v>17962496.6019209</v>
      </c>
      <c r="T31" s="15" t="n">
        <f aca="false">S23</f>
        <v>22298717.9021026</v>
      </c>
      <c r="U31" s="15" t="n">
        <f aca="false">T23</f>
        <v>22683687.1734759</v>
      </c>
      <c r="V31" s="15" t="n">
        <f aca="false">U23</f>
        <v>18740696.2340371</v>
      </c>
      <c r="W31" s="15" t="n">
        <f aca="false">V23</f>
        <v>23473756.3479907</v>
      </c>
      <c r="X31" s="15" t="n">
        <f aca="false">W23-Cases!$C$15</f>
        <v>6948888.42045919</v>
      </c>
    </row>
    <row r="32" customFormat="false" ht="15" hidden="false" customHeight="false" outlineLevel="0" collapsed="false">
      <c r="C32" s="2" t="n">
        <v>0</v>
      </c>
      <c r="D32" s="2" t="n">
        <v>1</v>
      </c>
      <c r="E32" s="2" t="n">
        <v>2</v>
      </c>
      <c r="F32" s="2" t="n">
        <v>3</v>
      </c>
      <c r="G32" s="2" t="n">
        <v>4</v>
      </c>
      <c r="H32" s="2" t="n">
        <v>5</v>
      </c>
      <c r="I32" s="2" t="n">
        <v>6</v>
      </c>
      <c r="J32" s="2" t="n">
        <v>7</v>
      </c>
      <c r="K32" s="2" t="n">
        <v>8</v>
      </c>
      <c r="L32" s="2" t="n">
        <v>9</v>
      </c>
      <c r="M32" s="2" t="n">
        <v>10</v>
      </c>
      <c r="N32" s="2" t="n">
        <v>11</v>
      </c>
      <c r="O32" s="2" t="n">
        <v>12</v>
      </c>
      <c r="P32" s="2" t="n">
        <v>13</v>
      </c>
      <c r="Q32" s="2" t="n">
        <v>14</v>
      </c>
      <c r="R32" s="2" t="n">
        <v>15</v>
      </c>
      <c r="S32" s="2" t="n">
        <v>16</v>
      </c>
      <c r="T32" s="2" t="n">
        <v>17</v>
      </c>
      <c r="U32" s="2" t="n">
        <v>18</v>
      </c>
      <c r="V32" s="2" t="n">
        <v>19</v>
      </c>
      <c r="W32" s="2" t="n">
        <v>20</v>
      </c>
      <c r="X32" s="2" t="n">
        <v>21</v>
      </c>
    </row>
    <row r="43" customFormat="false" ht="15" hidden="false" customHeight="false" outlineLevel="0" collapsed="false">
      <c r="B43" s="18" t="s">
        <v>162</v>
      </c>
    </row>
    <row r="44" customFormat="false" ht="15" hidden="false" customHeight="false" outlineLevel="0" collapsed="false">
      <c r="B44" s="2" t="s">
        <v>151</v>
      </c>
      <c r="D44" s="15" t="n">
        <f aca="false">IF(D$5&lt;Inputs!$C$60,Inputs!$C$59*12*Inputs!$C$61*1000*MIN(1,Inputs!$C$86/Inputs!$C$10)*MIN(1,Fleet!D$32/Inputs!$C$7),0)</f>
        <v>29400000</v>
      </c>
      <c r="E44" s="15" t="n">
        <f aca="false">IF(E$5&lt;Inputs!$C$60,Inputs!$C$59*12*Inputs!$C$61*1000*MIN(1,Inputs!$C$86/Inputs!$C$10)*MIN(1,Fleet!E$32/Inputs!$C$7),0)</f>
        <v>29400000</v>
      </c>
      <c r="F44" s="15" t="n">
        <f aca="false">IF(F$5&lt;Inputs!$C$60,Inputs!$C$59*12*Inputs!$C$61*1000*MIN(1,Inputs!$C$86/Inputs!$C$10)*MIN(1,Fleet!F$32/Inputs!$C$7),0)</f>
        <v>29400000</v>
      </c>
      <c r="G44" s="15" t="n">
        <f aca="false">IF(G$5&lt;Inputs!$C$60,Inputs!$C$59*12*Inputs!$C$61*1000*MIN(1,Inputs!$C$86/Inputs!$C$10)*MIN(1,Fleet!G$32/Inputs!$C$7),0)</f>
        <v>29400000</v>
      </c>
      <c r="H44" s="15" t="n">
        <f aca="false">IF(H$5&lt;Inputs!$C$60,Inputs!$C$59*12*Inputs!$C$61*1000*MIN(1,Inputs!$C$86/Inputs!$C$10)*MIN(1,Fleet!H$32/Inputs!$C$7),0)</f>
        <v>29400000</v>
      </c>
      <c r="I44" s="15" t="n">
        <f aca="false">IF(I$5&lt;Inputs!$C$60,Inputs!$C$59*12*Inputs!$C$61*1000*MIN(1,Inputs!$C$86/Inputs!$C$10)*MIN(1,Fleet!I$32/Inputs!$C$7),0)</f>
        <v>29400000</v>
      </c>
      <c r="J44" s="15" t="n">
        <f aca="false">IF(J$5&lt;Inputs!$C$60,Inputs!$C$59*12*Inputs!$C$61*1000*MIN(1,Inputs!$C$86/Inputs!$C$10)*MIN(1,Fleet!J$32/Inputs!$C$7),0)</f>
        <v>29400000</v>
      </c>
      <c r="K44" s="15" t="n">
        <f aca="false">IF(K$5&lt;Inputs!$C$60,Inputs!$C$59*12*Inputs!$C$61*1000*MIN(1,Inputs!$C$86/Inputs!$C$10)*MIN(1,Fleet!K$32/Inputs!$C$7),0)</f>
        <v>29400000</v>
      </c>
      <c r="L44" s="15" t="n">
        <f aca="false">IF(L$5&lt;Inputs!$C$60,Inputs!$C$59*12*Inputs!$C$61*1000*MIN(1,Inputs!$C$86/Inputs!$C$10)*MIN(1,Fleet!L$32/Inputs!$C$7),0)</f>
        <v>29400000</v>
      </c>
      <c r="M44" s="15" t="n">
        <f aca="false">IF(M$5&lt;Inputs!$C$60,Inputs!$C$59*12*Inputs!$C$61*1000*MIN(1,Inputs!$C$86/Inputs!$C$10)*MIN(1,Fleet!M$32/Inputs!$C$7),0)</f>
        <v>29400000</v>
      </c>
      <c r="N44" s="15" t="n">
        <f aca="false">IF(N$5&lt;Inputs!$C$60,Inputs!$C$59*12*Inputs!$C$61*1000*MIN(1,Inputs!$C$86/Inputs!$C$10)*MIN(1,Fleet!N$32/Inputs!$C$7),0)</f>
        <v>0</v>
      </c>
      <c r="O44" s="15" t="n">
        <f aca="false">IF(O$5&lt;Inputs!$C$60,Inputs!$C$59*12*Inputs!$C$61*1000*MIN(1,Inputs!$C$86/Inputs!$C$10)*MIN(1,Fleet!O$32/Inputs!$C$7),0)</f>
        <v>0</v>
      </c>
      <c r="P44" s="15" t="n">
        <f aca="false">IF(P$5&lt;Inputs!$C$60,Inputs!$C$59*12*Inputs!$C$61*1000*MIN(1,Inputs!$C$86/Inputs!$C$10)*MIN(1,Fleet!P$32/Inputs!$C$7),0)</f>
        <v>0</v>
      </c>
      <c r="Q44" s="15" t="n">
        <f aca="false">IF(Q$5&lt;Inputs!$C$60,Inputs!$C$59*12*Inputs!$C$61*1000*MIN(1,Inputs!$C$86/Inputs!$C$10)*MIN(1,Fleet!Q$32/Inputs!$C$7),0)</f>
        <v>0</v>
      </c>
      <c r="R44" s="15" t="n">
        <f aca="false">IF(R$5&lt;Inputs!$C$60,Inputs!$C$59*12*Inputs!$C$61*1000*MIN(1,Inputs!$C$86/Inputs!$C$10)*MIN(1,Fleet!R$32/Inputs!$C$7),0)</f>
        <v>0</v>
      </c>
      <c r="S44" s="15" t="n">
        <f aca="false">IF(S$5&lt;Inputs!$C$60,Inputs!$C$59*12*Inputs!$C$61*1000*MIN(1,Inputs!$C$86/Inputs!$C$10)*MIN(1,Fleet!S$32/Inputs!$C$7),0)</f>
        <v>0</v>
      </c>
      <c r="T44" s="15" t="n">
        <f aca="false">IF(T$5&lt;Inputs!$C$60,Inputs!$C$59*12*Inputs!$C$61*1000*MIN(1,Inputs!$C$86/Inputs!$C$10)*MIN(1,Fleet!T$32/Inputs!$C$7),0)</f>
        <v>0</v>
      </c>
      <c r="U44" s="15" t="n">
        <f aca="false">IF(U$5&lt;Inputs!$C$60,Inputs!$C$59*12*Inputs!$C$61*1000*MIN(1,Inputs!$C$86/Inputs!$C$10)*MIN(1,Fleet!U$32/Inputs!$C$7),0)</f>
        <v>0</v>
      </c>
      <c r="V44" s="15" t="n">
        <f aca="false">IF(V$5&lt;Inputs!$C$60,Inputs!$C$59*12*Inputs!$C$61*1000*MIN(1,Inputs!$C$86/Inputs!$C$10)*MIN(1,Fleet!V$32/Inputs!$C$7),0)</f>
        <v>0</v>
      </c>
      <c r="W44" s="15" t="n">
        <f aca="false">IF(W$5&lt;Inputs!$C$60,Inputs!$C$59*12*Inputs!$C$61*1000*MIN(1,Inputs!$C$86/Inputs!$C$10)*MIN(1,Fleet!W$32/Inputs!$C$7),0)</f>
        <v>0</v>
      </c>
    </row>
    <row r="45" customFormat="false" ht="15" hidden="false" customHeight="false" outlineLevel="0" collapsed="false">
      <c r="B45" s="2" t="s">
        <v>140</v>
      </c>
      <c r="D45" s="15" t="n">
        <f aca="false">IF(D$5&lt;Inputs!$C$60,0,Merchant!D$18)</f>
        <v>0</v>
      </c>
      <c r="E45" s="15" t="n">
        <f aca="false">IF(E$5&lt;Inputs!$C$60,0,Merchant!E$18)</f>
        <v>0</v>
      </c>
      <c r="F45" s="15" t="n">
        <f aca="false">IF(F$5&lt;Inputs!$C$60,0,Merchant!F$18)</f>
        <v>0</v>
      </c>
      <c r="G45" s="15" t="n">
        <f aca="false">IF(G$5&lt;Inputs!$C$60,0,Merchant!G$18)</f>
        <v>0</v>
      </c>
      <c r="H45" s="15" t="n">
        <f aca="false">IF(H$5&lt;Inputs!$C$60,0,Merchant!H$18)</f>
        <v>0</v>
      </c>
      <c r="I45" s="15" t="n">
        <f aca="false">IF(I$5&lt;Inputs!$C$60,0,Merchant!I$18)</f>
        <v>0</v>
      </c>
      <c r="J45" s="15" t="n">
        <f aca="false">IF(J$5&lt;Inputs!$C$60,0,Merchant!J$18)</f>
        <v>0</v>
      </c>
      <c r="K45" s="15" t="n">
        <f aca="false">IF(K$5&lt;Inputs!$C$60,0,Merchant!K$18)</f>
        <v>0</v>
      </c>
      <c r="L45" s="15" t="n">
        <f aca="false">IF(L$5&lt;Inputs!$C$60,0,Merchant!L$18)</f>
        <v>0</v>
      </c>
      <c r="M45" s="15" t="n">
        <f aca="false">IF(M$5&lt;Inputs!$C$60,0,Merchant!M$18)</f>
        <v>0</v>
      </c>
      <c r="N45" s="15" t="n">
        <f aca="false">IF(N$5&lt;Inputs!$C$60,0,Merchant!N$18)</f>
        <v>27935106.7567711</v>
      </c>
      <c r="O45" s="15" t="n">
        <f aca="false">IF(O$5&lt;Inputs!$C$60,0,Merchant!O$18)</f>
        <v>28372180.1247239</v>
      </c>
      <c r="P45" s="15" t="n">
        <f aca="false">IF(P$5&lt;Inputs!$C$60,0,Merchant!P$18)</f>
        <v>28827725.2614104</v>
      </c>
      <c r="Q45" s="15" t="n">
        <f aca="false">IF(Q$5&lt;Inputs!$C$60,0,Merchant!Q$18)</f>
        <v>29354224.5634962</v>
      </c>
      <c r="R45" s="15" t="n">
        <f aca="false">IF(R$5&lt;Inputs!$C$60,0,Merchant!R$18)</f>
        <v>29921309.0547662</v>
      </c>
      <c r="S45" s="15" t="n">
        <f aca="false">IF(S$5&lt;Inputs!$C$60,0,Merchant!S$18)</f>
        <v>30499735.2358615</v>
      </c>
      <c r="T45" s="15" t="n">
        <f aca="false">IF(T$5&lt;Inputs!$C$60,0,Merchant!T$18)</f>
        <v>31089729.9405787</v>
      </c>
      <c r="U45" s="15" t="n">
        <f aca="false">IF(U$5&lt;Inputs!$C$60,0,Merchant!U$18)</f>
        <v>31691524.5393903</v>
      </c>
      <c r="V45" s="15" t="n">
        <f aca="false">IF(V$5&lt;Inputs!$C$60,0,Merchant!V$18)</f>
        <v>32305355.0301781</v>
      </c>
      <c r="W45" s="15" t="n">
        <f aca="false">IF(W$5&lt;Inputs!$C$60,0,Merchant!W$18)</f>
        <v>32931462.1307817</v>
      </c>
    </row>
    <row r="46" customFormat="false" ht="15" hidden="false" customHeight="false" outlineLevel="0" collapsed="false">
      <c r="B46" s="2" t="s">
        <v>152</v>
      </c>
      <c r="D46" s="15" t="n">
        <f aca="false">D44+D45</f>
        <v>29400000</v>
      </c>
      <c r="E46" s="15" t="n">
        <f aca="false">E44+E45</f>
        <v>29400000</v>
      </c>
      <c r="F46" s="15" t="n">
        <f aca="false">F44+F45</f>
        <v>29400000</v>
      </c>
      <c r="G46" s="15" t="n">
        <f aca="false">G44+G45</f>
        <v>29400000</v>
      </c>
      <c r="H46" s="15" t="n">
        <f aca="false">H44+H45</f>
        <v>29400000</v>
      </c>
      <c r="I46" s="15" t="n">
        <f aca="false">I44+I45</f>
        <v>29400000</v>
      </c>
      <c r="J46" s="15" t="n">
        <f aca="false">J44+J45</f>
        <v>29400000</v>
      </c>
      <c r="K46" s="15" t="n">
        <f aca="false">K44+K45</f>
        <v>29400000</v>
      </c>
      <c r="L46" s="15" t="n">
        <f aca="false">L44+L45</f>
        <v>29400000</v>
      </c>
      <c r="M46" s="15" t="n">
        <f aca="false">M44+M45</f>
        <v>29400000</v>
      </c>
      <c r="N46" s="15" t="n">
        <f aca="false">N44+N45</f>
        <v>27935106.7567711</v>
      </c>
      <c r="O46" s="15" t="n">
        <f aca="false">O44+O45</f>
        <v>28372180.1247239</v>
      </c>
      <c r="P46" s="15" t="n">
        <f aca="false">P44+P45</f>
        <v>28827725.2614104</v>
      </c>
      <c r="Q46" s="15" t="n">
        <f aca="false">Q44+Q45</f>
        <v>29354224.5634962</v>
      </c>
      <c r="R46" s="15" t="n">
        <f aca="false">R44+R45</f>
        <v>29921309.0547662</v>
      </c>
      <c r="S46" s="15" t="n">
        <f aca="false">S44+S45</f>
        <v>30499735.2358615</v>
      </c>
      <c r="T46" s="15" t="n">
        <f aca="false">T44+T45</f>
        <v>31089729.9405787</v>
      </c>
      <c r="U46" s="15" t="n">
        <f aca="false">U44+U45</f>
        <v>31691524.5393903</v>
      </c>
      <c r="V46" s="15" t="n">
        <f aca="false">V44+V45</f>
        <v>32305355.0301781</v>
      </c>
      <c r="W46" s="15" t="n">
        <f aca="false">W44+W45</f>
        <v>32931462.1307817</v>
      </c>
    </row>
    <row r="47" customFormat="false" ht="15" hidden="false" customHeight="false" outlineLevel="0" collapsed="false">
      <c r="B47" s="2" t="s">
        <v>153</v>
      </c>
      <c r="D47" s="14" t="n">
        <f aca="false">D46-D$7</f>
        <v>23737480</v>
      </c>
      <c r="E47" s="14" t="n">
        <f aca="false">E46-E$7</f>
        <v>23595917</v>
      </c>
      <c r="F47" s="14" t="n">
        <f aca="false">F46-F$7</f>
        <v>23450814.925</v>
      </c>
      <c r="G47" s="14" t="n">
        <f aca="false">G46-G$7</f>
        <v>23302085.298125</v>
      </c>
      <c r="H47" s="14" t="n">
        <f aca="false">H46-H$7</f>
        <v>23149637.4305781</v>
      </c>
      <c r="I47" s="14" t="n">
        <f aca="false">I46-I$7</f>
        <v>22993378.3663426</v>
      </c>
      <c r="J47" s="14" t="n">
        <f aca="false">J46-J$7</f>
        <v>22833212.8255011</v>
      </c>
      <c r="K47" s="14" t="n">
        <f aca="false">K46-K$7</f>
        <v>22669043.1461387</v>
      </c>
      <c r="L47" s="14" t="n">
        <f aca="false">L46-L$7</f>
        <v>22500769.2247921</v>
      </c>
      <c r="M47" s="14" t="n">
        <f aca="false">M46-M$7</f>
        <v>22328288.455412</v>
      </c>
      <c r="N47" s="14" t="n">
        <f aca="false">N46-N$7</f>
        <v>20686602.4235683</v>
      </c>
      <c r="O47" s="14" t="n">
        <f aca="false">O46-O$7</f>
        <v>20942463.1831911</v>
      </c>
      <c r="P47" s="14" t="n">
        <f aca="false">P46-P$7</f>
        <v>21212265.3963392</v>
      </c>
      <c r="Q47" s="14" t="n">
        <f aca="false">Q46-Q$7</f>
        <v>21548378.2017983</v>
      </c>
      <c r="R47" s="14" t="n">
        <f aca="false">R46-R$7</f>
        <v>21920316.5340258</v>
      </c>
      <c r="S47" s="14" t="n">
        <f aca="false">S46-S$7</f>
        <v>22298717.9021026</v>
      </c>
      <c r="T47" s="14" t="n">
        <f aca="false">T46-T$7</f>
        <v>22683687.1734759</v>
      </c>
      <c r="U47" s="14" t="n">
        <f aca="false">U46-U$7</f>
        <v>23075330.7031099</v>
      </c>
      <c r="V47" s="14" t="n">
        <f aca="false">V46-V$7</f>
        <v>23473756.3479907</v>
      </c>
      <c r="W47" s="14" t="n">
        <f aca="false">W46-W$7</f>
        <v>23879073.4815395</v>
      </c>
    </row>
    <row r="48" customFormat="false" ht="15" hidden="false" customHeight="false" outlineLevel="0" collapsed="false">
      <c r="B48" s="2" t="s">
        <v>154</v>
      </c>
      <c r="D48" s="15" t="n">
        <f aca="false">Fleet!D$34</f>
        <v>0</v>
      </c>
      <c r="E48" s="15" t="n">
        <f aca="false">Fleet!E$34</f>
        <v>0</v>
      </c>
      <c r="F48" s="15" t="n">
        <f aca="false">Fleet!F$34</f>
        <v>5704206.25</v>
      </c>
      <c r="G48" s="15" t="n">
        <f aca="false">Fleet!G$34</f>
        <v>0</v>
      </c>
      <c r="H48" s="15" t="n">
        <f aca="false">Fleet!H$34</f>
        <v>0</v>
      </c>
      <c r="I48" s="15" t="n">
        <f aca="false">Fleet!I$34</f>
        <v>5206075.03080625</v>
      </c>
      <c r="J48" s="15" t="n">
        <f aca="false">Fleet!J$34</f>
        <v>0</v>
      </c>
      <c r="K48" s="15" t="n">
        <f aca="false">Fleet!K$34</f>
        <v>0</v>
      </c>
      <c r="L48" s="15" t="n">
        <f aca="false">Fleet!L$34</f>
        <v>4751444.11659103</v>
      </c>
      <c r="M48" s="15" t="n">
        <f aca="false">Fleet!M$34</f>
        <v>0</v>
      </c>
      <c r="N48" s="15" t="n">
        <f aca="false">Fleet!N$34</f>
        <v>0</v>
      </c>
      <c r="O48" s="15" t="n">
        <f aca="false">Fleet!O$34</f>
        <v>4336514.75622149</v>
      </c>
      <c r="P48" s="15" t="n">
        <f aca="false">Fleet!P$34</f>
        <v>0</v>
      </c>
      <c r="Q48" s="15" t="n">
        <f aca="false">Fleet!Q$34</f>
        <v>0</v>
      </c>
      <c r="R48" s="15" t="n">
        <f aca="false">Fleet!R$34</f>
        <v>3957819.93210493</v>
      </c>
      <c r="S48" s="15" t="n">
        <f aca="false">Fleet!S$34</f>
        <v>0</v>
      </c>
      <c r="T48" s="15" t="n">
        <f aca="false">Fleet!T$34</f>
        <v>0</v>
      </c>
      <c r="U48" s="15" t="n">
        <f aca="false">Fleet!U$34</f>
        <v>4334634.46907281</v>
      </c>
      <c r="V48" s="15" t="n">
        <f aca="false">Fleet!V$34</f>
        <v>0</v>
      </c>
      <c r="W48" s="15" t="n">
        <f aca="false">Fleet!W$34</f>
        <v>0</v>
      </c>
    </row>
    <row r="49" customFormat="false" ht="15" hidden="false" customHeight="false" outlineLevel="0" collapsed="false">
      <c r="B49" s="2" t="s">
        <v>155</v>
      </c>
      <c r="D49" s="15" t="n">
        <f aca="false">D47-D48</f>
        <v>23737480</v>
      </c>
      <c r="E49" s="15" t="n">
        <f aca="false">E47-E48</f>
        <v>23595917</v>
      </c>
      <c r="F49" s="15" t="n">
        <f aca="false">F47-F48</f>
        <v>17746608.675</v>
      </c>
      <c r="G49" s="15" t="n">
        <f aca="false">G47-G48</f>
        <v>23302085.298125</v>
      </c>
      <c r="H49" s="15" t="n">
        <f aca="false">H47-H48</f>
        <v>23149637.4305781</v>
      </c>
      <c r="I49" s="15" t="n">
        <f aca="false">I47-I48</f>
        <v>17787303.3355363</v>
      </c>
      <c r="J49" s="15" t="n">
        <f aca="false">J47-J48</f>
        <v>22833212.8255011</v>
      </c>
      <c r="K49" s="15" t="n">
        <f aca="false">K47-K48</f>
        <v>22669043.1461387</v>
      </c>
      <c r="L49" s="15" t="n">
        <f aca="false">L47-L48</f>
        <v>17749325.1082011</v>
      </c>
      <c r="M49" s="15" t="n">
        <f aca="false">M47-M48</f>
        <v>22328288.455412</v>
      </c>
      <c r="N49" s="15" t="n">
        <f aca="false">N47-N48</f>
        <v>20686602.4235683</v>
      </c>
      <c r="O49" s="15" t="n">
        <f aca="false">O47-O48</f>
        <v>16605948.4269696</v>
      </c>
      <c r="P49" s="15" t="n">
        <f aca="false">P47-P48</f>
        <v>21212265.3963392</v>
      </c>
      <c r="Q49" s="15" t="n">
        <f aca="false">Q47-Q48</f>
        <v>21548378.2017983</v>
      </c>
      <c r="R49" s="15" t="n">
        <f aca="false">R47-R48</f>
        <v>17962496.6019209</v>
      </c>
      <c r="S49" s="15" t="n">
        <f aca="false">S47-S48</f>
        <v>22298717.9021026</v>
      </c>
      <c r="T49" s="15" t="n">
        <f aca="false">T47-T48</f>
        <v>22683687.1734759</v>
      </c>
      <c r="U49" s="15" t="n">
        <f aca="false">U47-U48</f>
        <v>18740696.2340371</v>
      </c>
      <c r="V49" s="15" t="n">
        <f aca="false">V47-V48</f>
        <v>23473756.3479907</v>
      </c>
      <c r="W49" s="15" t="n">
        <f aca="false">W47-W48</f>
        <v>23879073.4815395</v>
      </c>
    </row>
    <row r="51" customFormat="false" ht="15" hidden="false" customHeight="false" outlineLevel="0" collapsed="false">
      <c r="B51" s="2" t="s">
        <v>156</v>
      </c>
      <c r="C51" s="15" t="n">
        <f aca="false">Credit!$C$16/(1+Inputs!$C$67)^2+SUMPRODUCT($D$44:$W$44,$D$8:$W$8)+SUMPRODUCT($D$45:$W$45,$D$9:$W$9)-SUMPRODUCT(($D$7:$W$7+$D$48:$W$48),$D$8:$W$8)-Cases!$C$15/(1+Inputs!$C$67)^21</f>
        <v>243023171.500669</v>
      </c>
    </row>
    <row r="52" customFormat="false" ht="15" hidden="false" customHeight="false" outlineLevel="0" collapsed="false">
      <c r="B52" s="3" t="s">
        <v>157</v>
      </c>
      <c r="C52" s="14" t="n">
        <f aca="false">C51-Credit!$C$11/(1+Inputs!$C$67)</f>
        <v>19995134.1174919</v>
      </c>
    </row>
    <row r="53" customFormat="false" ht="15" hidden="false" customHeight="false" outlineLevel="0" collapsed="false">
      <c r="B53" s="2" t="s">
        <v>158</v>
      </c>
      <c r="C53" s="15" t="n">
        <f aca="false">SUMPRODUCT($D$44:$W$44,$D$10:$W$10)+SUMPRODUCT($D$45:$W$45,$D$11:$W$11)-SUMPRODUCT(($D$7:$W$7+$D$48:$W$48),$D$10:$W$10)-Cases!$C$15/(1+Inputs!$C$67)^20</f>
        <v>189922035.218998</v>
      </c>
    </row>
    <row r="54" customFormat="false" ht="15" hidden="false" customHeight="false" outlineLevel="0" collapsed="false">
      <c r="B54" s="2" t="s">
        <v>159</v>
      </c>
      <c r="C54" s="15" t="n">
        <f aca="false">SUMPRODUCT($D$44:$W$44,$D$12:$W$12)+SUMPRODUCT($D$45:$W$45,$D$13:$W$13)-SUMPRODUCT(($D$7:$W$7+$D$48:$W$48),$D$12:$W$12)-Cases!$C$15/(1+Inputs!$C$67)^15</f>
        <v>150951176.457424</v>
      </c>
    </row>
    <row r="55" customFormat="false" ht="15" hidden="false" customHeight="false" outlineLevel="0" collapsed="false">
      <c r="B55" s="3" t="s">
        <v>160</v>
      </c>
      <c r="C55" s="19" t="n">
        <f aca="false">IFERROR(IRR(C57:X57,0.1),"n.m.")</f>
        <v>0.094616013999544</v>
      </c>
    </row>
    <row r="56" customFormat="false" ht="15" hidden="false" customHeight="false" outlineLevel="0" collapsed="false">
      <c r="B56" s="2" t="s">
        <v>161</v>
      </c>
    </row>
    <row r="57" customFormat="false" ht="15" hidden="false" customHeight="false" outlineLevel="0" collapsed="false">
      <c r="C57" s="15" t="n">
        <f aca="false">-Inputs!$C$25</f>
        <v>-16000000</v>
      </c>
      <c r="D57" s="15" t="n">
        <f aca="false">-Credit!$C$11</f>
        <v>-238640000</v>
      </c>
      <c r="E57" s="15" t="n">
        <f aca="false">D49+Credit!$C$16</f>
        <v>100607560</v>
      </c>
      <c r="F57" s="15" t="n">
        <f aca="false">E49</f>
        <v>23595917</v>
      </c>
      <c r="G57" s="15" t="n">
        <f aca="false">F49</f>
        <v>17746608.675</v>
      </c>
      <c r="H57" s="15" t="n">
        <f aca="false">G49</f>
        <v>23302085.298125</v>
      </c>
      <c r="I57" s="15" t="n">
        <f aca="false">H49</f>
        <v>23149637.4305781</v>
      </c>
      <c r="J57" s="15" t="n">
        <f aca="false">I49</f>
        <v>17787303.3355363</v>
      </c>
      <c r="K57" s="15" t="n">
        <f aca="false">J49</f>
        <v>22833212.8255011</v>
      </c>
      <c r="L57" s="15" t="n">
        <f aca="false">K49</f>
        <v>22669043.1461387</v>
      </c>
      <c r="M57" s="15" t="n">
        <f aca="false">L49</f>
        <v>17749325.1082011</v>
      </c>
      <c r="N57" s="15" t="n">
        <f aca="false">M49</f>
        <v>22328288.455412</v>
      </c>
      <c r="O57" s="15" t="n">
        <f aca="false">N49</f>
        <v>20686602.4235683</v>
      </c>
      <c r="P57" s="15" t="n">
        <f aca="false">O49</f>
        <v>16605948.4269696</v>
      </c>
      <c r="Q57" s="15" t="n">
        <f aca="false">P49</f>
        <v>21212265.3963392</v>
      </c>
      <c r="R57" s="15" t="n">
        <f aca="false">Q49</f>
        <v>21548378.2017983</v>
      </c>
      <c r="S57" s="15" t="n">
        <f aca="false">R49</f>
        <v>17962496.6019209</v>
      </c>
      <c r="T57" s="15" t="n">
        <f aca="false">S49</f>
        <v>22298717.9021026</v>
      </c>
      <c r="U57" s="15" t="n">
        <f aca="false">T49</f>
        <v>22683687.1734759</v>
      </c>
      <c r="V57" s="15" t="n">
        <f aca="false">U49</f>
        <v>18740696.2340371</v>
      </c>
      <c r="W57" s="15" t="n">
        <f aca="false">V49</f>
        <v>23473756.3479907</v>
      </c>
      <c r="X57" s="15" t="n">
        <f aca="false">W49-Cases!$C$15</f>
        <v>6948888.42045919</v>
      </c>
    </row>
    <row r="58" customFormat="false" ht="15" hidden="false" customHeight="false" outlineLevel="0" collapsed="false">
      <c r="C58" s="2" t="n">
        <v>0</v>
      </c>
      <c r="D58" s="2" t="n">
        <v>1</v>
      </c>
      <c r="E58" s="2" t="n">
        <v>2</v>
      </c>
      <c r="F58" s="2" t="n">
        <v>3</v>
      </c>
      <c r="G58" s="2" t="n">
        <v>4</v>
      </c>
      <c r="H58" s="2" t="n">
        <v>5</v>
      </c>
      <c r="I58" s="2" t="n">
        <v>6</v>
      </c>
      <c r="J58" s="2" t="n">
        <v>7</v>
      </c>
      <c r="K58" s="2" t="n">
        <v>8</v>
      </c>
      <c r="L58" s="2" t="n">
        <v>9</v>
      </c>
      <c r="M58" s="2" t="n">
        <v>10</v>
      </c>
      <c r="N58" s="2" t="n">
        <v>11</v>
      </c>
      <c r="O58" s="2" t="n">
        <v>12</v>
      </c>
      <c r="P58" s="2" t="n">
        <v>13</v>
      </c>
      <c r="Q58" s="2" t="n">
        <v>14</v>
      </c>
      <c r="R58" s="2" t="n">
        <v>15</v>
      </c>
      <c r="S58" s="2" t="n">
        <v>16</v>
      </c>
      <c r="T58" s="2" t="n">
        <v>17</v>
      </c>
      <c r="U58" s="2" t="n">
        <v>18</v>
      </c>
      <c r="V58" s="2" t="n">
        <v>19</v>
      </c>
      <c r="W58" s="2" t="n">
        <v>20</v>
      </c>
      <c r="X58" s="2" t="n">
        <v>21</v>
      </c>
    </row>
    <row r="69" customFormat="false" ht="15" hidden="false" customHeight="false" outlineLevel="0" collapsed="false">
      <c r="B69" s="18" t="s">
        <v>163</v>
      </c>
    </row>
    <row r="70" customFormat="false" ht="15" hidden="false" customHeight="false" outlineLevel="0" collapsed="false">
      <c r="B70" s="2" t="s">
        <v>151</v>
      </c>
      <c r="D70" s="15" t="n">
        <f aca="false">IF(D$5&lt;Inputs!$C$63,Inputs!$C$62,0)</f>
        <v>24000000</v>
      </c>
      <c r="E70" s="15" t="n">
        <f aca="false">IF(E$5&lt;Inputs!$C$63,Inputs!$C$62,0)</f>
        <v>24000000</v>
      </c>
      <c r="F70" s="15" t="n">
        <f aca="false">IF(F$5&lt;Inputs!$C$63,Inputs!$C$62,0)</f>
        <v>24000000</v>
      </c>
      <c r="G70" s="15" t="n">
        <f aca="false">IF(G$5&lt;Inputs!$C$63,Inputs!$C$62,0)</f>
        <v>24000000</v>
      </c>
      <c r="H70" s="15" t="n">
        <f aca="false">IF(H$5&lt;Inputs!$C$63,Inputs!$C$62,0)</f>
        <v>24000000</v>
      </c>
      <c r="I70" s="15" t="n">
        <f aca="false">IF(I$5&lt;Inputs!$C$63,Inputs!$C$62,0)</f>
        <v>24000000</v>
      </c>
      <c r="J70" s="15" t="n">
        <f aca="false">IF(J$5&lt;Inputs!$C$63,Inputs!$C$62,0)</f>
        <v>24000000</v>
      </c>
      <c r="K70" s="15" t="n">
        <f aca="false">IF(K$5&lt;Inputs!$C$63,Inputs!$C$62,0)</f>
        <v>24000000</v>
      </c>
      <c r="L70" s="15" t="n">
        <f aca="false">IF(L$5&lt;Inputs!$C$63,Inputs!$C$62,0)</f>
        <v>24000000</v>
      </c>
      <c r="M70" s="15" t="n">
        <f aca="false">IF(M$5&lt;Inputs!$C$63,Inputs!$C$62,0)</f>
        <v>24000000</v>
      </c>
      <c r="N70" s="15" t="n">
        <f aca="false">IF(N$5&lt;Inputs!$C$63,Inputs!$C$62,0)</f>
        <v>0</v>
      </c>
      <c r="O70" s="15" t="n">
        <f aca="false">IF(O$5&lt;Inputs!$C$63,Inputs!$C$62,0)</f>
        <v>0</v>
      </c>
      <c r="P70" s="15" t="n">
        <f aca="false">IF(P$5&lt;Inputs!$C$63,Inputs!$C$62,0)</f>
        <v>0</v>
      </c>
      <c r="Q70" s="15" t="n">
        <f aca="false">IF(Q$5&lt;Inputs!$C$63,Inputs!$C$62,0)</f>
        <v>0</v>
      </c>
      <c r="R70" s="15" t="n">
        <f aca="false">IF(R$5&lt;Inputs!$C$63,Inputs!$C$62,0)</f>
        <v>0</v>
      </c>
      <c r="S70" s="15" t="n">
        <f aca="false">IF(S$5&lt;Inputs!$C$63,Inputs!$C$62,0)</f>
        <v>0</v>
      </c>
      <c r="T70" s="15" t="n">
        <f aca="false">IF(T$5&lt;Inputs!$C$63,Inputs!$C$62,0)</f>
        <v>0</v>
      </c>
      <c r="U70" s="15" t="n">
        <f aca="false">IF(U$5&lt;Inputs!$C$63,Inputs!$C$62,0)</f>
        <v>0</v>
      </c>
      <c r="V70" s="15" t="n">
        <f aca="false">IF(V$5&lt;Inputs!$C$63,Inputs!$C$62,0)</f>
        <v>0</v>
      </c>
      <c r="W70" s="15" t="n">
        <f aca="false">IF(W$5&lt;Inputs!$C$63,Inputs!$C$62,0)</f>
        <v>0</v>
      </c>
    </row>
    <row r="71" customFormat="false" ht="15" hidden="false" customHeight="false" outlineLevel="0" collapsed="false">
      <c r="B71" s="2" t="s">
        <v>140</v>
      </c>
      <c r="D71" s="15" t="n">
        <f aca="false">IF(D$5&lt;Inputs!$C$63,MAX(0,Merchant!D$18-Inputs!$C$62)*(1-Inputs!$C$64),Merchant!D$18)</f>
        <v>6483841.39534884</v>
      </c>
      <c r="E71" s="15" t="n">
        <f aca="false">IF(E$5&lt;Inputs!$C$63,MAX(0,Merchant!E$18-Inputs!$C$62)*(1-Inputs!$C$64),Merchant!E$18)</f>
        <v>5999657.76725581</v>
      </c>
      <c r="F71" s="15" t="n">
        <f aca="false">IF(F$5&lt;Inputs!$C$63,MAX(0,Merchant!F$18-Inputs!$C$62)*(1-Inputs!$C$64),Merchant!F$18)</f>
        <v>5524577.63843453</v>
      </c>
      <c r="G71" s="15" t="n">
        <f aca="false">IF(G$5&lt;Inputs!$C$63,MAX(0,Merchant!G$18-Inputs!$C$62)*(1-Inputs!$C$64),Merchant!G$18)</f>
        <v>5057295.81986898</v>
      </c>
      <c r="H71" s="15" t="n">
        <f aca="false">IF(H$5&lt;Inputs!$C$63,MAX(0,Merchant!H$18-Inputs!$C$62)*(1-Inputs!$C$64),Merchant!H$18)</f>
        <v>4596587.61340867</v>
      </c>
      <c r="I71" s="15" t="n">
        <f aca="false">IF(I$5&lt;Inputs!$C$63,MAX(0,Merchant!I$18-Inputs!$C$62)*(1-Inputs!$C$64),Merchant!I$18)</f>
        <v>4141301.78091665</v>
      </c>
      <c r="J71" s="15" t="n">
        <f aca="false">IF(J$5&lt;Inputs!$C$63,MAX(0,Merchant!J$18-Inputs!$C$62)*(1-Inputs!$C$64),Merchant!J$18)</f>
        <v>3690354.06036516</v>
      </c>
      <c r="K71" s="15" t="n">
        <f aca="false">IF(K$5&lt;Inputs!$C$63,MAX(0,Merchant!K$18-Inputs!$C$62)*(1-Inputs!$C$64),Merchant!K$18)</f>
        <v>3242721.18475388</v>
      </c>
      <c r="L71" s="15" t="n">
        <f aca="false">IF(L$5&lt;Inputs!$C$63,MAX(0,Merchant!L$18-Inputs!$C$62)*(1-Inputs!$C$64),Merchant!L$18)</f>
        <v>2797435.36324731</v>
      </c>
      <c r="M71" s="15" t="n">
        <f aca="false">IF(M$5&lt;Inputs!$C$63,MAX(0,Merchant!M$18-Inputs!$C$62)*(1-Inputs!$C$64),Merchant!M$18)</f>
        <v>2871668.73684556</v>
      </c>
      <c r="N71" s="15" t="n">
        <f aca="false">IF(N$5&lt;Inputs!$C$63,MAX(0,Merchant!N$18-Inputs!$C$62)*(1-Inputs!$C$64),Merchant!N$18)</f>
        <v>27935106.7567711</v>
      </c>
      <c r="O71" s="15" t="n">
        <f aca="false">IF(O$5&lt;Inputs!$C$63,MAX(0,Merchant!O$18-Inputs!$C$62)*(1-Inputs!$C$64),Merchant!O$18)</f>
        <v>28372180.1247239</v>
      </c>
      <c r="P71" s="15" t="n">
        <f aca="false">IF(P$5&lt;Inputs!$C$63,MAX(0,Merchant!P$18-Inputs!$C$62)*(1-Inputs!$C$64),Merchant!P$18)</f>
        <v>28827725.2614104</v>
      </c>
      <c r="Q71" s="15" t="n">
        <f aca="false">IF(Q$5&lt;Inputs!$C$63,MAX(0,Merchant!Q$18-Inputs!$C$62)*(1-Inputs!$C$64),Merchant!Q$18)</f>
        <v>29354224.5634962</v>
      </c>
      <c r="R71" s="15" t="n">
        <f aca="false">IF(R$5&lt;Inputs!$C$63,MAX(0,Merchant!R$18-Inputs!$C$62)*(1-Inputs!$C$64),Merchant!R$18)</f>
        <v>29921309.0547662</v>
      </c>
      <c r="S71" s="15" t="n">
        <f aca="false">IF(S$5&lt;Inputs!$C$63,MAX(0,Merchant!S$18-Inputs!$C$62)*(1-Inputs!$C$64),Merchant!S$18)</f>
        <v>30499735.2358615</v>
      </c>
      <c r="T71" s="15" t="n">
        <f aca="false">IF(T$5&lt;Inputs!$C$63,MAX(0,Merchant!T$18-Inputs!$C$62)*(1-Inputs!$C$64),Merchant!T$18)</f>
        <v>31089729.9405787</v>
      </c>
      <c r="U71" s="15" t="n">
        <f aca="false">IF(U$5&lt;Inputs!$C$63,MAX(0,Merchant!U$18-Inputs!$C$62)*(1-Inputs!$C$64),Merchant!U$18)</f>
        <v>31691524.5393903</v>
      </c>
      <c r="V71" s="15" t="n">
        <f aca="false">IF(V$5&lt;Inputs!$C$63,MAX(0,Merchant!V$18-Inputs!$C$62)*(1-Inputs!$C$64),Merchant!V$18)</f>
        <v>32305355.0301781</v>
      </c>
      <c r="W71" s="15" t="n">
        <f aca="false">IF(W$5&lt;Inputs!$C$63,MAX(0,Merchant!W$18-Inputs!$C$62)*(1-Inputs!$C$64),Merchant!W$18)</f>
        <v>32931462.1307817</v>
      </c>
    </row>
    <row r="72" customFormat="false" ht="15" hidden="false" customHeight="false" outlineLevel="0" collapsed="false">
      <c r="B72" s="2" t="s">
        <v>152</v>
      </c>
      <c r="D72" s="15" t="n">
        <f aca="false">D70+D71</f>
        <v>30483841.3953488</v>
      </c>
      <c r="E72" s="15" t="n">
        <f aca="false">E70+E71</f>
        <v>29999657.7672558</v>
      </c>
      <c r="F72" s="15" t="n">
        <f aca="false">F70+F71</f>
        <v>29524577.6384345</v>
      </c>
      <c r="G72" s="15" t="n">
        <f aca="false">G70+G71</f>
        <v>29057295.819869</v>
      </c>
      <c r="H72" s="15" t="n">
        <f aca="false">H70+H71</f>
        <v>28596587.6134087</v>
      </c>
      <c r="I72" s="15" t="n">
        <f aca="false">I70+I71</f>
        <v>28141301.7809167</v>
      </c>
      <c r="J72" s="15" t="n">
        <f aca="false">J70+J71</f>
        <v>27690354.0603652</v>
      </c>
      <c r="K72" s="15" t="n">
        <f aca="false">K70+K71</f>
        <v>27242721.1847539</v>
      </c>
      <c r="L72" s="15" t="n">
        <f aca="false">L70+L71</f>
        <v>26797435.3632473</v>
      </c>
      <c r="M72" s="15" t="n">
        <f aca="false">M70+M71</f>
        <v>26871668.7368456</v>
      </c>
      <c r="N72" s="15" t="n">
        <f aca="false">N70+N71</f>
        <v>27935106.7567711</v>
      </c>
      <c r="O72" s="15" t="n">
        <f aca="false">O70+O71</f>
        <v>28372180.1247239</v>
      </c>
      <c r="P72" s="15" t="n">
        <f aca="false">P70+P71</f>
        <v>28827725.2614104</v>
      </c>
      <c r="Q72" s="15" t="n">
        <f aca="false">Q70+Q71</f>
        <v>29354224.5634962</v>
      </c>
      <c r="R72" s="15" t="n">
        <f aca="false">R70+R71</f>
        <v>29921309.0547662</v>
      </c>
      <c r="S72" s="15" t="n">
        <f aca="false">S70+S71</f>
        <v>30499735.2358615</v>
      </c>
      <c r="T72" s="15" t="n">
        <f aca="false">T70+T71</f>
        <v>31089729.9405787</v>
      </c>
      <c r="U72" s="15" t="n">
        <f aca="false">U70+U71</f>
        <v>31691524.5393903</v>
      </c>
      <c r="V72" s="15" t="n">
        <f aca="false">V70+V71</f>
        <v>32305355.0301781</v>
      </c>
      <c r="W72" s="15" t="n">
        <f aca="false">W70+W71</f>
        <v>32931462.1307817</v>
      </c>
    </row>
    <row r="73" customFormat="false" ht="15" hidden="false" customHeight="false" outlineLevel="0" collapsed="false">
      <c r="B73" s="2" t="s">
        <v>153</v>
      </c>
      <c r="D73" s="14" t="n">
        <f aca="false">D72-D$7</f>
        <v>24821321.3953488</v>
      </c>
      <c r="E73" s="14" t="n">
        <f aca="false">E72-E$7</f>
        <v>24195574.7672558</v>
      </c>
      <c r="F73" s="14" t="n">
        <f aca="false">F72-F$7</f>
        <v>23575392.5634345</v>
      </c>
      <c r="G73" s="14" t="n">
        <f aca="false">G72-G$7</f>
        <v>22959381.117994</v>
      </c>
      <c r="H73" s="14" t="n">
        <f aca="false">H72-H$7</f>
        <v>22346225.0439868</v>
      </c>
      <c r="I73" s="14" t="n">
        <f aca="false">I72-I$7</f>
        <v>21734680.1472592</v>
      </c>
      <c r="J73" s="14" t="n">
        <f aca="false">J72-J$7</f>
        <v>21123566.8858663</v>
      </c>
      <c r="K73" s="14" t="n">
        <f aca="false">K72-K$7</f>
        <v>20511764.3308926</v>
      </c>
      <c r="L73" s="14" t="n">
        <f aca="false">L72-L$7</f>
        <v>19898204.5880395</v>
      </c>
      <c r="M73" s="14" t="n">
        <f aca="false">M72-M$7</f>
        <v>19799957.1922575</v>
      </c>
      <c r="N73" s="14" t="n">
        <f aca="false">N72-N$7</f>
        <v>20686602.4235683</v>
      </c>
      <c r="O73" s="14" t="n">
        <f aca="false">O72-O$7</f>
        <v>20942463.1831911</v>
      </c>
      <c r="P73" s="14" t="n">
        <f aca="false">P72-P$7</f>
        <v>21212265.3963392</v>
      </c>
      <c r="Q73" s="14" t="n">
        <f aca="false">Q72-Q$7</f>
        <v>21548378.2017983</v>
      </c>
      <c r="R73" s="14" t="n">
        <f aca="false">R72-R$7</f>
        <v>21920316.5340258</v>
      </c>
      <c r="S73" s="14" t="n">
        <f aca="false">S72-S$7</f>
        <v>22298717.9021026</v>
      </c>
      <c r="T73" s="14" t="n">
        <f aca="false">T72-T$7</f>
        <v>22683687.1734759</v>
      </c>
      <c r="U73" s="14" t="n">
        <f aca="false">U72-U$7</f>
        <v>23075330.7031099</v>
      </c>
      <c r="V73" s="14" t="n">
        <f aca="false">V72-V$7</f>
        <v>23473756.3479907</v>
      </c>
      <c r="W73" s="14" t="n">
        <f aca="false">W72-W$7</f>
        <v>23879073.4815395</v>
      </c>
    </row>
    <row r="74" customFormat="false" ht="15" hidden="false" customHeight="false" outlineLevel="0" collapsed="false">
      <c r="B74" s="2" t="s">
        <v>154</v>
      </c>
      <c r="D74" s="15" t="n">
        <f aca="false">Fleet!D$34</f>
        <v>0</v>
      </c>
      <c r="E74" s="15" t="n">
        <f aca="false">Fleet!E$34</f>
        <v>0</v>
      </c>
      <c r="F74" s="15" t="n">
        <f aca="false">Fleet!F$34</f>
        <v>5704206.25</v>
      </c>
      <c r="G74" s="15" t="n">
        <f aca="false">Fleet!G$34</f>
        <v>0</v>
      </c>
      <c r="H74" s="15" t="n">
        <f aca="false">Fleet!H$34</f>
        <v>0</v>
      </c>
      <c r="I74" s="15" t="n">
        <f aca="false">Fleet!I$34</f>
        <v>5206075.03080625</v>
      </c>
      <c r="J74" s="15" t="n">
        <f aca="false">Fleet!J$34</f>
        <v>0</v>
      </c>
      <c r="K74" s="15" t="n">
        <f aca="false">Fleet!K$34</f>
        <v>0</v>
      </c>
      <c r="L74" s="15" t="n">
        <f aca="false">Fleet!L$34</f>
        <v>4751444.11659103</v>
      </c>
      <c r="M74" s="15" t="n">
        <f aca="false">Fleet!M$34</f>
        <v>0</v>
      </c>
      <c r="N74" s="15" t="n">
        <f aca="false">Fleet!N$34</f>
        <v>0</v>
      </c>
      <c r="O74" s="15" t="n">
        <f aca="false">Fleet!O$34</f>
        <v>4336514.75622149</v>
      </c>
      <c r="P74" s="15" t="n">
        <f aca="false">Fleet!P$34</f>
        <v>0</v>
      </c>
      <c r="Q74" s="15" t="n">
        <f aca="false">Fleet!Q$34</f>
        <v>0</v>
      </c>
      <c r="R74" s="15" t="n">
        <f aca="false">Fleet!R$34</f>
        <v>3957819.93210493</v>
      </c>
      <c r="S74" s="15" t="n">
        <f aca="false">Fleet!S$34</f>
        <v>0</v>
      </c>
      <c r="T74" s="15" t="n">
        <f aca="false">Fleet!T$34</f>
        <v>0</v>
      </c>
      <c r="U74" s="15" t="n">
        <f aca="false">Fleet!U$34</f>
        <v>4334634.46907281</v>
      </c>
      <c r="V74" s="15" t="n">
        <f aca="false">Fleet!V$34</f>
        <v>0</v>
      </c>
      <c r="W74" s="15" t="n">
        <f aca="false">Fleet!W$34</f>
        <v>0</v>
      </c>
    </row>
    <row r="75" customFormat="false" ht="15" hidden="false" customHeight="false" outlineLevel="0" collapsed="false">
      <c r="B75" s="2" t="s">
        <v>155</v>
      </c>
      <c r="D75" s="15" t="n">
        <f aca="false">D73-D74</f>
        <v>24821321.3953488</v>
      </c>
      <c r="E75" s="15" t="n">
        <f aca="false">E73-E74</f>
        <v>24195574.7672558</v>
      </c>
      <c r="F75" s="15" t="n">
        <f aca="false">F73-F74</f>
        <v>17871186.3134345</v>
      </c>
      <c r="G75" s="15" t="n">
        <f aca="false">G73-G74</f>
        <v>22959381.117994</v>
      </c>
      <c r="H75" s="15" t="n">
        <f aca="false">H73-H74</f>
        <v>22346225.0439868</v>
      </c>
      <c r="I75" s="15" t="n">
        <f aca="false">I73-I74</f>
        <v>16528605.116453</v>
      </c>
      <c r="J75" s="15" t="n">
        <f aca="false">J73-J74</f>
        <v>21123566.8858663</v>
      </c>
      <c r="K75" s="15" t="n">
        <f aca="false">K73-K74</f>
        <v>20511764.3308926</v>
      </c>
      <c r="L75" s="15" t="n">
        <f aca="false">L73-L74</f>
        <v>15146760.4714484</v>
      </c>
      <c r="M75" s="15" t="n">
        <f aca="false">M73-M74</f>
        <v>19799957.1922575</v>
      </c>
      <c r="N75" s="15" t="n">
        <f aca="false">N73-N74</f>
        <v>20686602.4235683</v>
      </c>
      <c r="O75" s="15" t="n">
        <f aca="false">O73-O74</f>
        <v>16605948.4269696</v>
      </c>
      <c r="P75" s="15" t="n">
        <f aca="false">P73-P74</f>
        <v>21212265.3963392</v>
      </c>
      <c r="Q75" s="15" t="n">
        <f aca="false">Q73-Q74</f>
        <v>21548378.2017983</v>
      </c>
      <c r="R75" s="15" t="n">
        <f aca="false">R73-R74</f>
        <v>17962496.6019209</v>
      </c>
      <c r="S75" s="15" t="n">
        <f aca="false">S73-S74</f>
        <v>22298717.9021026</v>
      </c>
      <c r="T75" s="15" t="n">
        <f aca="false">T73-T74</f>
        <v>22683687.1734759</v>
      </c>
      <c r="U75" s="15" t="n">
        <f aca="false">U73-U74</f>
        <v>18740696.2340371</v>
      </c>
      <c r="V75" s="15" t="n">
        <f aca="false">V73-V74</f>
        <v>23473756.3479907</v>
      </c>
      <c r="W75" s="15" t="n">
        <f aca="false">W73-W74</f>
        <v>23879073.4815395</v>
      </c>
    </row>
    <row r="77" customFormat="false" ht="15" hidden="false" customHeight="false" outlineLevel="0" collapsed="false">
      <c r="B77" s="2" t="s">
        <v>156</v>
      </c>
      <c r="C77" s="15" t="n">
        <f aca="false">Credit!$C$16/(1+Inputs!$C$67)^2+SUMPRODUCT($D$70:$W$70,$D$8:$W$8)+SUMPRODUCT($D$71:$W$71,$D$9:$W$9)-SUMPRODUCT(($D$7:$W$7+$D$74:$W$74),$D$8:$W$8)-Cases!$C$15/(1+Inputs!$C$67)^21</f>
        <v>234875471.32632</v>
      </c>
    </row>
    <row r="78" customFormat="false" ht="15" hidden="false" customHeight="false" outlineLevel="0" collapsed="false">
      <c r="B78" s="3" t="s">
        <v>157</v>
      </c>
      <c r="C78" s="14" t="n">
        <f aca="false">C77-Credit!$C$11/(1+Inputs!$C$67)</f>
        <v>11847433.9431421</v>
      </c>
    </row>
    <row r="79" customFormat="false" ht="15" hidden="false" customHeight="false" outlineLevel="0" collapsed="false">
      <c r="B79" s="2" t="s">
        <v>158</v>
      </c>
      <c r="C79" s="15" t="n">
        <f aca="false">SUMPRODUCT($D$70:$W$70,$D$10:$W$10)+SUMPRODUCT($D$71:$W$71,$D$11:$W$11)-SUMPRODUCT(($D$7:$W$7+$D$74:$W$74),$D$10:$W$10)-Cases!$C$15/(1+Inputs!$C$67)^20</f>
        <v>181886456.339325</v>
      </c>
    </row>
    <row r="80" customFormat="false" ht="15" hidden="false" customHeight="false" outlineLevel="0" collapsed="false">
      <c r="B80" s="2" t="s">
        <v>159</v>
      </c>
      <c r="C80" s="15" t="n">
        <f aca="false">SUMPRODUCT($D$70:$W$70,$D$12:$W$12)+SUMPRODUCT($D$71:$W$71,$D$13:$W$13)-SUMPRODUCT(($D$7:$W$7+$D$74:$W$74),$D$12:$W$12)-Cases!$C$15/(1+Inputs!$C$67)^15</f>
        <v>141909735.45429</v>
      </c>
    </row>
    <row r="81" customFormat="false" ht="15" hidden="false" customHeight="false" outlineLevel="0" collapsed="false">
      <c r="B81" s="3" t="s">
        <v>160</v>
      </c>
      <c r="C81" s="19" t="n">
        <f aca="false">IFERROR(IRR(C83:X83,0.1),"n.m.")</f>
        <v>0.0915399801450929</v>
      </c>
    </row>
    <row r="82" customFormat="false" ht="15" hidden="false" customHeight="false" outlineLevel="0" collapsed="false">
      <c r="B82" s="2" t="s">
        <v>161</v>
      </c>
    </row>
    <row r="83" customFormat="false" ht="15" hidden="false" customHeight="false" outlineLevel="0" collapsed="false">
      <c r="C83" s="15" t="n">
        <f aca="false">-Inputs!$C$25</f>
        <v>-16000000</v>
      </c>
      <c r="D83" s="15" t="n">
        <f aca="false">-Credit!$C$11</f>
        <v>-238640000</v>
      </c>
      <c r="E83" s="15" t="n">
        <f aca="false">D75+Credit!$C$16</f>
        <v>101691401.395349</v>
      </c>
      <c r="F83" s="15" t="n">
        <f aca="false">E75</f>
        <v>24195574.7672558</v>
      </c>
      <c r="G83" s="15" t="n">
        <f aca="false">F75</f>
        <v>17871186.3134345</v>
      </c>
      <c r="H83" s="15" t="n">
        <f aca="false">G75</f>
        <v>22959381.117994</v>
      </c>
      <c r="I83" s="15" t="n">
        <f aca="false">H75</f>
        <v>22346225.0439868</v>
      </c>
      <c r="J83" s="15" t="n">
        <f aca="false">I75</f>
        <v>16528605.116453</v>
      </c>
      <c r="K83" s="15" t="n">
        <f aca="false">J75</f>
        <v>21123566.8858663</v>
      </c>
      <c r="L83" s="15" t="n">
        <f aca="false">K75</f>
        <v>20511764.3308926</v>
      </c>
      <c r="M83" s="15" t="n">
        <f aca="false">L75</f>
        <v>15146760.4714484</v>
      </c>
      <c r="N83" s="15" t="n">
        <f aca="false">M75</f>
        <v>19799957.1922575</v>
      </c>
      <c r="O83" s="15" t="n">
        <f aca="false">N75</f>
        <v>20686602.4235683</v>
      </c>
      <c r="P83" s="15" t="n">
        <f aca="false">O75</f>
        <v>16605948.4269696</v>
      </c>
      <c r="Q83" s="15" t="n">
        <f aca="false">P75</f>
        <v>21212265.3963392</v>
      </c>
      <c r="R83" s="15" t="n">
        <f aca="false">Q75</f>
        <v>21548378.2017983</v>
      </c>
      <c r="S83" s="15" t="n">
        <f aca="false">R75</f>
        <v>17962496.6019209</v>
      </c>
      <c r="T83" s="15" t="n">
        <f aca="false">S75</f>
        <v>22298717.9021026</v>
      </c>
      <c r="U83" s="15" t="n">
        <f aca="false">T75</f>
        <v>22683687.1734759</v>
      </c>
      <c r="V83" s="15" t="n">
        <f aca="false">U75</f>
        <v>18740696.2340371</v>
      </c>
      <c r="W83" s="15" t="n">
        <f aca="false">V75</f>
        <v>23473756.3479907</v>
      </c>
      <c r="X83" s="15" t="n">
        <f aca="false">W75-Cases!$C$15</f>
        <v>6948888.42045919</v>
      </c>
    </row>
    <row r="84" customFormat="false" ht="15" hidden="false" customHeight="false" outlineLevel="0" collapsed="false">
      <c r="C84" s="2" t="n">
        <v>0</v>
      </c>
      <c r="D84" s="2" t="n">
        <v>1</v>
      </c>
      <c r="E84" s="2" t="n">
        <v>2</v>
      </c>
      <c r="F84" s="2" t="n">
        <v>3</v>
      </c>
      <c r="G84" s="2" t="n">
        <v>4</v>
      </c>
      <c r="H84" s="2" t="n">
        <v>5</v>
      </c>
      <c r="I84" s="2" t="n">
        <v>6</v>
      </c>
      <c r="J84" s="2" t="n">
        <v>7</v>
      </c>
      <c r="K84" s="2" t="n">
        <v>8</v>
      </c>
      <c r="L84" s="2" t="n">
        <v>9</v>
      </c>
      <c r="M84" s="2" t="n">
        <v>10</v>
      </c>
      <c r="N84" s="2" t="n">
        <v>11</v>
      </c>
      <c r="O84" s="2" t="n">
        <v>12</v>
      </c>
      <c r="P84" s="2" t="n">
        <v>13</v>
      </c>
      <c r="Q84" s="2" t="n">
        <v>14</v>
      </c>
      <c r="R84" s="2" t="n">
        <v>15</v>
      </c>
      <c r="S84" s="2" t="n">
        <v>16</v>
      </c>
      <c r="T84" s="2" t="n">
        <v>17</v>
      </c>
      <c r="U84" s="2" t="n">
        <v>18</v>
      </c>
      <c r="V84" s="2" t="n">
        <v>19</v>
      </c>
      <c r="W84" s="2" t="n">
        <v>20</v>
      </c>
      <c r="X84" s="2" t="n">
        <v>21</v>
      </c>
    </row>
    <row r="96" customFormat="false" ht="15" hidden="false" customHeight="false" outlineLevel="0" collapsed="false">
      <c r="B96" s="2" t="s">
        <v>164</v>
      </c>
      <c r="C96" s="15" t="n">
        <f aca="false">Cases!$C$52-Cases!$C$26</f>
        <v>18969015.8063586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X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3" min="3" style="0" width="14"/>
    <col collapsed="false" customWidth="true" hidden="false" outlineLevel="0" max="23" min="4" style="0" width="11"/>
  </cols>
  <sheetData>
    <row r="2" customFormat="false" ht="16.15" hidden="false" customHeight="false" outlineLevel="0" collapsed="false">
      <c r="B2" s="1" t="s">
        <v>165</v>
      </c>
    </row>
    <row r="4" customFormat="false" ht="15" hidden="false" customHeight="false" outlineLevel="0" collapsed="false">
      <c r="B4" s="3" t="s">
        <v>95</v>
      </c>
      <c r="D4" s="3" t="n">
        <v>2028</v>
      </c>
      <c r="E4" s="3" t="n">
        <v>2029</v>
      </c>
      <c r="F4" s="3" t="n">
        <v>2030</v>
      </c>
      <c r="G4" s="3" t="n">
        <v>2031</v>
      </c>
      <c r="H4" s="3" t="n">
        <v>2032</v>
      </c>
      <c r="I4" s="3" t="n">
        <v>2033</v>
      </c>
      <c r="J4" s="3" t="n">
        <v>2034</v>
      </c>
      <c r="K4" s="3" t="n">
        <v>2035</v>
      </c>
      <c r="L4" s="3" t="n">
        <v>2036</v>
      </c>
      <c r="M4" s="3" t="n">
        <v>2037</v>
      </c>
      <c r="N4" s="3" t="n">
        <v>2038</v>
      </c>
      <c r="O4" s="3" t="n">
        <v>2039</v>
      </c>
      <c r="P4" s="3" t="n">
        <v>2040</v>
      </c>
      <c r="Q4" s="3" t="n">
        <v>2041</v>
      </c>
      <c r="R4" s="3" t="n">
        <v>2042</v>
      </c>
      <c r="S4" s="3" t="n">
        <v>2043</v>
      </c>
      <c r="T4" s="3" t="n">
        <v>2044</v>
      </c>
      <c r="U4" s="3" t="n">
        <v>2045</v>
      </c>
      <c r="V4" s="3" t="n">
        <v>2046</v>
      </c>
      <c r="W4" s="3" t="n">
        <v>2047</v>
      </c>
    </row>
    <row r="5" customFormat="false" ht="15" hidden="false" customHeight="false" outlineLevel="0" collapsed="false">
      <c r="B5" s="3" t="s">
        <v>128</v>
      </c>
      <c r="D5" s="2" t="n">
        <v>0</v>
      </c>
      <c r="E5" s="2" t="n">
        <v>1</v>
      </c>
      <c r="F5" s="2" t="n">
        <v>2</v>
      </c>
      <c r="G5" s="2" t="n">
        <v>3</v>
      </c>
      <c r="H5" s="2" t="n">
        <v>4</v>
      </c>
      <c r="I5" s="2" t="n">
        <v>5</v>
      </c>
      <c r="J5" s="2" t="n">
        <v>6</v>
      </c>
      <c r="K5" s="2" t="n">
        <v>7</v>
      </c>
      <c r="L5" s="2" t="n">
        <v>8</v>
      </c>
      <c r="M5" s="2" t="n">
        <v>9</v>
      </c>
      <c r="N5" s="2" t="n">
        <v>10</v>
      </c>
      <c r="O5" s="2" t="n">
        <v>11</v>
      </c>
      <c r="P5" s="2" t="n">
        <v>12</v>
      </c>
      <c r="Q5" s="2" t="n">
        <v>13</v>
      </c>
      <c r="R5" s="2" t="n">
        <v>14</v>
      </c>
      <c r="S5" s="2" t="n">
        <v>15</v>
      </c>
      <c r="T5" s="2" t="n">
        <v>16</v>
      </c>
      <c r="U5" s="2" t="n">
        <v>17</v>
      </c>
      <c r="V5" s="2" t="n">
        <v>18</v>
      </c>
      <c r="W5" s="2" t="n">
        <v>19</v>
      </c>
    </row>
    <row r="6" customFormat="false" ht="15" hidden="false" customHeight="false" outlineLevel="0" collapsed="false">
      <c r="B6" s="2" t="s">
        <v>125</v>
      </c>
      <c r="C6" s="15" t="n">
        <f aca="false">Fleet!$C$38</f>
        <v>1414534.72773983</v>
      </c>
    </row>
    <row r="8" customFormat="false" ht="15" hidden="false" customHeight="false" outlineLevel="0" collapsed="false">
      <c r="B8" s="18" t="s">
        <v>166</v>
      </c>
    </row>
    <row r="9" customFormat="false" ht="15" hidden="false" customHeight="false" outlineLevel="0" collapsed="false">
      <c r="B9" s="2" t="s">
        <v>167</v>
      </c>
      <c r="D9" s="15" t="n">
        <f aca="false">IF(D$5&lt;Inputs!$C$75,Cases!D18+Cases!D19-Cases!D$7-$C$6,0)</f>
        <v>25568067.1327253</v>
      </c>
      <c r="E9" s="15" t="n">
        <f aca="false">IF(E$5&lt;Inputs!$C$75,Cases!E18+Cases!E19-Cases!E$7-$C$6,0)</f>
        <v>24780925.9619346</v>
      </c>
      <c r="F9" s="15" t="n">
        <f aca="false">IF(F$5&lt;Inputs!$C$75,Cases!F18+Cases!F19-Cases!F$7-$C$6,0)</f>
        <v>24002383.7151729</v>
      </c>
      <c r="G9" s="15" t="n">
        <f aca="false">IF(G$5&lt;Inputs!$C$75,Cases!G18+Cases!G19-Cases!G$7-$C$6,0)</f>
        <v>23230611.6635438</v>
      </c>
      <c r="H9" s="15" t="n">
        <f aca="false">IF(H$5&lt;Inputs!$C$75,Cases!H18+Cases!H19-Cases!H$7-$C$6,0)</f>
        <v>22463886.1873832</v>
      </c>
      <c r="I9" s="15" t="n">
        <f aca="false">IF(I$5&lt;Inputs!$C$75,Cases!I18+Cases!I19-Cases!I$7-$C$6,0)</f>
        <v>21700579.3464916</v>
      </c>
      <c r="J9" s="15" t="n">
        <f aca="false">IF(J$5&lt;Inputs!$C$75,Cases!J18+Cases!J19-Cases!J$7-$C$6,0)</f>
        <v>20939150.1782482</v>
      </c>
      <c r="K9" s="15" t="n">
        <f aca="false">IF(K$5&lt;Inputs!$C$75,Cases!K18+Cases!K19-Cases!K$7-$C$6,0)</f>
        <v>0</v>
      </c>
      <c r="L9" s="15" t="n">
        <f aca="false">IF(L$5&lt;Inputs!$C$75,Cases!L18+Cases!L19-Cases!L$7-$C$6,0)</f>
        <v>0</v>
      </c>
      <c r="M9" s="15" t="n">
        <f aca="false">IF(M$5&lt;Inputs!$C$75,Cases!M18+Cases!M19-Cases!M$7-$C$6,0)</f>
        <v>0</v>
      </c>
      <c r="N9" s="15" t="n">
        <f aca="false">IF(N$5&lt;Inputs!$C$75,Cases!N18+Cases!N19-Cases!N$7-$C$6,0)</f>
        <v>0</v>
      </c>
      <c r="O9" s="15" t="n">
        <f aca="false">IF(O$5&lt;Inputs!$C$75,Cases!O18+Cases!O19-Cases!O$7-$C$6,0)</f>
        <v>0</v>
      </c>
      <c r="P9" s="15" t="n">
        <f aca="false">IF(P$5&lt;Inputs!$C$75,Cases!P18+Cases!P19-Cases!P$7-$C$6,0)</f>
        <v>0</v>
      </c>
      <c r="Q9" s="15" t="n">
        <f aca="false">IF(Q$5&lt;Inputs!$C$75,Cases!Q18+Cases!Q19-Cases!Q$7-$C$6,0)</f>
        <v>0</v>
      </c>
      <c r="R9" s="15" t="n">
        <f aca="false">IF(R$5&lt;Inputs!$C$75,Cases!R18+Cases!R19-Cases!R$7-$C$6,0)</f>
        <v>0</v>
      </c>
      <c r="S9" s="15" t="n">
        <f aca="false">IF(S$5&lt;Inputs!$C$75,Cases!S18+Cases!S19-Cases!S$7-$C$6,0)</f>
        <v>0</v>
      </c>
      <c r="T9" s="15" t="n">
        <f aca="false">IF(T$5&lt;Inputs!$C$75,Cases!T18+Cases!T19-Cases!T$7-$C$6,0)</f>
        <v>0</v>
      </c>
      <c r="U9" s="15" t="n">
        <f aca="false">IF(U$5&lt;Inputs!$C$75,Cases!U18+Cases!U19-Cases!U$7-$C$6,0)</f>
        <v>0</v>
      </c>
      <c r="V9" s="15" t="n">
        <f aca="false">IF(V$5&lt;Inputs!$C$75,Cases!V18+Cases!V19-Cases!V$7-$C$6,0)</f>
        <v>0</v>
      </c>
      <c r="W9" s="15" t="n">
        <f aca="false">IF(W$5&lt;Inputs!$C$75,Cases!W18+Cases!W19-Cases!W$7-$C$6,0)</f>
        <v>0</v>
      </c>
    </row>
    <row r="10" customFormat="false" ht="15" hidden="false" customHeight="false" outlineLevel="0" collapsed="false">
      <c r="B10" s="2" t="s">
        <v>168</v>
      </c>
      <c r="D10" s="14" t="n">
        <f aca="false">IF(D$5&lt;Inputs!$C$75,D9/Inputs!$C$73,0)</f>
        <v>12784033.5663626</v>
      </c>
      <c r="E10" s="14" t="n">
        <f aca="false">IF(E$5&lt;Inputs!$C$75,E9/Inputs!$C$73,0)</f>
        <v>12390462.9809673</v>
      </c>
      <c r="F10" s="14" t="n">
        <f aca="false">IF(F$5&lt;Inputs!$C$75,F9/Inputs!$C$73,0)</f>
        <v>12001191.8575864</v>
      </c>
      <c r="G10" s="14" t="n">
        <f aca="false">IF(G$5&lt;Inputs!$C$75,G9/Inputs!$C$73,0)</f>
        <v>11615305.8317719</v>
      </c>
      <c r="H10" s="14" t="n">
        <f aca="false">IF(H$5&lt;Inputs!$C$75,H9/Inputs!$C$73,0)</f>
        <v>11231943.0936916</v>
      </c>
      <c r="I10" s="14" t="n">
        <f aca="false">IF(I$5&lt;Inputs!$C$75,I9/Inputs!$C$73,0)</f>
        <v>10850289.6732458</v>
      </c>
      <c r="J10" s="14" t="n">
        <f aca="false">IF(J$5&lt;Inputs!$C$75,J9/Inputs!$C$73,0)</f>
        <v>10469575.0891241</v>
      </c>
      <c r="K10" s="14" t="n">
        <f aca="false">IF(K$5&lt;Inputs!$C$75,K9/Inputs!$C$73,0)</f>
        <v>0</v>
      </c>
      <c r="L10" s="14" t="n">
        <f aca="false">IF(L$5&lt;Inputs!$C$75,L9/Inputs!$C$73,0)</f>
        <v>0</v>
      </c>
      <c r="M10" s="14" t="n">
        <f aca="false">IF(M$5&lt;Inputs!$C$75,M9/Inputs!$C$73,0)</f>
        <v>0</v>
      </c>
      <c r="N10" s="14" t="n">
        <f aca="false">IF(N$5&lt;Inputs!$C$75,N9/Inputs!$C$73,0)</f>
        <v>0</v>
      </c>
      <c r="O10" s="14" t="n">
        <f aca="false">IF(O$5&lt;Inputs!$C$75,O9/Inputs!$C$73,0)</f>
        <v>0</v>
      </c>
      <c r="P10" s="14" t="n">
        <f aca="false">IF(P$5&lt;Inputs!$C$75,P9/Inputs!$C$73,0)</f>
        <v>0</v>
      </c>
      <c r="Q10" s="14" t="n">
        <f aca="false">IF(Q$5&lt;Inputs!$C$75,Q9/Inputs!$C$73,0)</f>
        <v>0</v>
      </c>
      <c r="R10" s="14" t="n">
        <f aca="false">IF(R$5&lt;Inputs!$C$75,R9/Inputs!$C$73,0)</f>
        <v>0</v>
      </c>
      <c r="S10" s="14" t="n">
        <f aca="false">IF(S$5&lt;Inputs!$C$75,S9/Inputs!$C$73,0)</f>
        <v>0</v>
      </c>
      <c r="T10" s="14" t="n">
        <f aca="false">IF(T$5&lt;Inputs!$C$75,T9/Inputs!$C$73,0)</f>
        <v>0</v>
      </c>
      <c r="U10" s="14" t="n">
        <f aca="false">IF(U$5&lt;Inputs!$C$75,U9/Inputs!$C$73,0)</f>
        <v>0</v>
      </c>
      <c r="V10" s="14" t="n">
        <f aca="false">IF(V$5&lt;Inputs!$C$75,V9/Inputs!$C$73,0)</f>
        <v>0</v>
      </c>
      <c r="W10" s="14" t="n">
        <f aca="false">IF(W$5&lt;Inputs!$C$75,W9/Inputs!$C$73,0)</f>
        <v>0</v>
      </c>
    </row>
    <row r="12" customFormat="false" ht="15" hidden="false" customHeight="false" outlineLevel="0" collapsed="false">
      <c r="B12" s="3" t="s">
        <v>169</v>
      </c>
      <c r="C12" s="14" t="n">
        <f aca="false">D10/(1+Inputs!$C$71)^(0+1)+E10/(1+Inputs!$C$71)^(1+1)+F10/(1+Inputs!$C$71)^(2+1)+G10/(1+Inputs!$C$71)^(3+1)+H10/(1+Inputs!$C$71)^(4+1)+I10/(1+Inputs!$C$71)^(5+1)+J10/(1+Inputs!$C$71)^(6+1)+K10/(1+Inputs!$C$71)^(7+1)+L10/(1+Inputs!$C$71)^(8+1)+M10/(1+Inputs!$C$71)^(9+1)+N10/(1+Inputs!$C$71)^(10+1)+O10/(1+Inputs!$C$71)^(11+1)+P10/(1+Inputs!$C$71)^(12+1)+Q10/(1+Inputs!$C$71)^(13+1)+R10/(1+Inputs!$C$71)^(14+1)+S10/(1+Inputs!$C$71)^(15+1)+T10/(1+Inputs!$C$71)^(16+1)+U10/(1+Inputs!$C$71)^(17+1)+V10/(1+Inputs!$C$71)^(18+1)+W10/(1+Inputs!$C$71)^(19+1)</f>
        <v>64263265.6713817</v>
      </c>
    </row>
    <row r="13" customFormat="false" ht="15" hidden="false" customHeight="false" outlineLevel="0" collapsed="false">
      <c r="B13" s="2" t="s">
        <v>170</v>
      </c>
      <c r="C13" s="15" t="n">
        <f aca="false">Inputs!$C$25+Credit!$C$11-C12-Credit!$C$21</f>
        <v>118535538.066936</v>
      </c>
    </row>
    <row r="14" customFormat="false" ht="15" hidden="false" customHeight="false" outlineLevel="0" collapsed="false">
      <c r="B14" s="3" t="s">
        <v>171</v>
      </c>
      <c r="C14" s="19" t="n">
        <f aca="false">IFERROR(IRR(C16:X16,0.1),"n.m.")</f>
        <v>0.108261856959572</v>
      </c>
    </row>
    <row r="15" customFormat="false" ht="15" hidden="false" customHeight="false" outlineLevel="0" collapsed="false">
      <c r="B15" s="2" t="s">
        <v>172</v>
      </c>
    </row>
    <row r="16" customFormat="false" ht="15" hidden="false" customHeight="false" outlineLevel="0" collapsed="false">
      <c r="C16" s="15" t="n">
        <f aca="false">Cases!C31</f>
        <v>-16000000</v>
      </c>
      <c r="D16" s="15" t="n">
        <f aca="false">Cases!D31+C12+Credit!$C$21</f>
        <v>-102535538.066936</v>
      </c>
      <c r="E16" s="15" t="n">
        <f aca="false">Cases!E31-Credit!$C$16-D10</f>
        <v>14198568.2941025</v>
      </c>
      <c r="F16" s="15" t="n">
        <f aca="false">Cases!F31-E10</f>
        <v>13804997.7087071</v>
      </c>
      <c r="G16" s="15" t="n">
        <f aca="false">Cases!G31-F10</f>
        <v>7711520.33532627</v>
      </c>
      <c r="H16" s="15" t="n">
        <f aca="false">Cases!H31-G10</f>
        <v>13029840.5595117</v>
      </c>
      <c r="I16" s="15" t="n">
        <f aca="false">Cases!I31-H10</f>
        <v>12646477.8214314</v>
      </c>
      <c r="J16" s="15" t="n">
        <f aca="false">Cases!J31-I10</f>
        <v>7058749.37017939</v>
      </c>
      <c r="K16" s="15" t="n">
        <f aca="false">Cases!K31-J10</f>
        <v>11884109.8168639</v>
      </c>
      <c r="L16" s="15" t="n">
        <f aca="false">Cases!L31-K10</f>
        <v>21592671.3924772</v>
      </c>
      <c r="M16" s="15" t="n">
        <f aca="false">Cases!M31-L10</f>
        <v>16079238.9258642</v>
      </c>
      <c r="N16" s="15" t="n">
        <f aca="false">Cases!N31-M10</f>
        <v>20757180.1045394</v>
      </c>
      <c r="O16" s="15" t="n">
        <f aca="false">Cases!O31-N10</f>
        <v>20686602.4235683</v>
      </c>
      <c r="P16" s="15" t="n">
        <f aca="false">Cases!P31-O10</f>
        <v>16605948.4269696</v>
      </c>
      <c r="Q16" s="15" t="n">
        <f aca="false">Cases!Q31-P10</f>
        <v>21212265.3963392</v>
      </c>
      <c r="R16" s="15" t="n">
        <f aca="false">Cases!R31-Q10</f>
        <v>21548378.2017983</v>
      </c>
      <c r="S16" s="15" t="n">
        <f aca="false">Cases!S31-R10</f>
        <v>17962496.6019209</v>
      </c>
      <c r="T16" s="15" t="n">
        <f aca="false">Cases!T31-S10</f>
        <v>22298717.9021026</v>
      </c>
      <c r="U16" s="15" t="n">
        <f aca="false">Cases!U31-T10</f>
        <v>22683687.1734759</v>
      </c>
      <c r="V16" s="15" t="n">
        <f aca="false">Cases!V31-U10</f>
        <v>18740696.2340371</v>
      </c>
      <c r="W16" s="15" t="n">
        <f aca="false">Cases!W31-V10</f>
        <v>23473756.3479907</v>
      </c>
      <c r="X16" s="15" t="n">
        <f aca="false">Cases!X31-W10</f>
        <v>6948888.42045919</v>
      </c>
    </row>
    <row r="20" customFormat="false" ht="15" hidden="false" customHeight="false" outlineLevel="0" collapsed="false">
      <c r="B20" s="18" t="s">
        <v>173</v>
      </c>
    </row>
    <row r="21" customFormat="false" ht="15" hidden="false" customHeight="false" outlineLevel="0" collapsed="false">
      <c r="B21" s="2" t="s">
        <v>167</v>
      </c>
      <c r="D21" s="15" t="n">
        <f aca="false">IF(D$5&lt;Inputs!$C$74,Cases!D44+Cases!D45-Cases!D$7-$C$6,0)</f>
        <v>22322945.2722602</v>
      </c>
      <c r="E21" s="15" t="n">
        <f aca="false">IF(E$5&lt;Inputs!$C$74,Cases!E44+Cases!E45-Cases!E$7-$C$6,0)</f>
        <v>22181382.2722602</v>
      </c>
      <c r="F21" s="15" t="n">
        <f aca="false">IF(F$5&lt;Inputs!$C$74,Cases!F44+Cases!F45-Cases!F$7-$C$6,0)</f>
        <v>22036280.1972602</v>
      </c>
      <c r="G21" s="15" t="n">
        <f aca="false">IF(G$5&lt;Inputs!$C$74,Cases!G44+Cases!G45-Cases!G$7-$C$6,0)</f>
        <v>21887550.5703852</v>
      </c>
      <c r="H21" s="15" t="n">
        <f aca="false">IF(H$5&lt;Inputs!$C$74,Cases!H44+Cases!H45-Cases!H$7-$C$6,0)</f>
        <v>21735102.7028383</v>
      </c>
      <c r="I21" s="15" t="n">
        <f aca="false">IF(I$5&lt;Inputs!$C$74,Cases!I44+Cases!I45-Cases!I$7-$C$6,0)</f>
        <v>21578843.6386028</v>
      </c>
      <c r="J21" s="15" t="n">
        <f aca="false">IF(J$5&lt;Inputs!$C$74,Cases!J44+Cases!J45-Cases!J$7-$C$6,0)</f>
        <v>21418678.0977613</v>
      </c>
      <c r="K21" s="15" t="n">
        <f aca="false">IF(K$5&lt;Inputs!$C$74,Cases!K44+Cases!K45-Cases!K$7-$C$6,0)</f>
        <v>21254508.4183989</v>
      </c>
      <c r="L21" s="15" t="n">
        <f aca="false">IF(L$5&lt;Inputs!$C$74,Cases!L44+Cases!L45-Cases!L$7-$C$6,0)</f>
        <v>21086234.4970523</v>
      </c>
      <c r="M21" s="15" t="n">
        <f aca="false">IF(M$5&lt;Inputs!$C$74,Cases!M44+Cases!M45-Cases!M$7-$C$6,0)</f>
        <v>20913753.7276721</v>
      </c>
      <c r="N21" s="15" t="n">
        <f aca="false">IF(N$5&lt;Inputs!$C$74,Cases!N44+Cases!N45-Cases!N$7-$C$6,0)</f>
        <v>0</v>
      </c>
      <c r="O21" s="15" t="n">
        <f aca="false">IF(O$5&lt;Inputs!$C$74,Cases!O44+Cases!O45-Cases!O$7-$C$6,0)</f>
        <v>0</v>
      </c>
      <c r="P21" s="15" t="n">
        <f aca="false">IF(P$5&lt;Inputs!$C$74,Cases!P44+Cases!P45-Cases!P$7-$C$6,0)</f>
        <v>0</v>
      </c>
      <c r="Q21" s="15" t="n">
        <f aca="false">IF(Q$5&lt;Inputs!$C$74,Cases!Q44+Cases!Q45-Cases!Q$7-$C$6,0)</f>
        <v>0</v>
      </c>
      <c r="R21" s="15" t="n">
        <f aca="false">IF(R$5&lt;Inputs!$C$74,Cases!R44+Cases!R45-Cases!R$7-$C$6,0)</f>
        <v>0</v>
      </c>
      <c r="S21" s="15" t="n">
        <f aca="false">IF(S$5&lt;Inputs!$C$74,Cases!S44+Cases!S45-Cases!S$7-$C$6,0)</f>
        <v>0</v>
      </c>
      <c r="T21" s="15" t="n">
        <f aca="false">IF(T$5&lt;Inputs!$C$74,Cases!T44+Cases!T45-Cases!T$7-$C$6,0)</f>
        <v>0</v>
      </c>
      <c r="U21" s="15" t="n">
        <f aca="false">IF(U$5&lt;Inputs!$C$74,Cases!U44+Cases!U45-Cases!U$7-$C$6,0)</f>
        <v>0</v>
      </c>
      <c r="V21" s="15" t="n">
        <f aca="false">IF(V$5&lt;Inputs!$C$74,Cases!V44+Cases!V45-Cases!V$7-$C$6,0)</f>
        <v>0</v>
      </c>
      <c r="W21" s="15" t="n">
        <f aca="false">IF(W$5&lt;Inputs!$C$74,Cases!W44+Cases!W45-Cases!W$7-$C$6,0)</f>
        <v>0</v>
      </c>
    </row>
    <row r="22" customFormat="false" ht="15" hidden="false" customHeight="false" outlineLevel="0" collapsed="false">
      <c r="B22" s="2" t="s">
        <v>168</v>
      </c>
      <c r="D22" s="14" t="n">
        <f aca="false">IF(D$5&lt;Inputs!$C$74,D21/Inputs!$C$72,0)</f>
        <v>17171496.3632771</v>
      </c>
      <c r="E22" s="14" t="n">
        <f aca="false">IF(E$5&lt;Inputs!$C$74,E21/Inputs!$C$72,0)</f>
        <v>17062601.7478924</v>
      </c>
      <c r="F22" s="14" t="n">
        <f aca="false">IF(F$5&lt;Inputs!$C$74,F21/Inputs!$C$72,0)</f>
        <v>16950984.7671232</v>
      </c>
      <c r="G22" s="14" t="n">
        <f aca="false">IF(G$5&lt;Inputs!$C$74,G21/Inputs!$C$72,0)</f>
        <v>16836577.3618348</v>
      </c>
      <c r="H22" s="14" t="n">
        <f aca="false">IF(H$5&lt;Inputs!$C$74,H21/Inputs!$C$72,0)</f>
        <v>16719309.7714141</v>
      </c>
      <c r="I22" s="14" t="n">
        <f aca="false">IF(I$5&lt;Inputs!$C$74,I21/Inputs!$C$72,0)</f>
        <v>16599110.4912329</v>
      </c>
      <c r="J22" s="14" t="n">
        <f aca="false">IF(J$5&lt;Inputs!$C$74,J21/Inputs!$C$72,0)</f>
        <v>16475906.2290472</v>
      </c>
      <c r="K22" s="14" t="n">
        <f aca="false">IF(K$5&lt;Inputs!$C$74,K21/Inputs!$C$72,0)</f>
        <v>16349621.8603068</v>
      </c>
      <c r="L22" s="14" t="n">
        <f aca="false">IF(L$5&lt;Inputs!$C$74,L21/Inputs!$C$72,0)</f>
        <v>16220180.3823479</v>
      </c>
      <c r="M22" s="14" t="n">
        <f aca="false">IF(M$5&lt;Inputs!$C$74,M21/Inputs!$C$72,0)</f>
        <v>16087502.8674401</v>
      </c>
      <c r="N22" s="14" t="n">
        <f aca="false">IF(N$5&lt;Inputs!$C$74,N21/Inputs!$C$72,0)</f>
        <v>0</v>
      </c>
      <c r="O22" s="14" t="n">
        <f aca="false">IF(O$5&lt;Inputs!$C$74,O21/Inputs!$C$72,0)</f>
        <v>0</v>
      </c>
      <c r="P22" s="14" t="n">
        <f aca="false">IF(P$5&lt;Inputs!$C$74,P21/Inputs!$C$72,0)</f>
        <v>0</v>
      </c>
      <c r="Q22" s="14" t="n">
        <f aca="false">IF(Q$5&lt;Inputs!$C$74,Q21/Inputs!$C$72,0)</f>
        <v>0</v>
      </c>
      <c r="R22" s="14" t="n">
        <f aca="false">IF(R$5&lt;Inputs!$C$74,R21/Inputs!$C$72,0)</f>
        <v>0</v>
      </c>
      <c r="S22" s="14" t="n">
        <f aca="false">IF(S$5&lt;Inputs!$C$74,S21/Inputs!$C$72,0)</f>
        <v>0</v>
      </c>
      <c r="T22" s="14" t="n">
        <f aca="false">IF(T$5&lt;Inputs!$C$74,T21/Inputs!$C$72,0)</f>
        <v>0</v>
      </c>
      <c r="U22" s="14" t="n">
        <f aca="false">IF(U$5&lt;Inputs!$C$74,U21/Inputs!$C$72,0)</f>
        <v>0</v>
      </c>
      <c r="V22" s="14" t="n">
        <f aca="false">IF(V$5&lt;Inputs!$C$74,V21/Inputs!$C$72,0)</f>
        <v>0</v>
      </c>
      <c r="W22" s="14" t="n">
        <f aca="false">IF(W$5&lt;Inputs!$C$74,W21/Inputs!$C$72,0)</f>
        <v>0</v>
      </c>
    </row>
    <row r="24" customFormat="false" ht="15" hidden="false" customHeight="false" outlineLevel="0" collapsed="false">
      <c r="B24" s="3" t="s">
        <v>169</v>
      </c>
      <c r="C24" s="14" t="n">
        <f aca="false">D22/(1+Inputs!$C$71)^(0+1)+E22/(1+Inputs!$C$71)^(1+1)+F22/(1+Inputs!$C$71)^(2+1)+G22/(1+Inputs!$C$71)^(3+1)+H22/(1+Inputs!$C$71)^(4+1)+I22/(1+Inputs!$C$71)^(5+1)+J22/(1+Inputs!$C$71)^(6+1)+K22/(1+Inputs!$C$71)^(7+1)+L22/(1+Inputs!$C$71)^(8+1)+M22/(1+Inputs!$C$71)^(9+1)+N22/(1+Inputs!$C$71)^(10+1)+O22/(1+Inputs!$C$71)^(11+1)+P22/(1+Inputs!$C$71)^(12+1)+Q22/(1+Inputs!$C$71)^(13+1)+R22/(1+Inputs!$C$71)^(14+1)+S22/(1+Inputs!$C$71)^(15+1)+T22/(1+Inputs!$C$71)^(16+1)+U22/(1+Inputs!$C$71)^(17+1)+V22/(1+Inputs!$C$71)^(18+1)+W22/(1+Inputs!$C$71)^(19+1)</f>
        <v>120120333.053282</v>
      </c>
    </row>
    <row r="25" customFormat="false" ht="15" hidden="false" customHeight="false" outlineLevel="0" collapsed="false">
      <c r="B25" s="2" t="s">
        <v>170</v>
      </c>
      <c r="C25" s="15" t="n">
        <f aca="false">Inputs!$C$25+Credit!$C$11-C24-Credit!$C$21</f>
        <v>62678470.6850354</v>
      </c>
    </row>
    <row r="26" customFormat="false" ht="15" hidden="false" customHeight="false" outlineLevel="0" collapsed="false">
      <c r="B26" s="3" t="s">
        <v>171</v>
      </c>
      <c r="C26" s="19" t="n">
        <f aca="false">IFERROR(IRR(C28:X28,0.1),"n.m.")</f>
        <v>0.118261929474758</v>
      </c>
    </row>
    <row r="27" customFormat="false" ht="15" hidden="false" customHeight="false" outlineLevel="0" collapsed="false">
      <c r="B27" s="2" t="s">
        <v>172</v>
      </c>
    </row>
    <row r="28" customFormat="false" ht="15" hidden="false" customHeight="false" outlineLevel="0" collapsed="false">
      <c r="C28" s="15" t="n">
        <f aca="false">Cases!C57</f>
        <v>-16000000</v>
      </c>
      <c r="D28" s="15" t="n">
        <f aca="false">Cases!D57+C24+Credit!$C$21</f>
        <v>-46678470.6850354</v>
      </c>
      <c r="E28" s="15" t="n">
        <f aca="false">Cases!E57-Credit!$C$16-D22</f>
        <v>6565983.63672295</v>
      </c>
      <c r="F28" s="15" t="n">
        <f aca="false">Cases!F57-E22</f>
        <v>6533315.25210756</v>
      </c>
      <c r="G28" s="15" t="n">
        <f aca="false">Cases!G57-F22</f>
        <v>795623.90787679</v>
      </c>
      <c r="H28" s="15" t="n">
        <f aca="false">Cases!H57-G22</f>
        <v>6465507.93629025</v>
      </c>
      <c r="I28" s="15" t="n">
        <f aca="false">Cases!I57-H22</f>
        <v>6430327.65916405</v>
      </c>
      <c r="J28" s="15" t="n">
        <f aca="false">Cases!J57-I22</f>
        <v>1188192.84430344</v>
      </c>
      <c r="K28" s="15" t="n">
        <f aca="false">Cases!K57-J22</f>
        <v>6357306.59645398</v>
      </c>
      <c r="L28" s="15" t="n">
        <f aca="false">Cases!L57-K22</f>
        <v>6319421.28583187</v>
      </c>
      <c r="M28" s="15" t="n">
        <f aca="false">Cases!M57-L22</f>
        <v>1529144.72585318</v>
      </c>
      <c r="N28" s="15" t="n">
        <f aca="false">Cases!N57-M22</f>
        <v>6240785.58797186</v>
      </c>
      <c r="O28" s="15" t="n">
        <f aca="false">Cases!O57-N22</f>
        <v>20686602.4235683</v>
      </c>
      <c r="P28" s="15" t="n">
        <f aca="false">Cases!P57-O22</f>
        <v>16605948.4269696</v>
      </c>
      <c r="Q28" s="15" t="n">
        <f aca="false">Cases!Q57-P22</f>
        <v>21212265.3963392</v>
      </c>
      <c r="R28" s="15" t="n">
        <f aca="false">Cases!R57-Q22</f>
        <v>21548378.2017983</v>
      </c>
      <c r="S28" s="15" t="n">
        <f aca="false">Cases!S57-R22</f>
        <v>17962496.6019209</v>
      </c>
      <c r="T28" s="15" t="n">
        <f aca="false">Cases!T57-S22</f>
        <v>22298717.9021026</v>
      </c>
      <c r="U28" s="15" t="n">
        <f aca="false">Cases!U57-T22</f>
        <v>22683687.1734759</v>
      </c>
      <c r="V28" s="15" t="n">
        <f aca="false">Cases!V57-U22</f>
        <v>18740696.2340371</v>
      </c>
      <c r="W28" s="15" t="n">
        <f aca="false">Cases!W57-V22</f>
        <v>23473756.3479907</v>
      </c>
      <c r="X28" s="15" t="n">
        <f aca="false">Cases!X57-W22</f>
        <v>6948888.42045919</v>
      </c>
    </row>
    <row r="32" customFormat="false" ht="15" hidden="false" customHeight="false" outlineLevel="0" collapsed="false">
      <c r="B32" s="18" t="s">
        <v>174</v>
      </c>
    </row>
    <row r="33" customFormat="false" ht="15" hidden="false" customHeight="false" outlineLevel="0" collapsed="false">
      <c r="B33" s="2" t="s">
        <v>167</v>
      </c>
      <c r="D33" s="15" t="n">
        <f aca="false">IF(D$5&lt;Inputs!$C$74,Cases!D70+Cases!D71-Cases!D$7-$C$6,0)</f>
        <v>23406786.667609</v>
      </c>
      <c r="E33" s="15" t="n">
        <f aca="false">IF(E$5&lt;Inputs!$C$74,Cases!E70+Cases!E71-Cases!E$7-$C$6,0)</f>
        <v>22781040.039516</v>
      </c>
      <c r="F33" s="15" t="n">
        <f aca="false">IF(F$5&lt;Inputs!$C$74,Cases!F70+Cases!F71-Cases!F$7-$C$6,0)</f>
        <v>22160857.8356947</v>
      </c>
      <c r="G33" s="15" t="n">
        <f aca="false">IF(G$5&lt;Inputs!$C$74,Cases!G70+Cases!G71-Cases!G$7-$C$6,0)</f>
        <v>21544846.3902542</v>
      </c>
      <c r="H33" s="15" t="n">
        <f aca="false">IF(H$5&lt;Inputs!$C$74,Cases!H70+Cases!H71-Cases!H$7-$C$6,0)</f>
        <v>20931690.316247</v>
      </c>
      <c r="I33" s="15" t="n">
        <f aca="false">IF(I$5&lt;Inputs!$C$74,Cases!I70+Cases!I71-Cases!I$7-$C$6,0)</f>
        <v>20320145.4195194</v>
      </c>
      <c r="J33" s="15" t="n">
        <f aca="false">IF(J$5&lt;Inputs!$C$74,Cases!J70+Cases!J71-Cases!J$7-$C$6,0)</f>
        <v>19709032.1581265</v>
      </c>
      <c r="K33" s="15" t="n">
        <f aca="false">IF(K$5&lt;Inputs!$C$74,Cases!K70+Cases!K71-Cases!K$7-$C$6,0)</f>
        <v>19097229.6031527</v>
      </c>
      <c r="L33" s="15" t="n">
        <f aca="false">IF(L$5&lt;Inputs!$C$74,Cases!L70+Cases!L71-Cases!L$7-$C$6,0)</f>
        <v>18483669.8602996</v>
      </c>
      <c r="M33" s="15" t="n">
        <f aca="false">IF(M$5&lt;Inputs!$C$74,Cases!M70+Cases!M71-Cases!M$7-$C$6,0)</f>
        <v>18385422.4645177</v>
      </c>
      <c r="N33" s="15" t="n">
        <f aca="false">IF(N$5&lt;Inputs!$C$74,Cases!N70+Cases!N71-Cases!N$7-$C$6,0)</f>
        <v>0</v>
      </c>
      <c r="O33" s="15" t="n">
        <f aca="false">IF(O$5&lt;Inputs!$C$74,Cases!O70+Cases!O71-Cases!O$7-$C$6,0)</f>
        <v>0</v>
      </c>
      <c r="P33" s="15" t="n">
        <f aca="false">IF(P$5&lt;Inputs!$C$74,Cases!P70+Cases!P71-Cases!P$7-$C$6,0)</f>
        <v>0</v>
      </c>
      <c r="Q33" s="15" t="n">
        <f aca="false">IF(Q$5&lt;Inputs!$C$74,Cases!Q70+Cases!Q71-Cases!Q$7-$C$6,0)</f>
        <v>0</v>
      </c>
      <c r="R33" s="15" t="n">
        <f aca="false">IF(R$5&lt;Inputs!$C$74,Cases!R70+Cases!R71-Cases!R$7-$C$6,0)</f>
        <v>0</v>
      </c>
      <c r="S33" s="15" t="n">
        <f aca="false">IF(S$5&lt;Inputs!$C$74,Cases!S70+Cases!S71-Cases!S$7-$C$6,0)</f>
        <v>0</v>
      </c>
      <c r="T33" s="15" t="n">
        <f aca="false">IF(T$5&lt;Inputs!$C$74,Cases!T70+Cases!T71-Cases!T$7-$C$6,0)</f>
        <v>0</v>
      </c>
      <c r="U33" s="15" t="n">
        <f aca="false">IF(U$5&lt;Inputs!$C$74,Cases!U70+Cases!U71-Cases!U$7-$C$6,0)</f>
        <v>0</v>
      </c>
      <c r="V33" s="15" t="n">
        <f aca="false">IF(V$5&lt;Inputs!$C$74,Cases!V70+Cases!V71-Cases!V$7-$C$6,0)</f>
        <v>0</v>
      </c>
      <c r="W33" s="15" t="n">
        <f aca="false">IF(W$5&lt;Inputs!$C$74,Cases!W70+Cases!W71-Cases!W$7-$C$6,0)</f>
        <v>0</v>
      </c>
    </row>
    <row r="34" customFormat="false" ht="15" hidden="false" customHeight="false" outlineLevel="0" collapsed="false">
      <c r="B34" s="2" t="s">
        <v>168</v>
      </c>
      <c r="D34" s="14" t="n">
        <f aca="false">IF(D$5&lt;Inputs!$C$74,(Cases!D70-Cases!D$7-$C$6)/Inputs!$C$72+Cases!D71/Inputs!$C$73,0)</f>
        <v>16259570.9071053</v>
      </c>
      <c r="E34" s="14" t="n">
        <f aca="false">IF(E$5&lt;Inputs!$C$74,(Cases!E70-Cases!E$7-$C$6)/Inputs!$C$72+Cases!E71/Inputs!$C$73,0)</f>
        <v>15908584.4776742</v>
      </c>
      <c r="F34" s="14" t="n">
        <f aca="false">IF(F$5&lt;Inputs!$C$74,(Cases!F70-Cases!F$7-$C$6)/Inputs!$C$72+Cases!F71/Inputs!$C$73,0)</f>
        <v>15559427.4324943</v>
      </c>
      <c r="G34" s="14" t="n">
        <f aca="false">IF(G$5&lt;Inputs!$C$74,(Cases!G70-Cases!G$7-$C$6)/Inputs!$C$72+Cases!G71/Inputs!$C$73,0)</f>
        <v>15211379.1179231</v>
      </c>
      <c r="H34" s="14" t="n">
        <f aca="false">IF(H$5&lt;Inputs!$C$74,(Cases!H70-Cases!H$7-$C$6)/Inputs!$C$72+Cases!H71/Inputs!$C$73,0)</f>
        <v>14863757.4242723</v>
      </c>
      <c r="I34" s="14" t="n">
        <f aca="false">IF(I$5&lt;Inputs!$C$74,(Cases!I70-Cases!I$7-$C$6)/Inputs!$C$72+Cases!I71/Inputs!$C$73,0)</f>
        <v>14515915.2278451</v>
      </c>
      <c r="J34" s="14" t="n">
        <f aca="false">IF(J$5&lt;Inputs!$C$74,(Cases!J70-Cases!J$7-$C$6)/Inputs!$C$72+Cases!J71/Inputs!$C$73,0)</f>
        <v>14167237.1053836</v>
      </c>
      <c r="K34" s="14" t="n">
        <f aca="false">IF(K$5&lt;Inputs!$C$74,(Cases!K70-Cases!K$7-$C$6)/Inputs!$C$72+Cases!K71/Inputs!$C$73,0)</f>
        <v>13817136.2988376</v>
      </c>
      <c r="L34" s="14" t="n">
        <f aca="false">IF(L$5&lt;Inputs!$C$74,(Cases!L70-Cases!L$7-$C$6)/Inputs!$C$72+Cases!L71/Inputs!$C$73,0)</f>
        <v>13465051.9101254</v>
      </c>
      <c r="M34" s="14" t="n">
        <f aca="false">IF(M$5&lt;Inputs!$C$74,(Cases!M70-Cases!M$7-$C$6)/Inputs!$C$72+Cases!M71/Inputs!$C$73,0)</f>
        <v>13369491.0820167</v>
      </c>
      <c r="N34" s="14" t="n">
        <f aca="false">IF(N$5&lt;Inputs!$C$74,(Cases!N70-Cases!N$7-$C$6)/Inputs!$C$72+Cases!N71/Inputs!$C$73,0)</f>
        <v>0</v>
      </c>
      <c r="O34" s="14" t="n">
        <f aca="false">IF(O$5&lt;Inputs!$C$74,(Cases!O70-Cases!O$7-$C$6)/Inputs!$C$72+Cases!O71/Inputs!$C$73,0)</f>
        <v>0</v>
      </c>
      <c r="P34" s="14" t="n">
        <f aca="false">IF(P$5&lt;Inputs!$C$74,(Cases!P70-Cases!P$7-$C$6)/Inputs!$C$72+Cases!P71/Inputs!$C$73,0)</f>
        <v>0</v>
      </c>
      <c r="Q34" s="14" t="n">
        <f aca="false">IF(Q$5&lt;Inputs!$C$74,(Cases!Q70-Cases!Q$7-$C$6)/Inputs!$C$72+Cases!Q71/Inputs!$C$73,0)</f>
        <v>0</v>
      </c>
      <c r="R34" s="14" t="n">
        <f aca="false">IF(R$5&lt;Inputs!$C$74,(Cases!R70-Cases!R$7-$C$6)/Inputs!$C$72+Cases!R71/Inputs!$C$73,0)</f>
        <v>0</v>
      </c>
      <c r="S34" s="14" t="n">
        <f aca="false">IF(S$5&lt;Inputs!$C$74,(Cases!S70-Cases!S$7-$C$6)/Inputs!$C$72+Cases!S71/Inputs!$C$73,0)</f>
        <v>0</v>
      </c>
      <c r="T34" s="14" t="n">
        <f aca="false">IF(T$5&lt;Inputs!$C$74,(Cases!T70-Cases!T$7-$C$6)/Inputs!$C$72+Cases!T71/Inputs!$C$73,0)</f>
        <v>0</v>
      </c>
      <c r="U34" s="14" t="n">
        <f aca="false">IF(U$5&lt;Inputs!$C$74,(Cases!U70-Cases!U$7-$C$6)/Inputs!$C$72+Cases!U71/Inputs!$C$73,0)</f>
        <v>0</v>
      </c>
      <c r="V34" s="14" t="n">
        <f aca="false">IF(V$5&lt;Inputs!$C$74,(Cases!V70-Cases!V$7-$C$6)/Inputs!$C$72+Cases!V71/Inputs!$C$73,0)</f>
        <v>0</v>
      </c>
      <c r="W34" s="14" t="n">
        <f aca="false">IF(W$5&lt;Inputs!$C$74,(Cases!W70-Cases!W$7-$C$6)/Inputs!$C$72+Cases!W71/Inputs!$C$73,0)</f>
        <v>0</v>
      </c>
    </row>
    <row r="36" customFormat="false" ht="15" hidden="false" customHeight="false" outlineLevel="0" collapsed="false">
      <c r="B36" s="3" t="s">
        <v>169</v>
      </c>
      <c r="C36" s="14" t="n">
        <f aca="false">D34/(1+Inputs!$C$71)^(0+1)+E34/(1+Inputs!$C$71)^(1+1)+F34/(1+Inputs!$C$71)^(2+1)+G34/(1+Inputs!$C$71)^(3+1)+H34/(1+Inputs!$C$71)^(4+1)+I34/(1+Inputs!$C$71)^(5+1)+J34/(1+Inputs!$C$71)^(6+1)+K34/(1+Inputs!$C$71)^(7+1)+L34/(1+Inputs!$C$71)^(8+1)+M34/(1+Inputs!$C$71)^(9+1)+N34/(1+Inputs!$C$71)^(10+1)+O34/(1+Inputs!$C$71)^(11+1)+P34/(1+Inputs!$C$71)^(12+1)+Q34/(1+Inputs!$C$71)^(13+1)+R34/(1+Inputs!$C$71)^(14+1)+S34/(1+Inputs!$C$71)^(15+1)+T34/(1+Inputs!$C$71)^(16+1)+U34/(1+Inputs!$C$71)^(17+1)+V34/(1+Inputs!$C$71)^(18+1)+W34/(1+Inputs!$C$71)^(19+1)</f>
        <v>107022358.13085</v>
      </c>
    </row>
    <row r="37" customFormat="false" ht="15" hidden="false" customHeight="false" outlineLevel="0" collapsed="false">
      <c r="B37" s="2" t="s">
        <v>170</v>
      </c>
      <c r="C37" s="15" t="n">
        <f aca="false">Inputs!$C$25+Credit!$C$11-C36-Credit!$C$21</f>
        <v>75776445.607468</v>
      </c>
    </row>
    <row r="38" customFormat="false" ht="15" hidden="false" customHeight="false" outlineLevel="0" collapsed="false">
      <c r="B38" s="3" t="s">
        <v>171</v>
      </c>
      <c r="C38" s="19" t="n">
        <f aca="false">IFERROR(IRR(C40:X40,0.1),"n.m.")</f>
        <v>0.108435104756663</v>
      </c>
    </row>
    <row r="39" customFormat="false" ht="15" hidden="false" customHeight="false" outlineLevel="0" collapsed="false">
      <c r="B39" s="2" t="s">
        <v>172</v>
      </c>
    </row>
    <row r="40" customFormat="false" ht="15" hidden="false" customHeight="false" outlineLevel="0" collapsed="false">
      <c r="C40" s="15" t="n">
        <f aca="false">Cases!C83</f>
        <v>-16000000</v>
      </c>
      <c r="D40" s="15" t="n">
        <f aca="false">Cases!D83+C36+Credit!$C$21</f>
        <v>-59776445.6074681</v>
      </c>
      <c r="E40" s="15" t="n">
        <f aca="false">Cases!E83-Credit!$C$16-D34</f>
        <v>8561750.48824352</v>
      </c>
      <c r="F40" s="15" t="n">
        <f aca="false">Cases!F83-E34</f>
        <v>8286990.28958162</v>
      </c>
      <c r="G40" s="15" t="n">
        <f aca="false">Cases!G83-F34</f>
        <v>2311758.88094021</v>
      </c>
      <c r="H40" s="15" t="n">
        <f aca="false">Cases!H83-G34</f>
        <v>7748002.0000709</v>
      </c>
      <c r="I40" s="15" t="n">
        <f aca="false">Cases!I83-H34</f>
        <v>7482467.61971454</v>
      </c>
      <c r="J40" s="15" t="n">
        <f aca="false">Cases!J83-I34</f>
        <v>2012689.88860792</v>
      </c>
      <c r="K40" s="15" t="n">
        <f aca="false">Cases!K83-J34</f>
        <v>6956329.78048271</v>
      </c>
      <c r="L40" s="15" t="n">
        <f aca="false">Cases!L83-K34</f>
        <v>6694628.03205496</v>
      </c>
      <c r="M40" s="15" t="n">
        <f aca="false">Cases!M83-L34</f>
        <v>1681708.56132299</v>
      </c>
      <c r="N40" s="15" t="n">
        <f aca="false">Cases!N83-M34</f>
        <v>6430466.11024078</v>
      </c>
      <c r="O40" s="15" t="n">
        <f aca="false">Cases!O83-N34</f>
        <v>20686602.4235683</v>
      </c>
      <c r="P40" s="15" t="n">
        <f aca="false">Cases!P83-O34</f>
        <v>16605948.4269696</v>
      </c>
      <c r="Q40" s="15" t="n">
        <f aca="false">Cases!Q83-P34</f>
        <v>21212265.3963392</v>
      </c>
      <c r="R40" s="15" t="n">
        <f aca="false">Cases!R83-Q34</f>
        <v>21548378.2017983</v>
      </c>
      <c r="S40" s="15" t="n">
        <f aca="false">Cases!S83-R34</f>
        <v>17962496.6019209</v>
      </c>
      <c r="T40" s="15" t="n">
        <f aca="false">Cases!T83-S34</f>
        <v>22298717.9021026</v>
      </c>
      <c r="U40" s="15" t="n">
        <f aca="false">Cases!U83-T34</f>
        <v>22683687.1734759</v>
      </c>
      <c r="V40" s="15" t="n">
        <f aca="false">Cases!V83-U34</f>
        <v>18740696.2340371</v>
      </c>
      <c r="W40" s="15" t="n">
        <f aca="false">Cases!W83-V34</f>
        <v>23473756.3479907</v>
      </c>
      <c r="X40" s="15" t="n">
        <f aca="false">Cases!X83-W34</f>
        <v>6948888.42045919</v>
      </c>
    </row>
    <row r="44" customFormat="false" ht="15" hidden="false" customHeight="false" outlineLevel="0" collapsed="false">
      <c r="B44" s="18" t="s">
        <v>175</v>
      </c>
    </row>
    <row r="45" customFormat="false" ht="15" hidden="false" customHeight="false" outlineLevel="0" collapsed="false">
      <c r="B45" s="2" t="s">
        <v>167</v>
      </c>
      <c r="D45" s="15" t="n">
        <f aca="false">IF(D$5&lt;Inputs!$C$75,Cases!D18+Cases!D19*Inputs!$C$77-Cases!D$7-$C$6,0)</f>
        <v>15774530.5745858</v>
      </c>
      <c r="E45" s="15" t="n">
        <f aca="false">IF(E$5&lt;Inputs!$C$75,Cases!E18+Cases!E19*Inputs!$C$77-Cases!E$7-$C$6,0)</f>
        <v>15181062.8550323</v>
      </c>
      <c r="F45" s="15" t="n">
        <f aca="false">IF(F$5&lt;Inputs!$C$75,Cases!F18+Cases!F19*Inputs!$C$77-Cases!F$7-$C$6,0)</f>
        <v>14592552.6597991</v>
      </c>
      <c r="G45" s="15" t="n">
        <f aca="false">IF(G$5&lt;Inputs!$C$75,Cases!G18+Cases!G19*Inputs!$C$77-Cases!G$7-$C$6,0)</f>
        <v>14007693.3355962</v>
      </c>
      <c r="H45" s="15" t="n">
        <f aca="false">IF(H$5&lt;Inputs!$C$75,Cases!H18+Cases!H19*Inputs!$C$77-Cases!H$7-$C$6,0)</f>
        <v>13425251.1420197</v>
      </c>
      <c r="I45" s="15" t="n">
        <f aca="false">IF(I$5&lt;Inputs!$C$75,Cases!I18+Cases!I19*Inputs!$C$77-Cases!I$7-$C$6,0)</f>
        <v>12844058.634125</v>
      </c>
      <c r="J45" s="15" t="n">
        <f aca="false">IF(J$5&lt;Inputs!$C$75,Cases!J18+Cases!J19*Inputs!$C$77-Cases!J$7-$C$6,0)</f>
        <v>12263008.5541021</v>
      </c>
      <c r="K45" s="15" t="n">
        <f aca="false">IF(K$5&lt;Inputs!$C$75,Cases!K18+Cases!K19*Inputs!$C$77-Cases!K$7-$C$6,0)</f>
        <v>0</v>
      </c>
      <c r="L45" s="15" t="n">
        <f aca="false">IF(L$5&lt;Inputs!$C$75,Cases!L18+Cases!L19*Inputs!$C$77-Cases!L$7-$C$6,0)</f>
        <v>0</v>
      </c>
      <c r="M45" s="15" t="n">
        <f aca="false">IF(M$5&lt;Inputs!$C$75,Cases!M18+Cases!M19*Inputs!$C$77-Cases!M$7-$C$6,0)</f>
        <v>0</v>
      </c>
      <c r="N45" s="15" t="n">
        <f aca="false">IF(N$5&lt;Inputs!$C$75,Cases!N18+Cases!N19*Inputs!$C$77-Cases!N$7-$C$6,0)</f>
        <v>0</v>
      </c>
      <c r="O45" s="15" t="n">
        <f aca="false">IF(O$5&lt;Inputs!$C$75,Cases!O18+Cases!O19*Inputs!$C$77-Cases!O$7-$C$6,0)</f>
        <v>0</v>
      </c>
      <c r="P45" s="15" t="n">
        <f aca="false">IF(P$5&lt;Inputs!$C$75,Cases!P18+Cases!P19*Inputs!$C$77-Cases!P$7-$C$6,0)</f>
        <v>0</v>
      </c>
      <c r="Q45" s="15" t="n">
        <f aca="false">IF(Q$5&lt;Inputs!$C$75,Cases!Q18+Cases!Q19*Inputs!$C$77-Cases!Q$7-$C$6,0)</f>
        <v>0</v>
      </c>
      <c r="R45" s="15" t="n">
        <f aca="false">IF(R$5&lt;Inputs!$C$75,Cases!R18+Cases!R19*Inputs!$C$77-Cases!R$7-$C$6,0)</f>
        <v>0</v>
      </c>
      <c r="S45" s="15" t="n">
        <f aca="false">IF(S$5&lt;Inputs!$C$75,Cases!S18+Cases!S19*Inputs!$C$77-Cases!S$7-$C$6,0)</f>
        <v>0</v>
      </c>
      <c r="T45" s="15" t="n">
        <f aca="false">IF(T$5&lt;Inputs!$C$75,Cases!T18+Cases!T19*Inputs!$C$77-Cases!T$7-$C$6,0)</f>
        <v>0</v>
      </c>
      <c r="U45" s="15" t="n">
        <f aca="false">IF(U$5&lt;Inputs!$C$75,Cases!U18+Cases!U19*Inputs!$C$77-Cases!U$7-$C$6,0)</f>
        <v>0</v>
      </c>
      <c r="V45" s="15" t="n">
        <f aca="false">IF(V$5&lt;Inputs!$C$75,Cases!V18+Cases!V19*Inputs!$C$77-Cases!V$7-$C$6,0)</f>
        <v>0</v>
      </c>
      <c r="W45" s="15" t="n">
        <f aca="false">IF(W$5&lt;Inputs!$C$75,Cases!W18+Cases!W19*Inputs!$C$77-Cases!W$7-$C$6,0)</f>
        <v>0</v>
      </c>
    </row>
    <row r="46" customFormat="false" ht="15" hidden="false" customHeight="false" outlineLevel="0" collapsed="false">
      <c r="B46" s="2" t="s">
        <v>168</v>
      </c>
      <c r="D46" s="14" t="n">
        <f aca="false">IF(D$5&lt;Inputs!$C$75,D45/Inputs!$C$78,0)</f>
        <v>11267521.8389898</v>
      </c>
      <c r="E46" s="14" t="n">
        <f aca="false">IF(E$5&lt;Inputs!$C$75,E45/Inputs!$C$78,0)</f>
        <v>10843616.325023</v>
      </c>
      <c r="F46" s="14" t="n">
        <f aca="false">IF(F$5&lt;Inputs!$C$75,F45/Inputs!$C$78,0)</f>
        <v>10423251.8998565</v>
      </c>
      <c r="G46" s="14" t="n">
        <f aca="false">IF(G$5&lt;Inputs!$C$75,G45/Inputs!$C$78,0)</f>
        <v>10005495.2397116</v>
      </c>
      <c r="H46" s="14" t="n">
        <f aca="false">IF(H$5&lt;Inputs!$C$75,H45/Inputs!$C$78,0)</f>
        <v>9589465.10144266</v>
      </c>
      <c r="I46" s="14" t="n">
        <f aca="false">IF(I$5&lt;Inputs!$C$75,I45/Inputs!$C$78,0)</f>
        <v>9174327.59580354</v>
      </c>
      <c r="J46" s="14" t="n">
        <f aca="false">IF(J$5&lt;Inputs!$C$75,J45/Inputs!$C$78,0)</f>
        <v>8759291.82435867</v>
      </c>
      <c r="K46" s="14" t="n">
        <f aca="false">IF(K$5&lt;Inputs!$C$75,K45/Inputs!$C$78,0)</f>
        <v>0</v>
      </c>
      <c r="L46" s="14" t="n">
        <f aca="false">IF(L$5&lt;Inputs!$C$75,L45/Inputs!$C$78,0)</f>
        <v>0</v>
      </c>
      <c r="M46" s="14" t="n">
        <f aca="false">IF(M$5&lt;Inputs!$C$75,M45/Inputs!$C$78,0)</f>
        <v>0</v>
      </c>
      <c r="N46" s="14" t="n">
        <f aca="false">IF(N$5&lt;Inputs!$C$75,N45/Inputs!$C$78,0)</f>
        <v>0</v>
      </c>
      <c r="O46" s="14" t="n">
        <f aca="false">IF(O$5&lt;Inputs!$C$75,O45/Inputs!$C$78,0)</f>
        <v>0</v>
      </c>
      <c r="P46" s="14" t="n">
        <f aca="false">IF(P$5&lt;Inputs!$C$75,P45/Inputs!$C$78,0)</f>
        <v>0</v>
      </c>
      <c r="Q46" s="14" t="n">
        <f aca="false">IF(Q$5&lt;Inputs!$C$75,Q45/Inputs!$C$78,0)</f>
        <v>0</v>
      </c>
      <c r="R46" s="14" t="n">
        <f aca="false">IF(R$5&lt;Inputs!$C$75,R45/Inputs!$C$78,0)</f>
        <v>0</v>
      </c>
      <c r="S46" s="14" t="n">
        <f aca="false">IF(S$5&lt;Inputs!$C$75,S45/Inputs!$C$78,0)</f>
        <v>0</v>
      </c>
      <c r="T46" s="14" t="n">
        <f aca="false">IF(T$5&lt;Inputs!$C$75,T45/Inputs!$C$78,0)</f>
        <v>0</v>
      </c>
      <c r="U46" s="14" t="n">
        <f aca="false">IF(U$5&lt;Inputs!$C$75,U45/Inputs!$C$78,0)</f>
        <v>0</v>
      </c>
      <c r="V46" s="14" t="n">
        <f aca="false">IF(V$5&lt;Inputs!$C$75,V45/Inputs!$C$78,0)</f>
        <v>0</v>
      </c>
      <c r="W46" s="14" t="n">
        <f aca="false">IF(W$5&lt;Inputs!$C$75,W45/Inputs!$C$78,0)</f>
        <v>0</v>
      </c>
    </row>
    <row r="48" customFormat="false" ht="15" hidden="false" customHeight="false" outlineLevel="0" collapsed="false">
      <c r="B48" s="3" t="s">
        <v>169</v>
      </c>
      <c r="C48" s="14" t="n">
        <f aca="false">D46/(1+Inputs!$C$71)^(0+1)+E46/(1+Inputs!$C$71)^(1+1)+F46/(1+Inputs!$C$71)^(2+1)+G46/(1+Inputs!$C$71)^(3+1)+H46/(1+Inputs!$C$71)^(4+1)+I46/(1+Inputs!$C$71)^(5+1)+J46/(1+Inputs!$C$71)^(6+1)+K46/(1+Inputs!$C$71)^(7+1)+L46/(1+Inputs!$C$71)^(8+1)+M46/(1+Inputs!$C$71)^(9+1)+N46/(1+Inputs!$C$71)^(10+1)+O46/(1+Inputs!$C$71)^(11+1)+P46/(1+Inputs!$C$71)^(12+1)+Q46/(1+Inputs!$C$71)^(13+1)+R46/(1+Inputs!$C$71)^(14+1)+S46/(1+Inputs!$C$71)^(15+1)+T46/(1+Inputs!$C$71)^(16+1)+U46/(1+Inputs!$C$71)^(17+1)+V46/(1+Inputs!$C$71)^(18+1)+W46/(1+Inputs!$C$71)^(19+1)</f>
        <v>55469895.0640162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0"/>
    <col collapsed="false" customWidth="true" hidden="false" outlineLevel="0" max="10" min="3" style="0" width="15"/>
  </cols>
  <sheetData>
    <row r="2" customFormat="false" ht="16.15" hidden="false" customHeight="false" outlineLevel="0" collapsed="false">
      <c r="B2" s="1" t="s">
        <v>176</v>
      </c>
    </row>
    <row r="4" customFormat="false" ht="15" hidden="false" customHeight="false" outlineLevel="0" collapsed="false">
      <c r="B4" s="2" t="s">
        <v>177</v>
      </c>
      <c r="C4" s="15" t="n">
        <f aca="false">Inputs!$C$19*(1+Inputs!$C$83)*Inputs!$C$8*1000</f>
        <v>126000000</v>
      </c>
    </row>
    <row r="5" customFormat="false" ht="15" hidden="false" customHeight="false" outlineLevel="0" collapsed="false">
      <c r="B5" s="2" t="s">
        <v>178</v>
      </c>
      <c r="C5" s="15" t="n">
        <f aca="false">Inputs!$C$20*(1+Inputs!$C$83)*Inputs!$C$6*1000</f>
        <v>12000000</v>
      </c>
    </row>
    <row r="6" customFormat="false" ht="15" hidden="false" customHeight="false" outlineLevel="0" collapsed="false">
      <c r="B6" s="2" t="s">
        <v>179</v>
      </c>
      <c r="C6" s="15" t="n">
        <f aca="false">Inputs!$C$21*(1+Inputs!$C$83)*Inputs!$C$8*1000</f>
        <v>58800000</v>
      </c>
    </row>
    <row r="7" customFormat="false" ht="15" hidden="false" customHeight="false" outlineLevel="0" collapsed="false">
      <c r="B7" s="2" t="s">
        <v>180</v>
      </c>
      <c r="C7" s="15" t="n">
        <f aca="false">Credit!$C$4+Credit!$C$5+Credit!$C$6</f>
        <v>196800000</v>
      </c>
    </row>
    <row r="8" customFormat="false" ht="15" hidden="false" customHeight="false" outlineLevel="0" collapsed="false">
      <c r="B8" s="2" t="s">
        <v>181</v>
      </c>
      <c r="C8" s="15" t="n">
        <f aca="false">Inputs!$C$22*Credit!$C$7</f>
        <v>9840000</v>
      </c>
    </row>
    <row r="9" customFormat="false" ht="15" hidden="false" customHeight="false" outlineLevel="0" collapsed="false">
      <c r="B9" s="2" t="s">
        <v>182</v>
      </c>
      <c r="C9" s="15" t="n">
        <f aca="false">Inputs!$C$23*(1+Inputs!$C$83)</f>
        <v>24000000</v>
      </c>
    </row>
    <row r="10" customFormat="false" ht="15" hidden="false" customHeight="false" outlineLevel="0" collapsed="false">
      <c r="B10" s="2" t="s">
        <v>183</v>
      </c>
      <c r="C10" s="15" t="n">
        <f aca="false">Inputs!$C$24</f>
        <v>8000000</v>
      </c>
    </row>
    <row r="11" customFormat="false" ht="15" hidden="false" customHeight="false" outlineLevel="0" collapsed="false">
      <c r="B11" s="2" t="s">
        <v>184</v>
      </c>
      <c r="C11" s="15" t="n">
        <f aca="false">Credit!$C$7+Credit!$C$8+Credit!$C$9+Credit!$C$10</f>
        <v>238640000</v>
      </c>
    </row>
    <row r="12" customFormat="false" ht="15" hidden="false" customHeight="false" outlineLevel="0" collapsed="false">
      <c r="B12" s="2" t="s">
        <v>185</v>
      </c>
      <c r="C12" s="13" t="n">
        <f aca="false">Credit!$C$11/(Inputs!$C$6*1000)</f>
        <v>1193.2</v>
      </c>
    </row>
    <row r="13" customFormat="false" ht="15" hidden="false" customHeight="false" outlineLevel="0" collapsed="false">
      <c r="B13" s="2" t="s">
        <v>186</v>
      </c>
      <c r="C13" s="13" t="n">
        <f aca="false">Credit!$C$11/(Inputs!$C$7*1000)</f>
        <v>298.3</v>
      </c>
    </row>
    <row r="14" customFormat="false" ht="15" hidden="false" customHeight="false" outlineLevel="0" collapsed="false">
      <c r="B14" s="2" t="s">
        <v>187</v>
      </c>
      <c r="C14" s="15" t="n">
        <f aca="false">Credit!$C$7+Credit!$C$8</f>
        <v>206640000</v>
      </c>
    </row>
    <row r="15" customFormat="false" ht="15" hidden="false" customHeight="false" outlineLevel="0" collapsed="false">
      <c r="B15" s="2" t="s">
        <v>188</v>
      </c>
      <c r="C15" s="15" t="n">
        <f aca="false">Inputs!$C$31*Credit!$C$14</f>
        <v>82656000</v>
      </c>
    </row>
    <row r="16" customFormat="false" ht="15" hidden="false" customHeight="false" outlineLevel="0" collapsed="false">
      <c r="B16" s="2" t="s">
        <v>189</v>
      </c>
      <c r="C16" s="15" t="n">
        <f aca="false">Credit!$C$15*Inputs!$C$32</f>
        <v>76870080</v>
      </c>
    </row>
    <row r="17" customFormat="false" ht="15" hidden="false" customHeight="false" outlineLevel="0" collapsed="false">
      <c r="B17" s="2" t="s">
        <v>190</v>
      </c>
      <c r="C17" s="15" t="n">
        <f aca="false">0.3*Credit!$C$14</f>
        <v>61992000</v>
      </c>
    </row>
    <row r="18" customFormat="false" ht="15" hidden="false" customHeight="false" outlineLevel="0" collapsed="false">
      <c r="B18" s="2" t="s">
        <v>191</v>
      </c>
      <c r="C18" s="15" t="n">
        <f aca="false">0.5*Credit!$C$14</f>
        <v>103320000</v>
      </c>
    </row>
    <row r="19" customFormat="false" ht="15" hidden="false" customHeight="false" outlineLevel="0" collapsed="false">
      <c r="B19" s="2" t="s">
        <v>192</v>
      </c>
      <c r="C19" s="15" t="n">
        <f aca="false">Credit!$C$17*Inputs!$C$32</f>
        <v>57652560</v>
      </c>
    </row>
    <row r="20" customFormat="false" ht="15" hidden="false" customHeight="false" outlineLevel="0" collapsed="false">
      <c r="B20" s="2" t="s">
        <v>193</v>
      </c>
      <c r="C20" s="15" t="n">
        <f aca="false">Credit!$C$18*Inputs!$C$32</f>
        <v>96087600</v>
      </c>
    </row>
    <row r="21" customFormat="false" ht="15" hidden="false" customHeight="false" outlineLevel="0" collapsed="false">
      <c r="B21" s="2" t="s">
        <v>194</v>
      </c>
      <c r="C21" s="15" t="n">
        <f aca="false">Credit!$C$16/(1+Inputs!$C$76)</f>
        <v>71841196.2616822</v>
      </c>
    </row>
    <row r="24" customFormat="false" ht="15" hidden="false" customHeight="false" outlineLevel="0" collapsed="false">
      <c r="B24" s="3" t="s">
        <v>195</v>
      </c>
    </row>
    <row r="25" customFormat="false" ht="15" hidden="false" customHeight="false" outlineLevel="0" collapsed="false">
      <c r="C25" s="3" t="s">
        <v>196</v>
      </c>
      <c r="D25" s="3" t="s">
        <v>197</v>
      </c>
      <c r="E25" s="3" t="s">
        <v>198</v>
      </c>
      <c r="F25" s="3" t="s">
        <v>199</v>
      </c>
      <c r="G25" s="2" t="s">
        <v>200</v>
      </c>
    </row>
    <row r="26" customFormat="false" ht="15" hidden="false" customHeight="false" outlineLevel="0" collapsed="false">
      <c r="B26" s="2" t="s">
        <v>201</v>
      </c>
      <c r="C26" s="5" t="n">
        <v>0.46</v>
      </c>
      <c r="D26" s="9" t="n">
        <v>1</v>
      </c>
      <c r="E26" s="9" t="n">
        <v>0</v>
      </c>
      <c r="F26" s="9" t="n">
        <v>1</v>
      </c>
    </row>
    <row r="27" customFormat="false" ht="15" hidden="false" customHeight="false" outlineLevel="0" collapsed="false">
      <c r="B27" s="2" t="s">
        <v>202</v>
      </c>
      <c r="C27" s="5" t="n">
        <v>0.1</v>
      </c>
      <c r="D27" s="9" t="n">
        <v>1</v>
      </c>
      <c r="E27" s="9" t="n">
        <v>0</v>
      </c>
      <c r="F27" s="9" t="n">
        <v>0</v>
      </c>
    </row>
    <row r="28" customFormat="false" ht="15" hidden="false" customHeight="false" outlineLevel="0" collapsed="false">
      <c r="B28" s="2" t="s">
        <v>203</v>
      </c>
      <c r="C28" s="5" t="n">
        <v>0.12</v>
      </c>
      <c r="D28" s="9" t="n">
        <v>1</v>
      </c>
      <c r="E28" s="9" t="n">
        <v>1</v>
      </c>
      <c r="F28" s="9" t="n">
        <v>0</v>
      </c>
    </row>
    <row r="29" customFormat="false" ht="15" hidden="false" customHeight="false" outlineLevel="0" collapsed="false">
      <c r="B29" s="2" t="s">
        <v>204</v>
      </c>
      <c r="C29" s="5" t="n">
        <v>0.09</v>
      </c>
      <c r="D29" s="9" t="n">
        <v>0</v>
      </c>
      <c r="E29" s="9" t="n">
        <v>0</v>
      </c>
      <c r="F29" s="9" t="n">
        <v>0</v>
      </c>
    </row>
    <row r="30" customFormat="false" ht="15" hidden="false" customHeight="false" outlineLevel="0" collapsed="false">
      <c r="B30" s="2" t="s">
        <v>205</v>
      </c>
      <c r="C30" s="5" t="n">
        <v>0.08</v>
      </c>
      <c r="D30" s="9" t="n">
        <v>0</v>
      </c>
      <c r="E30" s="9" t="n">
        <v>0</v>
      </c>
      <c r="F30" s="9" t="n">
        <v>0</v>
      </c>
    </row>
    <row r="31" customFormat="false" ht="15" hidden="false" customHeight="false" outlineLevel="0" collapsed="false">
      <c r="B31" s="2" t="s">
        <v>206</v>
      </c>
      <c r="C31" s="5" t="n">
        <v>0.03</v>
      </c>
      <c r="D31" s="9" t="n">
        <v>0</v>
      </c>
      <c r="E31" s="9" t="n">
        <v>0</v>
      </c>
      <c r="F31" s="9" t="n">
        <v>0</v>
      </c>
    </row>
    <row r="32" customFormat="false" ht="15" hidden="false" customHeight="false" outlineLevel="0" collapsed="false">
      <c r="B32" s="2" t="s">
        <v>207</v>
      </c>
      <c r="C32" s="5" t="n">
        <v>0.12</v>
      </c>
      <c r="D32" s="9" t="n">
        <v>0</v>
      </c>
      <c r="E32" s="9" t="n">
        <v>0</v>
      </c>
      <c r="F32" s="9" t="n">
        <v>0</v>
      </c>
    </row>
    <row r="33" customFormat="false" ht="15" hidden="false" customHeight="false" outlineLevel="0" collapsed="false">
      <c r="B33" s="2" t="s">
        <v>208</v>
      </c>
      <c r="C33" s="17" t="n">
        <f aca="false">SUM(C26:C32)</f>
        <v>1</v>
      </c>
    </row>
    <row r="34" customFormat="false" ht="15" hidden="false" customHeight="false" outlineLevel="0" collapsed="false">
      <c r="B34" s="2" t="s">
        <v>209</v>
      </c>
      <c r="D34" s="17" t="n">
        <f aca="false">1-SUMPRODUCT($C$26:$C$32,D26:D32)</f>
        <v>0.32</v>
      </c>
      <c r="E34" s="17" t="n">
        <f aca="false">1-SUMPRODUCT($C$26:$C$32,E26:E32)</f>
        <v>0.88</v>
      </c>
      <c r="F34" s="17" t="n">
        <f aca="false">1-SUMPRODUCT($C$26:$C$32,F26:F32)</f>
        <v>0.54</v>
      </c>
    </row>
    <row r="35" customFormat="false" ht="15" hidden="false" customHeight="false" outlineLevel="0" collapsed="false">
      <c r="B35" s="2" t="s">
        <v>210</v>
      </c>
      <c r="C35" s="20" t="n">
        <v>0.55</v>
      </c>
      <c r="D35" s="2" t="str">
        <f aca="false">IF(D$34&gt;=$C35-0.000000001,"yes","no")</f>
        <v>no</v>
      </c>
      <c r="E35" s="2" t="str">
        <f aca="false">IF(E$34&gt;=$C35-0.000000001,"yes","no")</f>
        <v>yes</v>
      </c>
      <c r="F35" s="2" t="str">
        <f aca="false">IF(F$34&gt;=$C35-0.000000001,"yes","no")</f>
        <v>no</v>
      </c>
    </row>
    <row r="36" customFormat="false" ht="15" hidden="false" customHeight="false" outlineLevel="0" collapsed="false">
      <c r="B36" s="2" t="s">
        <v>211</v>
      </c>
      <c r="C36" s="20" t="n">
        <v>0.6</v>
      </c>
      <c r="D36" s="2" t="str">
        <f aca="false">IF(D$34&gt;=$C36-0.000000001,"yes","no")</f>
        <v>no</v>
      </c>
      <c r="E36" s="2" t="str">
        <f aca="false">IF(E$34&gt;=$C36-0.000000001,"yes","no")</f>
        <v>yes</v>
      </c>
      <c r="F36" s="2" t="str">
        <f aca="false">IF(F$34&gt;=$C36-0.000000001,"yes","no")</f>
        <v>no</v>
      </c>
    </row>
    <row r="37" customFormat="false" ht="15" hidden="false" customHeight="false" outlineLevel="0" collapsed="false">
      <c r="B37" s="2" t="s">
        <v>212</v>
      </c>
      <c r="C37" s="20" t="n">
        <v>0.65</v>
      </c>
      <c r="D37" s="2" t="str">
        <f aca="false">IF(D$34&gt;=$C37-0.000000001,"yes","no")</f>
        <v>no</v>
      </c>
      <c r="E37" s="2" t="str">
        <f aca="false">IF(E$34&gt;=$C37-0.000000001,"yes","no")</f>
        <v>yes</v>
      </c>
      <c r="F37" s="2" t="str">
        <f aca="false">IF(F$34&gt;=$C37-0.000000001,"yes","no")</f>
        <v>no</v>
      </c>
    </row>
    <row r="38" customFormat="false" ht="15" hidden="false" customHeight="false" outlineLevel="0" collapsed="false">
      <c r="B38" s="2" t="s">
        <v>213</v>
      </c>
      <c r="C38" s="20" t="n">
        <v>0.7</v>
      </c>
      <c r="D38" s="2" t="str">
        <f aca="false">IF(D$34&gt;=$C38-0.000000001,"yes","no")</f>
        <v>no</v>
      </c>
      <c r="E38" s="2" t="str">
        <f aca="false">IF(E$34&gt;=$C38-0.000000001,"yes","no")</f>
        <v>yes</v>
      </c>
      <c r="F38" s="2" t="str">
        <f aca="false">IF(F$34&gt;=$C38-0.000000001,"yes","no")</f>
        <v>no</v>
      </c>
    </row>
    <row r="39" customFormat="false" ht="15" hidden="false" customHeight="false" outlineLevel="0" collapsed="false">
      <c r="B39" s="2" t="s">
        <v>214</v>
      </c>
      <c r="C39" s="20" t="n">
        <v>0.75</v>
      </c>
      <c r="D39" s="2" t="str">
        <f aca="false">IF(D$34&gt;=$C39-0.000000001,"yes","no")</f>
        <v>no</v>
      </c>
      <c r="E39" s="2" t="str">
        <f aca="false">IF(E$34&gt;=$C39-0.000000001,"yes","no")</f>
        <v>yes</v>
      </c>
      <c r="F39" s="2" t="str">
        <f aca="false">IF(F$34&gt;=$C39-0.000000001,"yes","no")</f>
        <v>no</v>
      </c>
    </row>
    <row r="41" customFormat="false" ht="15" hidden="false" customHeight="false" outlineLevel="0" collapsed="false">
      <c r="B41" s="2" t="s">
        <v>215</v>
      </c>
      <c r="D41" s="6" t="n">
        <v>128</v>
      </c>
      <c r="E41" s="6" t="n">
        <v>150</v>
      </c>
      <c r="F41" s="6" t="n">
        <v>136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5" min="3" style="0" width="15"/>
  </cols>
  <sheetData>
    <row r="2" customFormat="false" ht="16.15" hidden="false" customHeight="false" outlineLevel="0" collapsed="false">
      <c r="B2" s="1" t="s">
        <v>216</v>
      </c>
    </row>
    <row r="4" customFormat="false" ht="15" hidden="false" customHeight="false" outlineLevel="0" collapsed="false">
      <c r="B4" s="3" t="s">
        <v>217</v>
      </c>
      <c r="C4" s="3" t="n">
        <v>2</v>
      </c>
      <c r="D4" s="3" t="n">
        <v>4</v>
      </c>
      <c r="E4" s="3" t="n">
        <v>8</v>
      </c>
    </row>
    <row r="5" customFormat="false" ht="15" hidden="false" customHeight="false" outlineLevel="0" collapsed="false">
      <c r="B5" s="2" t="s">
        <v>55</v>
      </c>
      <c r="C5" s="6" t="n">
        <v>118</v>
      </c>
      <c r="D5" s="13" t="n">
        <f aca="false">Inputs!$C$44</f>
        <v>96</v>
      </c>
      <c r="E5" s="6" t="n">
        <v>76</v>
      </c>
    </row>
    <row r="6" customFormat="false" ht="15" hidden="false" customHeight="false" outlineLevel="0" collapsed="false">
      <c r="B6" s="2" t="s">
        <v>56</v>
      </c>
      <c r="C6" s="6" t="n">
        <v>28</v>
      </c>
      <c r="D6" s="13" t="n">
        <f aca="false">Inputs!$C$45</f>
        <v>32</v>
      </c>
      <c r="E6" s="6" t="n">
        <v>37</v>
      </c>
    </row>
    <row r="7" customFormat="false" ht="15" hidden="false" customHeight="false" outlineLevel="0" collapsed="false">
      <c r="B7" s="2" t="s">
        <v>137</v>
      </c>
      <c r="C7" s="5" t="n">
        <v>0.55</v>
      </c>
      <c r="D7" s="17" t="n">
        <f aca="false">Inputs!$C$51</f>
        <v>0.85</v>
      </c>
      <c r="E7" s="5" t="n">
        <v>0.96</v>
      </c>
    </row>
    <row r="8" customFormat="false" ht="15" hidden="false" customHeight="false" outlineLevel="0" collapsed="false">
      <c r="B8" s="2" t="s">
        <v>218</v>
      </c>
      <c r="C8" s="10" t="n">
        <f aca="false">Inputs!$C$6*C4</f>
        <v>400</v>
      </c>
      <c r="D8" s="10" t="n">
        <f aca="false">Inputs!$C$6*D4</f>
        <v>800</v>
      </c>
      <c r="E8" s="10" t="n">
        <f aca="false">Inputs!$C$6*E4</f>
        <v>1600</v>
      </c>
    </row>
    <row r="9" customFormat="false" ht="15" hidden="false" customHeight="false" outlineLevel="0" collapsed="false">
      <c r="B9" s="2" t="s">
        <v>219</v>
      </c>
      <c r="C9" s="10" t="n">
        <f aca="false">C8*1.05</f>
        <v>420</v>
      </c>
      <c r="D9" s="10" t="n">
        <f aca="false">D8*1.05</f>
        <v>840</v>
      </c>
      <c r="E9" s="10" t="n">
        <f aca="false">E8*1.05</f>
        <v>1680</v>
      </c>
    </row>
    <row r="10" customFormat="false" ht="15" hidden="false" customHeight="false" outlineLevel="0" collapsed="false">
      <c r="B10" s="2" t="s">
        <v>220</v>
      </c>
      <c r="C10" s="15" t="n">
        <f aca="false">(Inputs!$C$19*C9*1000+Inputs!$C$20*Inputs!$C$6*1000+Inputs!$C$21*C9*1000)*(1+Inputs!$C$22)+Inputs!$C$23+Inputs!$C$24</f>
        <v>141620000</v>
      </c>
      <c r="D10" s="15" t="n">
        <f aca="false">(Inputs!$C$19*D9*1000+Inputs!$C$20*Inputs!$C$6*1000+Inputs!$C$21*D9*1000)*(1+Inputs!$C$22)+Inputs!$C$23+Inputs!$C$24</f>
        <v>238640000</v>
      </c>
      <c r="E10" s="15" t="n">
        <f aca="false">(Inputs!$C$19*E9*1000+Inputs!$C$20*Inputs!$C$6*1000+Inputs!$C$21*E9*1000)*(1+Inputs!$C$22)+Inputs!$C$23+Inputs!$C$24</f>
        <v>432680000</v>
      </c>
    </row>
    <row r="11" customFormat="false" ht="15" hidden="false" customHeight="false" outlineLevel="0" collapsed="false">
      <c r="B11" s="2" t="s">
        <v>185</v>
      </c>
      <c r="C11" s="13" t="n">
        <f aca="false">C10/(Inputs!$C$6*1000)</f>
        <v>708.1</v>
      </c>
      <c r="D11" s="13" t="n">
        <f aca="false">D10/(Inputs!$C$6*1000)</f>
        <v>1193.2</v>
      </c>
      <c r="E11" s="13" t="n">
        <f aca="false">E10/(Inputs!$C$6*1000)</f>
        <v>2163.4</v>
      </c>
    </row>
    <row r="12" customFormat="false" ht="15" hidden="false" customHeight="false" outlineLevel="0" collapsed="false">
      <c r="B12" s="2" t="s">
        <v>221</v>
      </c>
      <c r="C12" s="13" t="n">
        <f aca="false">C10/(C8*1000)</f>
        <v>354.05</v>
      </c>
      <c r="D12" s="13" t="n">
        <f aca="false">D10/(D8*1000)</f>
        <v>298.3</v>
      </c>
      <c r="E12" s="13" t="n">
        <f aca="false">E10/(E8*1000)</f>
        <v>270.425</v>
      </c>
    </row>
    <row r="13" customFormat="false" ht="15" hidden="false" customHeight="false" outlineLevel="0" collapsed="false">
      <c r="B13" s="2" t="s">
        <v>134</v>
      </c>
      <c r="C13" s="10" t="n">
        <f aca="false">C8*Inputs!$C$11*Inputs!$C$10</f>
        <v>128040</v>
      </c>
      <c r="D13" s="10" t="n">
        <f aca="false">D8*Inputs!$C$11*Inputs!$C$10</f>
        <v>256080</v>
      </c>
      <c r="E13" s="10" t="n">
        <f aca="false">E8*Inputs!$C$11*Inputs!$C$10</f>
        <v>512160</v>
      </c>
    </row>
    <row r="14" customFormat="false" ht="15" hidden="false" customHeight="false" outlineLevel="0" collapsed="false">
      <c r="B14" s="2" t="s">
        <v>136</v>
      </c>
      <c r="C14" s="15" t="n">
        <f aca="false">C13*C5-C13/Inputs!$C$9*C6</f>
        <v>10939975.8139535</v>
      </c>
      <c r="D14" s="15" t="n">
        <f aca="false">D13*D5-D13/Inputs!$C$9*D6</f>
        <v>15055121.8604651</v>
      </c>
      <c r="E14" s="15" t="n">
        <f aca="false">E13*E5-E13/Inputs!$C$9*E6</f>
        <v>16889369.3023256</v>
      </c>
    </row>
    <row r="15" customFormat="false" ht="15" hidden="false" customHeight="false" outlineLevel="0" collapsed="false">
      <c r="B15" s="2" t="s">
        <v>138</v>
      </c>
      <c r="C15" s="15" t="n">
        <f aca="false">Inputs!$C$49*12*Inputs!$C$6*1000*C7</f>
        <v>9570000</v>
      </c>
      <c r="D15" s="15" t="n">
        <f aca="false">Inputs!$C$49*12*Inputs!$C$6*1000*D7</f>
        <v>14790000</v>
      </c>
      <c r="E15" s="15" t="n">
        <f aca="false">Inputs!$C$49*12*Inputs!$C$6*1000*E7</f>
        <v>16704000</v>
      </c>
    </row>
    <row r="16" customFormat="false" ht="15" hidden="false" customHeight="false" outlineLevel="0" collapsed="false">
      <c r="B16" s="2" t="s">
        <v>222</v>
      </c>
      <c r="C16" s="15" t="n">
        <f aca="false">MAX(Inputs!$C$56,Inputs!$C$54)*Inputs!$C$6*1000</f>
        <v>2800000</v>
      </c>
      <c r="D16" s="15" t="n">
        <f aca="false">MAX(Inputs!$C$56,Inputs!$C$54)*Inputs!$C$6*1000</f>
        <v>2800000</v>
      </c>
      <c r="E16" s="15" t="n">
        <f aca="false">MAX(Inputs!$C$56,Inputs!$C$54)*Inputs!$C$6*1000</f>
        <v>2800000</v>
      </c>
    </row>
    <row r="17" customFormat="false" ht="15" hidden="false" customHeight="false" outlineLevel="0" collapsed="false">
      <c r="B17" s="2" t="s">
        <v>140</v>
      </c>
      <c r="C17" s="14" t="n">
        <f aca="false">C14+C15+C16</f>
        <v>23309975.8139535</v>
      </c>
      <c r="D17" s="14" t="n">
        <f aca="false">D14+D15+D16</f>
        <v>32645121.8604651</v>
      </c>
      <c r="E17" s="14" t="n">
        <f aca="false">E14+E15+E16</f>
        <v>36393369.3023256</v>
      </c>
    </row>
    <row r="18" customFormat="false" ht="15" hidden="false" customHeight="false" outlineLevel="0" collapsed="false">
      <c r="B18" s="2" t="s">
        <v>223</v>
      </c>
      <c r="C18" s="13" t="n">
        <f aca="false">C17/(Inputs!$C$6*1000)</f>
        <v>116.549879069767</v>
      </c>
      <c r="D18" s="13" t="n">
        <f aca="false">D17/(Inputs!$C$6*1000)</f>
        <v>163.225609302326</v>
      </c>
      <c r="E18" s="13" t="n">
        <f aca="false">E17/(Inputs!$C$6*1000)</f>
        <v>181.966846511628</v>
      </c>
    </row>
    <row r="19" customFormat="false" ht="15" hidden="false" customHeight="false" outlineLevel="0" collapsed="false">
      <c r="B19" s="2" t="s">
        <v>224</v>
      </c>
      <c r="C19" s="21" t="n">
        <f aca="false">C17/C10</f>
        <v>0.164595225349199</v>
      </c>
      <c r="D19" s="21" t="n">
        <f aca="false">D17/D10</f>
        <v>0.136796521373052</v>
      </c>
      <c r="E19" s="21" t="n">
        <f aca="false">E17/E10</f>
        <v>0.084111512670624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0"/>
    <col collapsed="false" customWidth="true" hidden="false" outlineLevel="0" max="8" min="3" style="0" width="14"/>
  </cols>
  <sheetData>
    <row r="2" customFormat="false" ht="16.15" hidden="false" customHeight="false" outlineLevel="0" collapsed="false">
      <c r="B2" s="1" t="s">
        <v>225</v>
      </c>
    </row>
    <row r="4" customFormat="false" ht="15" hidden="false" customHeight="false" outlineLevel="0" collapsed="false">
      <c r="B4" s="3" t="s">
        <v>226</v>
      </c>
    </row>
    <row r="5" customFormat="false" ht="15" hidden="false" customHeight="false" outlineLevel="0" collapsed="false">
      <c r="C5" s="3" t="n">
        <v>2023</v>
      </c>
      <c r="D5" s="3" t="n">
        <v>2024</v>
      </c>
      <c r="E5" s="3" t="n">
        <v>2025</v>
      </c>
      <c r="F5" s="3" t="n">
        <v>2026</v>
      </c>
      <c r="G5" s="3" t="n">
        <v>2027</v>
      </c>
    </row>
    <row r="6" customFormat="false" ht="15" hidden="false" customHeight="false" outlineLevel="0" collapsed="false">
      <c r="C6" s="22" t="n">
        <v>-1000000</v>
      </c>
      <c r="D6" s="22" t="n">
        <v>-1500000</v>
      </c>
      <c r="E6" s="22" t="n">
        <v>-2000000</v>
      </c>
      <c r="F6" s="22" t="n">
        <v>-2000000</v>
      </c>
      <c r="G6" s="15" t="n">
        <f aca="false">Inputs!$C$25</f>
        <v>16000000</v>
      </c>
    </row>
    <row r="7" customFormat="false" ht="15" hidden="false" customHeight="false" outlineLevel="0" collapsed="false">
      <c r="B7" s="2" t="s">
        <v>227</v>
      </c>
      <c r="C7" s="15" t="n">
        <f aca="false">-SUM(C6:F6)</f>
        <v>6500000</v>
      </c>
    </row>
    <row r="8" customFormat="false" ht="15" hidden="false" customHeight="false" outlineLevel="0" collapsed="false">
      <c r="B8" s="2" t="s">
        <v>228</v>
      </c>
      <c r="C8" s="23" t="n">
        <f aca="false">G6/C7</f>
        <v>2.46153846153846</v>
      </c>
    </row>
    <row r="9" customFormat="false" ht="15" hidden="false" customHeight="false" outlineLevel="0" collapsed="false">
      <c r="B9" s="2" t="s">
        <v>229</v>
      </c>
      <c r="C9" s="17" t="n">
        <f aca="false">IRR(C6:G6,0.2)</f>
        <v>0.446649865020747</v>
      </c>
    </row>
    <row r="11" customFormat="false" ht="15" hidden="false" customHeight="false" outlineLevel="0" collapsed="false">
      <c r="B11" s="3" t="s">
        <v>230</v>
      </c>
    </row>
    <row r="12" customFormat="false" ht="15" hidden="false" customHeight="false" outlineLevel="0" collapsed="false">
      <c r="B12" s="2" t="s">
        <v>231</v>
      </c>
      <c r="C12" s="5" t="n">
        <v>0.15</v>
      </c>
    </row>
    <row r="13" customFormat="false" ht="15" hidden="false" customHeight="false" outlineLevel="0" collapsed="false">
      <c r="C13" s="3" t="s">
        <v>95</v>
      </c>
      <c r="D13" s="3" t="s">
        <v>232</v>
      </c>
      <c r="E13" s="3" t="s">
        <v>233</v>
      </c>
      <c r="F13" s="3" t="s">
        <v>234</v>
      </c>
    </row>
    <row r="14" customFormat="false" ht="15" hidden="false" customHeight="false" outlineLevel="0" collapsed="false">
      <c r="B14" s="2" t="s">
        <v>235</v>
      </c>
      <c r="C14" s="24" t="n">
        <v>2024</v>
      </c>
      <c r="D14" s="20" t="n">
        <v>0.15</v>
      </c>
      <c r="E14" s="22" t="n">
        <v>5500000</v>
      </c>
      <c r="F14" s="14" t="n">
        <f aca="false">D14*Inputs!$C$25/(1+$C$12)^(2027-C14)-E14/(1+$C$12)^((2027-C14)/2)</f>
        <v>-2881766.64679082</v>
      </c>
    </row>
    <row r="15" customFormat="false" ht="15" hidden="false" customHeight="false" outlineLevel="0" collapsed="false">
      <c r="B15" s="2" t="s">
        <v>236</v>
      </c>
      <c r="C15" s="24" t="n">
        <v>2025</v>
      </c>
      <c r="D15" s="20" t="n">
        <v>0.35</v>
      </c>
      <c r="E15" s="22" t="n">
        <v>4000000</v>
      </c>
      <c r="F15" s="14" t="n">
        <f aca="false">D15*Inputs!$C$25/(1+$C$12)^(2027-C15)-E15/(1+$C$12)^((2027-C15)/2)</f>
        <v>756143.667296787</v>
      </c>
    </row>
    <row r="16" customFormat="false" ht="15" hidden="false" customHeight="false" outlineLevel="0" collapsed="false">
      <c r="B16" s="2" t="s">
        <v>237</v>
      </c>
      <c r="C16" s="24" t="n">
        <v>2026</v>
      </c>
      <c r="D16" s="20" t="n">
        <v>0.7</v>
      </c>
      <c r="E16" s="22" t="n">
        <v>2000000</v>
      </c>
      <c r="F16" s="14" t="n">
        <f aca="false">D16*Inputs!$C$25/(1+$C$12)^(2027-C16)-E16/(1+$C$12)^((2027-C16)/2)</f>
        <v>7874120.81830198</v>
      </c>
    </row>
    <row r="17" customFormat="false" ht="15" hidden="false" customHeight="false" outlineLevel="0" collapsed="false">
      <c r="B17" s="2" t="s">
        <v>238</v>
      </c>
      <c r="C17" s="24" t="n">
        <v>2027</v>
      </c>
      <c r="D17" s="20" t="n">
        <v>1</v>
      </c>
      <c r="E17" s="22" t="n">
        <v>0</v>
      </c>
      <c r="F17" s="14" t="n">
        <f aca="false">D17*Inputs!$C$25/(1+$C$12)^(2027-C17)-E17/(1+$C$12)^((2027-C17)/2)</f>
        <v>16000000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4"/>
    <col collapsed="false" customWidth="true" hidden="false" outlineLevel="0" max="7" min="3" style="0" width="15"/>
  </cols>
  <sheetData>
    <row r="2" customFormat="false" ht="16.15" hidden="false" customHeight="false" outlineLevel="0" collapsed="false">
      <c r="B2" s="1" t="s">
        <v>239</v>
      </c>
    </row>
    <row r="3" customFormat="false" ht="15" hidden="false" customHeight="false" outlineLevel="0" collapsed="false">
      <c r="B3" s="3" t="s">
        <v>240</v>
      </c>
      <c r="D3" s="3" t="str">
        <f aca="false">IF(COUNTIF(F5:F47,"OK")=43,"ALL CHECKS OK","SEE CHECK LINES")</f>
        <v>ALL CHECKS OK</v>
      </c>
      <c r="F3" s="3" t="str">
        <f aca="false">IF(COUNTIF(F50:F55,"OK")=6,"INTEGRITY OK","SEE CHECK LINES")</f>
        <v>INTEGRITY OK</v>
      </c>
    </row>
    <row r="4" customFormat="false" ht="15" hidden="false" customHeight="false" outlineLevel="0" collapsed="false">
      <c r="B4" s="3" t="s">
        <v>241</v>
      </c>
      <c r="C4" s="3" t="s">
        <v>242</v>
      </c>
      <c r="D4" s="3" t="s">
        <v>243</v>
      </c>
      <c r="E4" s="3" t="s">
        <v>244</v>
      </c>
      <c r="F4" s="3" t="s">
        <v>245</v>
      </c>
    </row>
    <row r="5" customFormat="false" ht="15" hidden="false" customHeight="false" outlineLevel="0" collapsed="false">
      <c r="B5" s="2" t="s">
        <v>246</v>
      </c>
      <c r="C5" s="15" t="n">
        <v>238600000</v>
      </c>
      <c r="D5" s="15" t="n">
        <f aca="false">Credit!$C$11</f>
        <v>238640000</v>
      </c>
      <c r="E5" s="15" t="n">
        <v>50000</v>
      </c>
      <c r="F5" s="3" t="str">
        <f aca="false">IF(ISNUMBER(D5),IF(ABS(D5-C5)&lt;=E5,"OK","CHECK"),"CHECK")</f>
        <v>OK</v>
      </c>
    </row>
    <row r="6" customFormat="false" ht="15" hidden="false" customHeight="false" outlineLevel="0" collapsed="false">
      <c r="B6" s="2" t="s">
        <v>247</v>
      </c>
      <c r="C6" s="15" t="n">
        <v>76900000</v>
      </c>
      <c r="D6" s="15" t="n">
        <f aca="false">Credit!$C$16</f>
        <v>76870080</v>
      </c>
      <c r="E6" s="15" t="n">
        <v>50000</v>
      </c>
      <c r="F6" s="3" t="str">
        <f aca="false">IF(ISNUMBER(D6),IF(ABS(D6-C6)&lt;=E6,"OK","CHECK"),"CHECK")</f>
        <v>OK</v>
      </c>
    </row>
    <row r="7" customFormat="false" ht="15" hidden="false" customHeight="false" outlineLevel="0" collapsed="false">
      <c r="B7" s="2" t="s">
        <v>248</v>
      </c>
      <c r="C7" s="15" t="n">
        <v>206600000</v>
      </c>
      <c r="D7" s="15" t="n">
        <f aca="false">Credit!$C$14</f>
        <v>206640000</v>
      </c>
      <c r="E7" s="15" t="n">
        <v>50000</v>
      </c>
      <c r="F7" s="3" t="str">
        <f aca="false">IF(ISNUMBER(D7),IF(ABS(D7-C7)&lt;=E7,"OK","CHECK"),"CHECK")</f>
        <v>OK</v>
      </c>
    </row>
    <row r="8" customFormat="false" ht="15" hidden="false" customHeight="false" outlineLevel="0" collapsed="false">
      <c r="B8" s="2" t="s">
        <v>249</v>
      </c>
      <c r="C8" s="15" t="n">
        <v>71800000</v>
      </c>
      <c r="D8" s="15" t="n">
        <f aca="false">Credit!$C$21</f>
        <v>71841196.2616822</v>
      </c>
      <c r="E8" s="15" t="n">
        <v>50000</v>
      </c>
      <c r="F8" s="3" t="str">
        <f aca="false">IF(ISNUMBER(D8),IF(ABS(D8-C8)&lt;=E8,"OK","CHECK"),"CHECK")</f>
        <v>OK</v>
      </c>
    </row>
    <row r="9" customFormat="false" ht="15" hidden="false" customHeight="false" outlineLevel="0" collapsed="false">
      <c r="B9" s="2" t="s">
        <v>250</v>
      </c>
      <c r="C9" s="15" t="n">
        <v>28300000</v>
      </c>
      <c r="D9" s="15" t="n">
        <f aca="false">Fleet!$C$37</f>
        <v>28290694.5547965</v>
      </c>
      <c r="E9" s="15" t="n">
        <v>50000</v>
      </c>
      <c r="F9" s="3" t="str">
        <f aca="false">IF(ISNUMBER(D9),IF(ABS(D9-C9)&lt;=E9,"OK","CHECK"),"CHECK")</f>
        <v>OK</v>
      </c>
    </row>
    <row r="10" customFormat="false" ht="15" hidden="false" customHeight="false" outlineLevel="0" collapsed="false">
      <c r="B10" s="2" t="s">
        <v>251</v>
      </c>
      <c r="C10" s="15" t="n">
        <v>310</v>
      </c>
      <c r="D10" s="15" t="n">
        <f aca="false">Fleet!$C$36</f>
        <v>310</v>
      </c>
      <c r="E10" s="15" t="n">
        <v>0.5</v>
      </c>
      <c r="F10" s="3" t="str">
        <f aca="false">IF(ISNUMBER(D10),IF(ABS(D10-C10)&lt;=E10,"OK","CHECK"),"CHECK")</f>
        <v>OK</v>
      </c>
    </row>
    <row r="11" customFormat="false" ht="15" hidden="false" customHeight="false" outlineLevel="0" collapsed="false">
      <c r="B11" s="2" t="s">
        <v>252</v>
      </c>
      <c r="C11" s="15" t="n">
        <v>1410000</v>
      </c>
      <c r="D11" s="15" t="n">
        <f aca="false">Fleet!$C$38</f>
        <v>1414534.72773983</v>
      </c>
      <c r="E11" s="15" t="n">
        <v>5000</v>
      </c>
      <c r="F11" s="3" t="str">
        <f aca="false">IF(ISNUMBER(D11),IF(ABS(D11-C11)&lt;=E11,"OK","CHECK"),"CHECK")</f>
        <v>OK</v>
      </c>
    </row>
    <row r="12" customFormat="false" ht="15" hidden="false" customHeight="false" outlineLevel="0" collapsed="false">
      <c r="B12" s="2" t="s">
        <v>253</v>
      </c>
      <c r="C12" s="15" t="n">
        <v>15060000</v>
      </c>
      <c r="D12" s="15" t="n">
        <f aca="false">Merchant!D$14</f>
        <v>15055121.8604651</v>
      </c>
      <c r="E12" s="15" t="n">
        <v>5000</v>
      </c>
      <c r="F12" s="3" t="str">
        <f aca="false">IF(ISNUMBER(D12),IF(ABS(D12-C12)&lt;=E12,"OK","CHECK"),"CHECK")</f>
        <v>OK</v>
      </c>
    </row>
    <row r="13" customFormat="false" ht="15" hidden="false" customHeight="false" outlineLevel="0" collapsed="false">
      <c r="B13" s="2" t="s">
        <v>254</v>
      </c>
      <c r="C13" s="15" t="n">
        <v>14790000</v>
      </c>
      <c r="D13" s="15" t="n">
        <f aca="false">Merchant!D$16</f>
        <v>14790000</v>
      </c>
      <c r="E13" s="15" t="n">
        <v>5000</v>
      </c>
      <c r="F13" s="3" t="str">
        <f aca="false">IF(ISNUMBER(D13),IF(ABS(D13-C13)&lt;=E13,"OK","CHECK"),"CHECK")</f>
        <v>OK</v>
      </c>
    </row>
    <row r="14" customFormat="false" ht="15" hidden="false" customHeight="false" outlineLevel="0" collapsed="false">
      <c r="B14" s="2" t="s">
        <v>255</v>
      </c>
      <c r="C14" s="15" t="n">
        <v>32650000</v>
      </c>
      <c r="D14" s="15" t="n">
        <f aca="false">Merchant!D$18</f>
        <v>32645121.8604651</v>
      </c>
      <c r="E14" s="15" t="n">
        <v>5000</v>
      </c>
      <c r="F14" s="3" t="str">
        <f aca="false">IF(ISNUMBER(D14),IF(ABS(D14-C14)&lt;=E14,"OK","CHECK"),"CHECK")</f>
        <v>OK</v>
      </c>
    </row>
    <row r="15" customFormat="false" ht="15" hidden="false" customHeight="false" outlineLevel="0" collapsed="false">
      <c r="B15" s="2" t="s">
        <v>256</v>
      </c>
      <c r="C15" s="15" t="n">
        <v>27830000</v>
      </c>
      <c r="D15" s="15" t="n">
        <f aca="false">Merchant!M$18</f>
        <v>27828891.6491274</v>
      </c>
      <c r="E15" s="15" t="n">
        <v>5000</v>
      </c>
      <c r="F15" s="3" t="str">
        <f aca="false">IF(ISNUMBER(D15),IF(ABS(D15-C15)&lt;=E15,"OK","CHECK"),"CHECK")</f>
        <v>OK</v>
      </c>
    </row>
    <row r="16" customFormat="false" ht="15" hidden="false" customHeight="false" outlineLevel="0" collapsed="false">
      <c r="B16" s="2" t="s">
        <v>257</v>
      </c>
      <c r="C16" s="15" t="n">
        <v>5660000</v>
      </c>
      <c r="D16" s="15" t="n">
        <f aca="false">Cases!D$7</f>
        <v>5662520</v>
      </c>
      <c r="E16" s="15" t="n">
        <v>5000</v>
      </c>
      <c r="F16" s="3" t="str">
        <f aca="false">IF(ISNUMBER(D16),IF(ABS(D16-C16)&lt;=E16,"OK","CHECK"),"CHECK")</f>
        <v>OK</v>
      </c>
    </row>
    <row r="17" customFormat="false" ht="15" hidden="false" customHeight="false" outlineLevel="0" collapsed="false">
      <c r="B17" s="2" t="s">
        <v>258</v>
      </c>
      <c r="C17" s="15" t="n">
        <v>1000000</v>
      </c>
      <c r="D17" s="15" t="n">
        <f aca="false">Cases!$C$26</f>
        <v>1026118.31113333</v>
      </c>
      <c r="E17" s="15" t="n">
        <v>50000</v>
      </c>
      <c r="F17" s="3" t="str">
        <f aca="false">IF(ISNUMBER(D17),IF(ABS(D17-C17)&lt;=E17,"OK","CHECK"),"CHECK")</f>
        <v>OK</v>
      </c>
    </row>
    <row r="18" customFormat="false" ht="15" hidden="false" customHeight="false" outlineLevel="0" collapsed="false">
      <c r="B18" s="2" t="s">
        <v>259</v>
      </c>
      <c r="C18" s="15" t="n">
        <v>174000000</v>
      </c>
      <c r="D18" s="15" t="n">
        <f aca="false">Cases!$C$27</f>
        <v>173975572.661116</v>
      </c>
      <c r="E18" s="15" t="n">
        <v>50000</v>
      </c>
      <c r="F18" s="3" t="str">
        <f aca="false">IF(ISNUMBER(D18),IF(ABS(D18-C18)&lt;=E18,"OK","CHECK"),"CHECK")</f>
        <v>OK</v>
      </c>
    </row>
    <row r="19" customFormat="false" ht="15" hidden="false" customHeight="false" outlineLevel="0" collapsed="false">
      <c r="B19" s="2" t="s">
        <v>260</v>
      </c>
      <c r="C19" s="25" t="n">
        <v>0.0992</v>
      </c>
      <c r="D19" s="25" t="n">
        <f aca="false">Cases!$C$29</f>
        <v>0.0992128726692748</v>
      </c>
      <c r="E19" s="25" t="n">
        <v>5E-005</v>
      </c>
      <c r="F19" s="3" t="str">
        <f aca="false">IF(ISNUMBER(D19),IF(ABS(D19-C19)&lt;=E19,"OK","CHECK"),"CHECK")</f>
        <v>OK</v>
      </c>
    </row>
    <row r="20" customFormat="false" ht="15" hidden="false" customHeight="false" outlineLevel="0" collapsed="false">
      <c r="B20" s="2" t="s">
        <v>261</v>
      </c>
      <c r="C20" s="15" t="n">
        <v>20000000</v>
      </c>
      <c r="D20" s="15" t="n">
        <f aca="false">Cases!$C$52</f>
        <v>19995134.1174919</v>
      </c>
      <c r="E20" s="15" t="n">
        <v>50000</v>
      </c>
      <c r="F20" s="3" t="str">
        <f aca="false">IF(ISNUMBER(D20),IF(ABS(D20-C20)&lt;=E20,"OK","CHECK"),"CHECK")</f>
        <v>OK</v>
      </c>
    </row>
    <row r="21" customFormat="false" ht="15" hidden="false" customHeight="false" outlineLevel="0" collapsed="false">
      <c r="B21" s="2" t="s">
        <v>262</v>
      </c>
      <c r="C21" s="15" t="n">
        <v>189900000</v>
      </c>
      <c r="D21" s="15" t="n">
        <f aca="false">Cases!$C$53</f>
        <v>189922035.218998</v>
      </c>
      <c r="E21" s="15" t="n">
        <v>50000</v>
      </c>
      <c r="F21" s="3" t="str">
        <f aca="false">IF(ISNUMBER(D21),IF(ABS(D21-C21)&lt;=E21,"OK","CHECK"),"CHECK")</f>
        <v>OK</v>
      </c>
    </row>
    <row r="22" customFormat="false" ht="15" hidden="false" customHeight="false" outlineLevel="0" collapsed="false">
      <c r="B22" s="2" t="s">
        <v>263</v>
      </c>
      <c r="C22" s="25" t="n">
        <v>0.0946</v>
      </c>
      <c r="D22" s="25" t="n">
        <f aca="false">Cases!$C$55</f>
        <v>0.094616013999544</v>
      </c>
      <c r="E22" s="25" t="n">
        <v>5E-005</v>
      </c>
      <c r="F22" s="3" t="str">
        <f aca="false">IF(ISNUMBER(D22),IF(ABS(D22-C22)&lt;=E22,"OK","CHECK"),"CHECK")</f>
        <v>OK</v>
      </c>
    </row>
    <row r="23" customFormat="false" ht="15" hidden="false" customHeight="false" outlineLevel="0" collapsed="false">
      <c r="B23" s="2" t="s">
        <v>264</v>
      </c>
      <c r="C23" s="15" t="n">
        <v>11800000</v>
      </c>
      <c r="D23" s="15" t="n">
        <f aca="false">Cases!$C$78</f>
        <v>11847433.9431421</v>
      </c>
      <c r="E23" s="15" t="n">
        <v>50000</v>
      </c>
      <c r="F23" s="3" t="str">
        <f aca="false">IF(ISNUMBER(D23),IF(ABS(D23-C23)&lt;=E23,"OK","CHECK"),"CHECK")</f>
        <v>OK</v>
      </c>
    </row>
    <row r="24" customFormat="false" ht="15" hidden="false" customHeight="false" outlineLevel="0" collapsed="false">
      <c r="B24" s="2" t="s">
        <v>265</v>
      </c>
      <c r="C24" s="15" t="n">
        <v>181900000</v>
      </c>
      <c r="D24" s="15" t="n">
        <f aca="false">Cases!$C$79</f>
        <v>181886456.339325</v>
      </c>
      <c r="E24" s="15" t="n">
        <v>50000</v>
      </c>
      <c r="F24" s="3" t="str">
        <f aca="false">IF(ISNUMBER(D24),IF(ABS(D24-C24)&lt;=E24,"OK","CHECK"),"CHECK")</f>
        <v>OK</v>
      </c>
    </row>
    <row r="25" customFormat="false" ht="15" hidden="false" customHeight="false" outlineLevel="0" collapsed="false">
      <c r="B25" s="2" t="s">
        <v>266</v>
      </c>
      <c r="C25" s="25" t="n">
        <v>0.0915</v>
      </c>
      <c r="D25" s="25" t="n">
        <f aca="false">Cases!$C$81</f>
        <v>0.0915399801450929</v>
      </c>
      <c r="E25" s="25" t="n">
        <v>5E-005</v>
      </c>
      <c r="F25" s="3" t="str">
        <f aca="false">IF(ISNUMBER(D25),IF(ABS(D25-C25)&lt;=E25,"OK","CHECK"),"CHECK")</f>
        <v>OK</v>
      </c>
    </row>
    <row r="26" customFormat="false" ht="15" hidden="false" customHeight="false" outlineLevel="0" collapsed="false">
      <c r="B26" s="2" t="s">
        <v>267</v>
      </c>
      <c r="C26" s="15" t="n">
        <v>64300000</v>
      </c>
      <c r="D26" s="15" t="n">
        <f aca="false">Debt!$C$12</f>
        <v>64263265.6713817</v>
      </c>
      <c r="E26" s="15" t="n">
        <v>50000</v>
      </c>
      <c r="F26" s="3" t="str">
        <f aca="false">IF(ISNUMBER(D26),IF(ABS(D26-C26)&lt;=E26,"OK","CHECK"),"CHECK")</f>
        <v>OK</v>
      </c>
    </row>
    <row r="27" customFormat="false" ht="15" hidden="false" customHeight="false" outlineLevel="0" collapsed="false">
      <c r="B27" s="2" t="s">
        <v>268</v>
      </c>
      <c r="C27" s="15" t="n">
        <v>118500000</v>
      </c>
      <c r="D27" s="15" t="n">
        <f aca="false">Debt!$C$13</f>
        <v>118535538.066936</v>
      </c>
      <c r="E27" s="15" t="n">
        <v>50000</v>
      </c>
      <c r="F27" s="3" t="str">
        <f aca="false">IF(ISNUMBER(D27),IF(ABS(D27-C27)&lt;=E27,"OK","CHECK"),"CHECK")</f>
        <v>OK</v>
      </c>
    </row>
    <row r="28" customFormat="false" ht="15" hidden="false" customHeight="false" outlineLevel="0" collapsed="false">
      <c r="B28" s="2" t="s">
        <v>269</v>
      </c>
      <c r="C28" s="25" t="n">
        <v>0.1083</v>
      </c>
      <c r="D28" s="25" t="n">
        <f aca="false">Debt!$C$14</f>
        <v>0.108261856959572</v>
      </c>
      <c r="E28" s="25" t="n">
        <v>5E-005</v>
      </c>
      <c r="F28" s="3" t="str">
        <f aca="false">IF(ISNUMBER(D28),IF(ABS(D28-C28)&lt;=E28,"OK","CHECK"),"CHECK")</f>
        <v>OK</v>
      </c>
    </row>
    <row r="29" customFormat="false" ht="15" hidden="false" customHeight="false" outlineLevel="0" collapsed="false">
      <c r="B29" s="2" t="s">
        <v>270</v>
      </c>
      <c r="C29" s="15" t="n">
        <v>120100000</v>
      </c>
      <c r="D29" s="15" t="n">
        <f aca="false">Debt!$C$24</f>
        <v>120120333.053282</v>
      </c>
      <c r="E29" s="15" t="n">
        <v>50000</v>
      </c>
      <c r="F29" s="3" t="str">
        <f aca="false">IF(ISNUMBER(D29),IF(ABS(D29-C29)&lt;=E29,"OK","CHECK"),"CHECK")</f>
        <v>OK</v>
      </c>
    </row>
    <row r="30" customFormat="false" ht="15" hidden="false" customHeight="false" outlineLevel="0" collapsed="false">
      <c r="B30" s="2" t="s">
        <v>271</v>
      </c>
      <c r="C30" s="15" t="n">
        <v>62700000</v>
      </c>
      <c r="D30" s="15" t="n">
        <f aca="false">Debt!$C$25</f>
        <v>62678470.6850354</v>
      </c>
      <c r="E30" s="15" t="n">
        <v>50000</v>
      </c>
      <c r="F30" s="3" t="str">
        <f aca="false">IF(ISNUMBER(D30),IF(ABS(D30-C30)&lt;=E30,"OK","CHECK"),"CHECK")</f>
        <v>OK</v>
      </c>
    </row>
    <row r="31" customFormat="false" ht="15" hidden="false" customHeight="false" outlineLevel="0" collapsed="false">
      <c r="B31" s="2" t="s">
        <v>272</v>
      </c>
      <c r="C31" s="25" t="n">
        <v>0.1183</v>
      </c>
      <c r="D31" s="25" t="n">
        <f aca="false">Debt!$C$26</f>
        <v>0.118261929474758</v>
      </c>
      <c r="E31" s="25" t="n">
        <v>5E-005</v>
      </c>
      <c r="F31" s="3" t="str">
        <f aca="false">IF(ISNUMBER(D31),IF(ABS(D31-C31)&lt;=E31,"OK","CHECK"),"CHECK")</f>
        <v>OK</v>
      </c>
    </row>
    <row r="32" customFormat="false" ht="15" hidden="false" customHeight="false" outlineLevel="0" collapsed="false">
      <c r="B32" s="2" t="s">
        <v>273</v>
      </c>
      <c r="C32" s="15" t="n">
        <v>107000000</v>
      </c>
      <c r="D32" s="15" t="n">
        <f aca="false">Debt!$C$36</f>
        <v>107022358.13085</v>
      </c>
      <c r="E32" s="15" t="n">
        <v>50000</v>
      </c>
      <c r="F32" s="3" t="str">
        <f aca="false">IF(ISNUMBER(D32),IF(ABS(D32-C32)&lt;=E32,"OK","CHECK"),"CHECK")</f>
        <v>OK</v>
      </c>
    </row>
    <row r="33" customFormat="false" ht="15" hidden="false" customHeight="false" outlineLevel="0" collapsed="false">
      <c r="B33" s="2" t="s">
        <v>274</v>
      </c>
      <c r="C33" s="15" t="n">
        <v>75800000</v>
      </c>
      <c r="D33" s="15" t="n">
        <f aca="false">Debt!$C$37</f>
        <v>75776445.607468</v>
      </c>
      <c r="E33" s="15" t="n">
        <v>50000</v>
      </c>
      <c r="F33" s="3" t="str">
        <f aca="false">IF(ISNUMBER(D33),IF(ABS(D33-C33)&lt;=E33,"OK","CHECK"),"CHECK")</f>
        <v>OK</v>
      </c>
    </row>
    <row r="34" customFormat="false" ht="15" hidden="false" customHeight="false" outlineLevel="0" collapsed="false">
      <c r="B34" s="2" t="s">
        <v>275</v>
      </c>
      <c r="C34" s="25" t="n">
        <v>0.1084</v>
      </c>
      <c r="D34" s="25" t="n">
        <f aca="false">Debt!$C$38</f>
        <v>0.108435104756663</v>
      </c>
      <c r="E34" s="25" t="n">
        <v>5E-005</v>
      </c>
      <c r="F34" s="3" t="str">
        <f aca="false">IF(ISNUMBER(D34),IF(ABS(D34-C34)&lt;=E34,"OK","CHECK"),"CHECK")</f>
        <v>OK</v>
      </c>
    </row>
    <row r="35" customFormat="false" ht="15" hidden="false" customHeight="false" outlineLevel="0" collapsed="false">
      <c r="B35" s="2" t="s">
        <v>276</v>
      </c>
      <c r="C35" s="15" t="n">
        <v>55500000</v>
      </c>
      <c r="D35" s="15" t="n">
        <f aca="false">Debt!$C$48</f>
        <v>55469895.0640162</v>
      </c>
      <c r="E35" s="15" t="n">
        <v>50000</v>
      </c>
      <c r="F35" s="3" t="str">
        <f aca="false">IF(ISNUMBER(D35),IF(ABS(D35-C35)&lt;=E35,"OK","CHECK"),"CHECK")</f>
        <v>OK</v>
      </c>
    </row>
    <row r="36" customFormat="false" ht="15" hidden="false" customHeight="false" outlineLevel="0" collapsed="false">
      <c r="B36" s="2" t="s">
        <v>277</v>
      </c>
      <c r="C36" s="15" t="n">
        <v>17170000</v>
      </c>
      <c r="D36" s="15" t="n">
        <f aca="false">Debt!$D$22</f>
        <v>17171496.3632771</v>
      </c>
      <c r="E36" s="15" t="n">
        <v>5000</v>
      </c>
      <c r="F36" s="3" t="str">
        <f aca="false">IF(ISNUMBER(D36),IF(ABS(D36-C36)&lt;=E36,"OK","CHECK"),"CHECK")</f>
        <v>OK</v>
      </c>
    </row>
    <row r="37" customFormat="false" ht="15" hidden="false" customHeight="false" outlineLevel="0" collapsed="false">
      <c r="B37" s="2" t="s">
        <v>278</v>
      </c>
      <c r="C37" s="15" t="n">
        <v>140000000</v>
      </c>
      <c r="D37" s="15" t="n">
        <f aca="false">Cases!$C$28</f>
        <v>140024549.584703</v>
      </c>
      <c r="E37" s="15" t="n">
        <v>50000</v>
      </c>
      <c r="F37" s="3" t="str">
        <f aca="false">IF(ISNUMBER(D37),IF(ABS(D37-C37)&lt;=E37,"OK","CHECK"),"CHECK")</f>
        <v>OK</v>
      </c>
    </row>
    <row r="38" customFormat="false" ht="15" hidden="false" customHeight="false" outlineLevel="0" collapsed="false">
      <c r="B38" s="2" t="s">
        <v>279</v>
      </c>
      <c r="C38" s="15" t="n">
        <v>151000000</v>
      </c>
      <c r="D38" s="15" t="n">
        <f aca="false">Cases!$C$54</f>
        <v>150951176.457424</v>
      </c>
      <c r="E38" s="15" t="n">
        <v>50000</v>
      </c>
      <c r="F38" s="3" t="str">
        <f aca="false">IF(ISNUMBER(D38),IF(ABS(D38-C38)&lt;=E38,"OK","CHECK"),"CHECK")</f>
        <v>OK</v>
      </c>
    </row>
    <row r="39" customFormat="false" ht="15" hidden="false" customHeight="false" outlineLevel="0" collapsed="false">
      <c r="B39" s="2" t="s">
        <v>280</v>
      </c>
      <c r="C39" s="25" t="n">
        <v>0.32</v>
      </c>
      <c r="D39" s="25" t="n">
        <f aca="false">Credit!$D$34</f>
        <v>0.32</v>
      </c>
      <c r="E39" s="25" t="n">
        <v>0.0005</v>
      </c>
      <c r="F39" s="3" t="str">
        <f aca="false">IF(ISNUMBER(D39),IF(ABS(D39-C39)&lt;=E39,"OK","CHECK"),"CHECK")</f>
        <v>OK</v>
      </c>
    </row>
    <row r="40" customFormat="false" ht="15" hidden="false" customHeight="false" outlineLevel="0" collapsed="false">
      <c r="B40" s="2" t="s">
        <v>281</v>
      </c>
      <c r="C40" s="25" t="n">
        <v>0.88</v>
      </c>
      <c r="D40" s="25" t="n">
        <f aca="false">Credit!$E$34</f>
        <v>0.88</v>
      </c>
      <c r="E40" s="25" t="n">
        <v>0.0005</v>
      </c>
      <c r="F40" s="3" t="str">
        <f aca="false">IF(ISNUMBER(D40),IF(ABS(D40-C40)&lt;=E40,"OK","CHECK"),"CHECK")</f>
        <v>OK</v>
      </c>
    </row>
    <row r="41" customFormat="false" ht="15" hidden="false" customHeight="false" outlineLevel="0" collapsed="false">
      <c r="B41" s="2" t="s">
        <v>282</v>
      </c>
      <c r="C41" s="25" t="n">
        <v>0.54</v>
      </c>
      <c r="D41" s="25" t="n">
        <f aca="false">Credit!$F$34</f>
        <v>0.54</v>
      </c>
      <c r="E41" s="25" t="n">
        <v>0.0005</v>
      </c>
      <c r="F41" s="3" t="str">
        <f aca="false">IF(ISNUMBER(D41),IF(ABS(D41-C41)&lt;=E41,"OK","CHECK"),"CHECK")</f>
        <v>OK</v>
      </c>
    </row>
    <row r="42" customFormat="false" ht="15" hidden="false" customHeight="false" outlineLevel="0" collapsed="false">
      <c r="B42" s="2" t="s">
        <v>283</v>
      </c>
      <c r="C42" s="25" t="n">
        <v>0.165</v>
      </c>
      <c r="D42" s="25" t="n">
        <f aca="false">Duration!$C$19</f>
        <v>0.164595225349199</v>
      </c>
      <c r="E42" s="25" t="n">
        <v>0.0005</v>
      </c>
      <c r="F42" s="3" t="str">
        <f aca="false">IF(ISNUMBER(D42),IF(ABS(D42-C42)&lt;=E42,"OK","CHECK"),"CHECK")</f>
        <v>OK</v>
      </c>
    </row>
    <row r="43" customFormat="false" ht="15" hidden="false" customHeight="false" outlineLevel="0" collapsed="false">
      <c r="B43" s="2" t="s">
        <v>284</v>
      </c>
      <c r="C43" s="25" t="n">
        <v>0.137</v>
      </c>
      <c r="D43" s="25" t="n">
        <f aca="false">Duration!$D$19</f>
        <v>0.136796521373052</v>
      </c>
      <c r="E43" s="25" t="n">
        <v>0.0005</v>
      </c>
      <c r="F43" s="3" t="str">
        <f aca="false">IF(ISNUMBER(D43),IF(ABS(D43-C43)&lt;=E43,"OK","CHECK"),"CHECK")</f>
        <v>OK</v>
      </c>
    </row>
    <row r="44" customFormat="false" ht="15" hidden="false" customHeight="false" outlineLevel="0" collapsed="false">
      <c r="B44" s="2" t="s">
        <v>285</v>
      </c>
      <c r="C44" s="25" t="n">
        <v>0.084</v>
      </c>
      <c r="D44" s="25" t="n">
        <f aca="false">Duration!$E$19</f>
        <v>0.084111512670624</v>
      </c>
      <c r="E44" s="25" t="n">
        <v>0.0005</v>
      </c>
      <c r="F44" s="3" t="str">
        <f aca="false">IF(ISNUMBER(D44),IF(ABS(D44-C44)&lt;=E44,"OK","CHECK"),"CHECK")</f>
        <v>OK</v>
      </c>
    </row>
    <row r="45" customFormat="false" ht="15" hidden="false" customHeight="false" outlineLevel="0" collapsed="false">
      <c r="B45" s="2" t="s">
        <v>286</v>
      </c>
      <c r="C45" s="25" t="n">
        <v>2.46</v>
      </c>
      <c r="D45" s="25" t="n">
        <f aca="false">Development!$C$8</f>
        <v>2.46153846153846</v>
      </c>
      <c r="E45" s="25" t="n">
        <v>0.005</v>
      </c>
      <c r="F45" s="3" t="str">
        <f aca="false">IF(ISNUMBER(D45),IF(ABS(D45-C45)&lt;=E45,"OK","CHECK"),"CHECK")</f>
        <v>OK</v>
      </c>
    </row>
    <row r="46" customFormat="false" ht="15" hidden="false" customHeight="false" outlineLevel="0" collapsed="false">
      <c r="B46" s="2" t="s">
        <v>287</v>
      </c>
      <c r="C46" s="25" t="n">
        <v>0.447</v>
      </c>
      <c r="D46" s="25" t="n">
        <f aca="false">Development!$C$9</f>
        <v>0.446649865020747</v>
      </c>
      <c r="E46" s="25" t="n">
        <v>0.0005</v>
      </c>
      <c r="F46" s="3" t="str">
        <f aca="false">IF(ISNUMBER(D46),IF(ABS(D46-C46)&lt;=E46,"OK","CHECK"),"CHECK")</f>
        <v>OK</v>
      </c>
    </row>
    <row r="47" customFormat="false" ht="15" hidden="false" customHeight="false" outlineLevel="0" collapsed="false">
      <c r="B47" s="2" t="s">
        <v>288</v>
      </c>
      <c r="C47" s="15" t="n">
        <v>7900000</v>
      </c>
      <c r="D47" s="15" t="n">
        <f aca="false">Development!$F$16</f>
        <v>7874120.81830198</v>
      </c>
      <c r="E47" s="15" t="n">
        <v>50000</v>
      </c>
      <c r="F47" s="3" t="str">
        <f aca="false">IF(ISNUMBER(D47),IF(ABS(D47-C47)&lt;=E47,"OK","CHECK"),"CHECK")</f>
        <v>OK</v>
      </c>
    </row>
    <row r="49" customFormat="false" ht="15" hidden="false" customHeight="false" outlineLevel="0" collapsed="false">
      <c r="B49" s="3" t="s">
        <v>289</v>
      </c>
    </row>
    <row r="50" customFormat="false" ht="15" hidden="false" customHeight="false" outlineLevel="0" collapsed="false">
      <c r="B50" s="2" t="s">
        <v>290</v>
      </c>
      <c r="F50" s="3" t="str">
        <f aca="false">IF(Inputs!$C$85=0,"OK",IF(Fleet!$C$39&gt;=Inputs!$C$7-0.000001,"OK","CHECK"))</f>
        <v>OK</v>
      </c>
    </row>
    <row r="51" customFormat="false" ht="15" hidden="false" customHeight="false" outlineLevel="0" collapsed="false">
      <c r="B51" s="2" t="s">
        <v>291</v>
      </c>
      <c r="F51" s="3" t="str">
        <f aca="false">IF(Inputs!$C$11&lt;=Inputs!$C$12,"OK","CHECK")</f>
        <v>OK</v>
      </c>
    </row>
    <row r="52" customFormat="false" ht="15" hidden="false" customHeight="false" outlineLevel="0" collapsed="false">
      <c r="B52" s="2" t="s">
        <v>292</v>
      </c>
      <c r="F52" s="3" t="str">
        <f aca="false">IF(ABS(Credit!$C$33-1)&lt;0.000000001,"OK","CHECK")</f>
        <v>OK</v>
      </c>
    </row>
    <row r="53" customFormat="false" ht="15" hidden="false" customHeight="false" outlineLevel="0" collapsed="false">
      <c r="B53" s="2" t="s">
        <v>293</v>
      </c>
      <c r="F53" s="3" t="str">
        <f aca="false">IF(ABS(Merchant!D$16-Inputs!$C$49*(1+Inputs!$C$82)*12*Inputs!$C$6*1000*Merchant!D$15*Merchant!D$11/Inputs!$C$7*Inputs!$C$86/Inputs!$C$10)&lt;1,"OK","CHECK")</f>
        <v>OK</v>
      </c>
    </row>
    <row r="54" customFormat="false" ht="15" hidden="false" customHeight="false" outlineLevel="0" collapsed="false">
      <c r="B54" s="2" t="s">
        <v>294</v>
      </c>
      <c r="F54" s="3" t="str">
        <f aca="false">IF(ABS(SUM(Cases!$D$20:$W$20)-SUM(Cases!$D$18:$W$18)-SUM(Cases!$D$19:$W$19))+ABS(SUM(Cases!$D$46:$W$46)-SUM(Cases!$D$44:$W$44)-SUM(Cases!$D$45:$W$45))+ABS(SUM(Cases!$D$72:$W$72)-SUM(Cases!$D$70:$W$70)-SUM(Cases!$D$71:$W$71))&lt;1,"OK","CHECK")</f>
        <v>OK</v>
      </c>
    </row>
    <row r="55" customFormat="false" ht="15" hidden="false" customHeight="false" outlineLevel="0" collapsed="false">
      <c r="B55" s="2" t="s">
        <v>295</v>
      </c>
      <c r="F55" s="3" t="str">
        <f aca="false">IF(AND(Inputs!$C$68&gt;=Inputs!$C$67),"OK","CHECK")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2026-10-09T20:54:51Z</dcterms:created>
  <dc:creator>openpyxl</dc:creator>
  <dc:description/>
  <dc:language>en-US</dc:language>
  <cp:lastModifiedBy/>
  <dcterms:modified xsi:type="dcterms:W3CDTF">2026-10-09T20:54:51Z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