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Model" sheetId="3" state="visible" r:id="rId5"/>
    <sheet name="Backing Out" sheetId="4" state="visible" r:id="rId6"/>
    <sheet name="The Seller's Bridge" sheetId="5" state="visible" r:id="rId7"/>
    <sheet name="Other Solves" sheetId="6" state="visible" r:id="rId8"/>
    <sheet name="Checks" sheetId="7" state="visible" r:id="rId9"/>
  </sheets>
  <definedNames>
    <definedName function="false" hidden="false" name="CAPEX0" vbProcedure="false">Inputs!$B$11</definedName>
    <definedName function="false" hidden="false" name="CGT" vbProcedure="false">Inputs!$B$32</definedName>
    <definedName function="false" hidden="false" name="DA0" vbProcedure="false">Inputs!$B$9</definedName>
    <definedName function="false" hidden="false" name="DEALS" vbProcedure="false">Inputs!$B$44:$B$48</definedName>
    <definedName function="false" hidden="false" name="DWC0" vbProcedure="false">Inputs!$B$12</definedName>
    <definedName function="false" hidden="false" name="EBITDA0" vbProcedure="false">Inputs!$B$15</definedName>
    <definedName function="false" hidden="false" name="EVDCF" vbProcedure="false">'The Model'!$B$20</definedName>
    <definedName function="false" hidden="false" name="FCF5" vbProcedure="false">'The Model'!$D$12</definedName>
    <definedName function="false" hidden="false" name="FEES" vbProcedure="false">Inputs!$B$30</definedName>
    <definedName function="false" hidden="false" name="GR" vbProcedure="false">Inputs!$B$22:$B$26</definedName>
    <definedName function="false" hidden="false" name="GTERM" vbProcedure="false">Inputs!$B$20</definedName>
    <definedName function="false" hidden="false" name="MARGIN" vbProcedure="false">Inputs!$B$8</definedName>
    <definedName function="false" hidden="false" name="NETDEBT" vbProcedure="false">Inputs!$B$13</definedName>
    <definedName function="false" hidden="false" name="PEERS" vbProcedure="false">Inputs!$B$37:$B$41</definedName>
    <definedName function="false" hidden="false" name="PVFLOWS" vbProcedure="false">'The Model'!$F$13</definedName>
    <definedName function="false" hidden="false" name="REV0" vbProcedure="false">Inputs!$B$7</definedName>
    <definedName function="false" hidden="false" name="SHARES" vbProcedure="false">Inputs!$B$14</definedName>
    <definedName function="false" hidden="false" name="TAXBASE" vbProcedure="false">Inputs!$B$31</definedName>
    <definedName function="false" hidden="false" name="TAXR" vbProcedure="false">Inputs!$B$10</definedName>
    <definedName function="false" hidden="false" name="WACC" vbProcedure="false">Inputs!$B$19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<sst xmlns="http://schemas.openxmlformats.org/spreadsheetml/2006/main" count="228" uniqueCount="179">
  <si>
    <t xml:space="preserve">Workbook 4 - Backing Out the Assumption</t>
  </si>
  <si>
    <t xml:space="preserve">Companion to Business Valuation by Julian R. Sterling</t>
  </si>
  <si>
    <t xml:space="preserve">What this workbook does</t>
  </si>
  <si>
    <t xml:space="preserve">It does the two things the book is built on. It takes any value and solves, in closed form, for the perpetual growth rate that would produce it inside the same model. And it follows the money from enterprise value to what actually reaches the seller.</t>
  </si>
  <si>
    <t xml:space="preserve">How to use it</t>
  </si>
  <si>
    <t xml:space="preserve">Type an enterprise value into the yellow cell on 'Backing Out' and read the growth it assumes. That is the sentence to take into the room: not 'we weighted the cash flow model at sixty per cent', but 'this price assumes the business grows at three point four per cent for ever'.</t>
  </si>
  <si>
    <t xml:space="preserve">The book</t>
  </si>
  <si>
    <t xml:space="preserve">Business Valuation, by Julian R. Sterling. All four workbooks: julianrsterling.com/bizval</t>
  </si>
  <si>
    <t xml:space="preserve">Revised 24 September 2026. The trading and transaction medians were typed into the formulas as constants; the ten multiples are now inputs (Inputs, rows 37 to 48). The book and the page promised the cost of capital solve alongside the growth solve: it is now on the sheet Other Solves, with the steady margin a price implies (19.89 per cent at 10.40x). The four steps of Chapter 13 are shown one by one, and the seller's bridge carries the items of Chapter 16. 30 checks.</t>
  </si>
  <si>
    <t xml:space="preserve">Inputs</t>
  </si>
  <si>
    <t xml:space="preserve">Yellow cells only. Everything else is a formula.</t>
  </si>
  <si>
    <t xml:space="preserve">Cawdrey Instruments</t>
  </si>
  <si>
    <t xml:space="preserve">Revenue</t>
  </si>
  <si>
    <t xml:space="preserve">EBITDA margin</t>
  </si>
  <si>
    <t xml:space="preserve">Depreciation and amortisation</t>
  </si>
  <si>
    <t xml:space="preserve">Corporate tax rate</t>
  </si>
  <si>
    <t xml:space="preserve">Capital expenditure</t>
  </si>
  <si>
    <t xml:space="preserve">Increase in working capital</t>
  </si>
  <si>
    <t xml:space="preserve">Net debt</t>
  </si>
  <si>
    <t xml:space="preserve">Shares in issue</t>
  </si>
  <si>
    <t xml:space="preserve">EBITDA</t>
  </si>
  <si>
    <t xml:space="preserve">The plan and the discount rate</t>
  </si>
  <si>
    <t xml:space="preserve">Cost of capital</t>
  </si>
  <si>
    <t xml:space="preserve">Terminal growth</t>
  </si>
  <si>
    <t xml:space="preserve">Year</t>
  </si>
  <si>
    <t xml:space="preserve">Revenue growth</t>
  </si>
  <si>
    <t xml:space="preserve">Year 1</t>
  </si>
  <si>
    <t xml:space="preserve">Year 2</t>
  </si>
  <si>
    <t xml:space="preserve">Year 3</t>
  </si>
  <si>
    <t xml:space="preserve">Year 4</t>
  </si>
  <si>
    <t xml:space="preserve">Year 5</t>
  </si>
  <si>
    <t xml:space="preserve">The seller's position</t>
  </si>
  <si>
    <t xml:space="preserve">Disposal costs, share of equity value</t>
  </si>
  <si>
    <t xml:space="preserve">Seller's tax base</t>
  </si>
  <si>
    <t xml:space="preserve">Capital gains rate</t>
  </si>
  <si>
    <t xml:space="preserve">The tax figures are this case's own assumptions. They are not statements about any jurisdiction.</t>
  </si>
  <si>
    <t xml:space="preserve">The comparable set and the transaction set</t>
  </si>
  <si>
    <t xml:space="preserve">Peer</t>
  </si>
  <si>
    <t xml:space="preserve">EV/EBITDA</t>
  </si>
  <si>
    <t xml:space="preserve">Peer A</t>
  </si>
  <si>
    <t xml:space="preserve">Peer B</t>
  </si>
  <si>
    <t xml:space="preserve">Peer C</t>
  </si>
  <si>
    <t xml:space="preserve">Peer D</t>
  </si>
  <si>
    <t xml:space="preserve">Peer E</t>
  </si>
  <si>
    <t xml:space="preserve">Deal</t>
  </si>
  <si>
    <t xml:space="preserve">Deal 1</t>
  </si>
  <si>
    <t xml:space="preserve">Deal 2</t>
  </si>
  <si>
    <t xml:space="preserve">Deal 3</t>
  </si>
  <si>
    <t xml:space="preserve">Deal 4</t>
  </si>
  <si>
    <t xml:space="preserve">Deal 5</t>
  </si>
  <si>
    <t xml:space="preserve">The model the reverse solve runs against</t>
  </si>
  <si>
    <t xml:space="preserve">The same five-year build as Workbook 2, so the two agree by construction.</t>
  </si>
  <si>
    <t xml:space="preserve">The five-year build</t>
  </si>
  <si>
    <t xml:space="preserve">Free cash flow</t>
  </si>
  <si>
    <t xml:space="preserve">Discount factor</t>
  </si>
  <si>
    <t xml:space="preserve">Discounted</t>
  </si>
  <si>
    <t xml:space="preserve">Sum of discounted flows</t>
  </si>
  <si>
    <t xml:space="preserve">The terminal value</t>
  </si>
  <si>
    <t xml:space="preserve">Year five free cash flow</t>
  </si>
  <si>
    <t xml:space="preserve">Terminal value</t>
  </si>
  <si>
    <t xml:space="preserve">Discounted to today</t>
  </si>
  <si>
    <t xml:space="preserve">Enterprise value</t>
  </si>
  <si>
    <t xml:space="preserve">  terminal value as a share of it</t>
  </si>
  <si>
    <t xml:space="preserve">  as a multiple of EBITDA</t>
  </si>
  <si>
    <t xml:space="preserve">Equity value</t>
  </si>
  <si>
    <t xml:space="preserve">  per share</t>
  </si>
  <si>
    <t xml:space="preserve">Backing out the assumption</t>
  </si>
  <si>
    <t xml:space="preserve">Chapter 13. Type any enterprise value and read the growth it assumes.</t>
  </si>
  <si>
    <t xml:space="preserve">The closed form</t>
  </si>
  <si>
    <t xml:space="preserve">Let K = ( EV - PV of the forecast flows ) x (1 + WACC)^5</t>
  </si>
  <si>
    <t xml:space="preserve">Then  g = ( K x WACC - FCF5 ) / ( FCF5 + K )</t>
  </si>
  <si>
    <t xml:space="preserve">Method</t>
  </si>
  <si>
    <t xml:space="preserve">Multiple</t>
  </si>
  <si>
    <t xml:space="preserve">Implied growth</t>
  </si>
  <si>
    <t xml:space="preserve">Trading comparables</t>
  </si>
  <si>
    <t xml:space="preserve">Discounted cash flow</t>
  </si>
  <si>
    <t xml:space="preserve">Precedent transactions</t>
  </si>
  <si>
    <t xml:space="preserve">The gap between highest and lowest</t>
  </si>
  <si>
    <t xml:space="preserve">  as a share of the lowest</t>
  </si>
  <si>
    <t xml:space="preserve">The same gap, in points of growth</t>
  </si>
  <si>
    <t xml:space="preserve">Your own value</t>
  </si>
  <si>
    <t xml:space="preserve">Type an enterprise value here</t>
  </si>
  <si>
    <t xml:space="preserve">  the multiple it represents</t>
  </si>
  <si>
    <t xml:space="preserve">  the perpetual growth it assumes</t>
  </si>
  <si>
    <t xml:space="preserve">A growth rate is a claim about the world that a management team can defend or attack. A method weighting is not a claim about anything.</t>
  </si>
  <si>
    <t xml:space="preserve">The four steps, shown (Chapter 13)</t>
  </si>
  <si>
    <t xml:space="preserve">Step</t>
  </si>
  <si>
    <t xml:space="preserve">1. The target enterprise value</t>
  </si>
  <si>
    <t xml:space="preserve">2. Less the value of years one to five</t>
  </si>
  <si>
    <t xml:space="preserve">3. Rolled forward to the end of year five</t>
  </si>
  <si>
    <t xml:space="preserve">   the factor, (1 + WACC)^5</t>
  </si>
  <si>
    <t xml:space="preserve">4. The growth that produces it</t>
  </si>
  <si>
    <t xml:space="preserve">   the terminal value at that growth, less step 3</t>
  </si>
  <si>
    <t xml:space="preserve">From enterprise value to the seller's account</t>
  </si>
  <si>
    <t xml:space="preserve">Chapter 16. The number in the announcement and the number that arrives.</t>
  </si>
  <si>
    <t xml:space="preserve">Enterprise value, at the transaction multiple</t>
  </si>
  <si>
    <t xml:space="preserve">Less net debt</t>
  </si>
  <si>
    <t xml:space="preserve">Less disposal costs</t>
  </si>
  <si>
    <t xml:space="preserve">Taxable gain</t>
  </si>
  <si>
    <t xml:space="preserve">Less tax</t>
  </si>
  <si>
    <t xml:space="preserve">Net proceeds</t>
  </si>
  <si>
    <t xml:space="preserve">  shortfall against the headline</t>
  </si>
  <si>
    <t xml:space="preserve">  as a percentage</t>
  </si>
  <si>
    <t xml:space="preserve">Net proceeds plus net debt, as a multiple of EBITDA</t>
  </si>
  <si>
    <t xml:space="preserve">  against the headline multiple</t>
  </si>
  <si>
    <t xml:space="preserve">The seller who negotiated from 8.20x to 10.40x received 8.97x through the bridge: a little above the 8.70x the discounted cash flow gave on the first afternoon.</t>
  </si>
  <si>
    <t xml:space="preserve">What moves the bridge (Chapter 16)</t>
  </si>
  <si>
    <t xml:space="preserve">Disposal costs as a share of a year's EBITDA</t>
  </si>
  <si>
    <t xml:space="preserve">An extra 1,000,000 of enterprise value: what the seller keeps</t>
  </si>
  <si>
    <t xml:space="preserve">Holdback, share of the equity value</t>
  </si>
  <si>
    <t xml:space="preserve">  held back for twelve to twenty-four months</t>
  </si>
  <si>
    <t xml:space="preserve">Debt-like items worth 0.05x of multiple</t>
  </si>
  <si>
    <t xml:space="preserve">The seller's multiple less the discounted cash flow multiple</t>
  </si>
  <si>
    <t xml:space="preserve">Revised: the first edition says 400,000 of debt-like items costs exactly what 0.05x of multiple would; 0.05x is 420,000.</t>
  </si>
  <si>
    <t xml:space="preserve">The general form: solve for the rate, or for the margin (Chapter 13)</t>
  </si>
  <si>
    <t xml:space="preserve">Fix everything you are not arguing about and solve for the thing you are. The rate has no closed form: rows 40 onward halve the bracket sixty times, in plain formulas.</t>
  </si>
  <si>
    <t xml:space="preserve">Solve for the cost of capital, growth held at the Inputs value</t>
  </si>
  <si>
    <t xml:space="preserve">Value</t>
  </si>
  <si>
    <t xml:space="preserve">Implied cost of capital</t>
  </si>
  <si>
    <t xml:space="preserve">Model value at that rate</t>
  </si>
  <si>
    <t xml:space="preserve">Your own value ('Backing Out' B21)</t>
  </si>
  <si>
    <t xml:space="preserve">Solve for the steady EBITDA margin, growth and rate held</t>
  </si>
  <si>
    <t xml:space="preserve">Implied EBITDA margin</t>
  </si>
  <si>
    <t xml:space="preserve">Model value at that margin</t>
  </si>
  <si>
    <t xml:space="preserve">Value of one unit of margin: the model is linear in it</t>
  </si>
  <si>
    <t xml:space="preserve">Against a margin of 17.50 per cent, an answer of nineteen or twenty is an operational claim that somebody in the room either owns or does not (Chapter 13).</t>
  </si>
  <si>
    <t xml:space="preserve">Solve for the input the people in the room are competent to argue about: growth when the argument is about prospects, the rate when it is about risk, the margin when it is about operations.</t>
  </si>
  <si>
    <t xml:space="preserve">Halving</t>
  </si>
  <si>
    <t xml:space="preserve">Comparables: low</t>
  </si>
  <si>
    <t xml:space="preserve">high</t>
  </si>
  <si>
    <t xml:space="preserve">mid</t>
  </si>
  <si>
    <t xml:space="preserve">DCF: low</t>
  </si>
  <si>
    <t xml:space="preserve">Precedents: low</t>
  </si>
  <si>
    <t xml:space="preserve">Yours: low</t>
  </si>
  <si>
    <t xml:space="preserve">Checks against the printed book</t>
  </si>
  <si>
    <t xml:space="preserve">Every line reproduces a figure printed in Chapters 13 and 16.</t>
  </si>
  <si>
    <t xml:space="preserve">Ch.</t>
  </si>
  <si>
    <t xml:space="preserve">Figure as printed in the book</t>
  </si>
  <si>
    <t xml:space="preserve">Printed</t>
  </si>
  <si>
    <t xml:space="preserve">Workbook</t>
  </si>
  <si>
    <t xml:space="preserve">Difference</t>
  </si>
  <si>
    <t xml:space="preserve">Result</t>
  </si>
  <si>
    <t xml:space="preserve">13</t>
  </si>
  <si>
    <t xml:space="preserve">Implied growth, trading comparables</t>
  </si>
  <si>
    <t xml:space="preserve">Implied growth, discounted cash flow</t>
  </si>
  <si>
    <t xml:space="preserve">Implied growth, precedent transactions</t>
  </si>
  <si>
    <t xml:space="preserve">The spread, in points of growth</t>
  </si>
  <si>
    <t xml:space="preserve">1</t>
  </si>
  <si>
    <t xml:space="preserve">The gap between the methods</t>
  </si>
  <si>
    <t xml:space="preserve">16</t>
  </si>
  <si>
    <t xml:space="preserve">Equity value at the transaction multiple</t>
  </si>
  <si>
    <t xml:space="preserve">Disposal costs</t>
  </si>
  <si>
    <t xml:space="preserve">Tax</t>
  </si>
  <si>
    <t xml:space="preserve">Shortfall against the headline</t>
  </si>
  <si>
    <t xml:space="preserve">Net proceeds as a multiple of EBITDA</t>
  </si>
  <si>
    <t xml:space="preserve">Step 2, trading comparables</t>
  </si>
  <si>
    <t xml:space="preserve">Step 3, trading comparables</t>
  </si>
  <si>
    <t xml:space="preserve">The factor (1 + WACC)^5</t>
  </si>
  <si>
    <t xml:space="preserve">Step 2, precedent transactions</t>
  </si>
  <si>
    <t xml:space="preserve">Step 3, precedent transactions</t>
  </si>
  <si>
    <t xml:space="preserve">The medians come from the Inputs sheet, not from typed constants</t>
  </si>
  <si>
    <t xml:space="preserve">revised: the first file typed MEDIAN(7.4,8.0,...) into the formulas</t>
  </si>
  <si>
    <t xml:space="preserve">The rate solve returns the Inputs rate for the model's own value (any inputs)</t>
  </si>
  <si>
    <t xml:space="preserve">identity</t>
  </si>
  <si>
    <t xml:space="preserve">At each implied rate the model returns its target (any inputs)</t>
  </si>
  <si>
    <t xml:space="preserve">Implied margin for the precedent value: "nineteen or twenty"</t>
  </si>
  <si>
    <t xml:space="preserve">19.89 per cent</t>
  </si>
  <si>
    <t xml:space="preserve">The margin solve returns the Inputs margin for the model's own value (any inputs)</t>
  </si>
  <si>
    <t xml:space="preserve">At each implied margin the model returns its target (any inputs)</t>
  </si>
  <si>
    <t xml:space="preserve">Disposal costs: roughly eighteen per cent of a year's EBITDA</t>
  </si>
  <si>
    <t xml:space="preserve">18.13 per cent</t>
  </si>
  <si>
    <t xml:space="preserve">An extra 1,000,000: the seller keeps</t>
  </si>
  <si>
    <t xml:space="preserve">800,000 less the fee on the increment</t>
  </si>
  <si>
    <t xml:space="preserve">Ten per cent held back</t>
  </si>
  <si>
    <t xml:space="preserve">"more than seven and a half million"</t>
  </si>
  <si>
    <t xml:space="preserve">Debt-like items worth 0.05x</t>
  </si>
  <si>
    <t xml:space="preserve">revised: the book says 400,000</t>
  </si>
  <si>
    <t xml:space="preserve">The net proceeds tie: equity less costs less tax (any inputs)</t>
  </si>
  <si>
    <t xml:space="preserve">Checks passing</t>
  </si>
</sst>
</file>

<file path=xl/styles.xml><?xml version="1.0" encoding="utf-8"?>
<styleSheet xmlns="http://schemas.openxmlformats.org/spreadsheetml/2006/main">
  <numFmts count="13">
    <numFmt numFmtId="164" formatCode="General"/>
    <numFmt numFmtId="165" formatCode="#,##0;\-#,##0"/>
    <numFmt numFmtId="166" formatCode="0.00%;\-0.00%"/>
    <numFmt numFmtId="167" formatCode="0.0%;\-0.0%"/>
    <numFmt numFmtId="168" formatCode="#,##0"/>
    <numFmt numFmtId="169" formatCode="0.0\x"/>
    <numFmt numFmtId="170" formatCode="0.0000"/>
    <numFmt numFmtId="171" formatCode="0.00\x"/>
    <numFmt numFmtId="172" formatCode="#,##0.00;\-#,##0.00"/>
    <numFmt numFmtId="173" formatCode="@"/>
    <numFmt numFmtId="174" formatCode="0.000000"/>
    <numFmt numFmtId="175" formatCode="0%"/>
    <numFmt numFmtId="176" formatCode="0.000000000"/>
  </numFmts>
  <fonts count="16">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b val="true"/>
      <sz val="10"/>
      <color rgb="FFFFFFFF"/>
      <name val="Calibri"/>
      <family val="0"/>
      <charset val="1"/>
    </font>
    <font>
      <i val="true"/>
      <sz val="9"/>
      <color rgb="FF5A6A70"/>
      <name val="Calibri"/>
      <family val="0"/>
      <charset val="1"/>
    </font>
    <font>
      <sz val="10"/>
      <color rgb="FF1F4E5F"/>
      <name val="Consolas"/>
      <family val="0"/>
      <charset val="1"/>
    </font>
    <font>
      <b val="true"/>
      <sz val="10"/>
      <color rgb="FF1F4E5F"/>
      <name val="Consolas"/>
      <family val="0"/>
      <charset val="1"/>
    </font>
    <font>
      <sz val="9"/>
      <color rgb="FF5A6A70"/>
      <name val="Calibri"/>
      <family val="0"/>
      <charset val="1"/>
    </font>
    <font>
      <b val="true"/>
      <sz val="11"/>
      <color rgb="FF1E7A3C"/>
      <name val="Cambria"/>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5">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 diagonalUp="false" diagonalDown="false">
      <left style="thin">
        <color rgb="FFBFC8D0"/>
      </left>
      <right style="thin">
        <color rgb="FFBFC8D0"/>
      </right>
      <top style="thin">
        <color rgb="FFBFC8D0"/>
      </top>
      <bottom style="thin">
        <color rgb="FFBFC8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4" xfId="0" applyFont="true" applyBorder="true" applyAlignment="true" applyProtection="false">
      <alignment horizontal="general" vertical="center" textRotation="0" wrapText="true" indent="0" shrinkToFit="false"/>
      <protection locked="true" hidden="false"/>
    </xf>
    <xf numFmtId="169" fontId="8" fillId="2" borderId="4"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true" applyProtection="false">
      <alignment horizontal="left"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5" fontId="8" fillId="2" borderId="4"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BFC8D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15" hidden="false" customHeight="true" outlineLevel="0" collapsed="false">
      <c r="A15" s="5" t="s">
        <v>7</v>
      </c>
    </row>
    <row r="17" customFormat="false" ht="75" hidden="false" customHeight="true" outlineLevel="0" collapsed="false">
      <c r="A17" s="5" t="s">
        <v>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5" min="3" style="0" width="14"/>
    <col collapsed="false" customWidth="true" hidden="false" outlineLevel="0" max="6" min="6" style="0" width="4"/>
    <col collapsed="false" customWidth="true" hidden="false" outlineLevel="0" max="7" min="7" style="0" width="46"/>
  </cols>
  <sheetData>
    <row r="1" customFormat="false" ht="24" hidden="false" customHeight="true" outlineLevel="0" collapsed="false">
      <c r="A1" s="1" t="s">
        <v>9</v>
      </c>
    </row>
    <row r="2" customFormat="false" ht="15" hidden="false" customHeight="false" outlineLevel="0" collapsed="false">
      <c r="A2" s="2" t="s">
        <v>10</v>
      </c>
    </row>
    <row r="3" customFormat="false" ht="15" hidden="false" customHeight="false" outlineLevel="0" collapsed="false">
      <c r="A3" s="3"/>
      <c r="B3" s="3"/>
      <c r="C3" s="3"/>
      <c r="D3" s="3"/>
      <c r="E3" s="3"/>
    </row>
    <row r="5" customFormat="false" ht="15" hidden="false" customHeight="false" outlineLevel="0" collapsed="false">
      <c r="A5" s="4" t="s">
        <v>11</v>
      </c>
      <c r="B5" s="6"/>
      <c r="C5" s="6"/>
      <c r="D5" s="6"/>
      <c r="E5" s="6"/>
    </row>
    <row r="7" customFormat="false" ht="15" hidden="false" customHeight="false" outlineLevel="0" collapsed="false">
      <c r="A7" s="7" t="s">
        <v>12</v>
      </c>
      <c r="B7" s="8" t="n">
        <v>48000000</v>
      </c>
    </row>
    <row r="8" customFormat="false" ht="15" hidden="false" customHeight="false" outlineLevel="0" collapsed="false">
      <c r="A8" s="7" t="s">
        <v>13</v>
      </c>
      <c r="B8" s="9" t="n">
        <v>0.175</v>
      </c>
    </row>
    <row r="9" customFormat="false" ht="15" hidden="false" customHeight="false" outlineLevel="0" collapsed="false">
      <c r="A9" s="7" t="s">
        <v>14</v>
      </c>
      <c r="B9" s="8" t="n">
        <v>1600000</v>
      </c>
    </row>
    <row r="10" customFormat="false" ht="15" hidden="false" customHeight="false" outlineLevel="0" collapsed="false">
      <c r="A10" s="7" t="s">
        <v>15</v>
      </c>
      <c r="B10" s="10" t="n">
        <v>0.25</v>
      </c>
    </row>
    <row r="11" customFormat="false" ht="15" hidden="false" customHeight="false" outlineLevel="0" collapsed="false">
      <c r="A11" s="7" t="s">
        <v>16</v>
      </c>
      <c r="B11" s="8" t="n">
        <v>1900000</v>
      </c>
    </row>
    <row r="12" customFormat="false" ht="15" hidden="false" customHeight="false" outlineLevel="0" collapsed="false">
      <c r="A12" s="7" t="s">
        <v>17</v>
      </c>
      <c r="B12" s="8" t="n">
        <v>400000</v>
      </c>
    </row>
    <row r="13" customFormat="false" ht="15" hidden="false" customHeight="false" outlineLevel="0" collapsed="false">
      <c r="A13" s="7" t="s">
        <v>18</v>
      </c>
      <c r="B13" s="8" t="n">
        <v>11200000</v>
      </c>
    </row>
    <row r="14" customFormat="false" ht="15" hidden="false" customHeight="false" outlineLevel="0" collapsed="false">
      <c r="A14" s="7" t="s">
        <v>19</v>
      </c>
      <c r="B14" s="11" t="n">
        <v>4000000</v>
      </c>
    </row>
    <row r="15" customFormat="false" ht="15" hidden="false" customHeight="false" outlineLevel="0" collapsed="false">
      <c r="A15" s="12" t="s">
        <v>20</v>
      </c>
      <c r="B15" s="13" t="n">
        <f aca="false">REV0*MARGIN</f>
        <v>8400000</v>
      </c>
    </row>
    <row r="17" customFormat="false" ht="15" hidden="false" customHeight="false" outlineLevel="0" collapsed="false">
      <c r="A17" s="4" t="s">
        <v>21</v>
      </c>
      <c r="B17" s="6"/>
      <c r="C17" s="6"/>
      <c r="D17" s="6"/>
      <c r="E17" s="6"/>
    </row>
    <row r="19" customFormat="false" ht="15" hidden="false" customHeight="false" outlineLevel="0" collapsed="false">
      <c r="A19" s="7" t="s">
        <v>22</v>
      </c>
      <c r="B19" s="10" t="n">
        <v>0.09</v>
      </c>
    </row>
    <row r="20" customFormat="false" ht="15" hidden="false" customHeight="false" outlineLevel="0" collapsed="false">
      <c r="A20" s="7" t="s">
        <v>23</v>
      </c>
      <c r="B20" s="10" t="n">
        <v>0.02</v>
      </c>
    </row>
    <row r="21" customFormat="false" ht="30" hidden="false" customHeight="true" outlineLevel="0" collapsed="false">
      <c r="A21" s="14" t="s">
        <v>24</v>
      </c>
      <c r="B21" s="15" t="s">
        <v>25</v>
      </c>
      <c r="C21" s="15"/>
      <c r="D21" s="15"/>
      <c r="E21" s="15"/>
    </row>
    <row r="22" customFormat="false" ht="15" hidden="false" customHeight="false" outlineLevel="0" collapsed="false">
      <c r="A22" s="7" t="s">
        <v>26</v>
      </c>
      <c r="B22" s="10" t="n">
        <v>0.06</v>
      </c>
    </row>
    <row r="23" customFormat="false" ht="15" hidden="false" customHeight="false" outlineLevel="0" collapsed="false">
      <c r="A23" s="7" t="s">
        <v>27</v>
      </c>
      <c r="B23" s="10" t="n">
        <v>0.055</v>
      </c>
    </row>
    <row r="24" customFormat="false" ht="15" hidden="false" customHeight="false" outlineLevel="0" collapsed="false">
      <c r="A24" s="7" t="s">
        <v>28</v>
      </c>
      <c r="B24" s="10" t="n">
        <v>0.05</v>
      </c>
    </row>
    <row r="25" customFormat="false" ht="15" hidden="false" customHeight="false" outlineLevel="0" collapsed="false">
      <c r="A25" s="7" t="s">
        <v>29</v>
      </c>
      <c r="B25" s="10" t="n">
        <v>0.045</v>
      </c>
    </row>
    <row r="26" customFormat="false" ht="15" hidden="false" customHeight="false" outlineLevel="0" collapsed="false">
      <c r="A26" s="7" t="s">
        <v>30</v>
      </c>
      <c r="B26" s="10" t="n">
        <v>0.04</v>
      </c>
    </row>
    <row r="28" customFormat="false" ht="15" hidden="false" customHeight="false" outlineLevel="0" collapsed="false">
      <c r="A28" s="4" t="s">
        <v>31</v>
      </c>
      <c r="B28" s="6"/>
      <c r="C28" s="6"/>
      <c r="D28" s="6"/>
      <c r="E28" s="6"/>
    </row>
    <row r="30" customFormat="false" ht="15" hidden="false" customHeight="false" outlineLevel="0" collapsed="false">
      <c r="A30" s="7" t="s">
        <v>32</v>
      </c>
      <c r="B30" s="10" t="n">
        <v>0.02</v>
      </c>
    </row>
    <row r="31" customFormat="false" ht="15" hidden="false" customHeight="false" outlineLevel="0" collapsed="false">
      <c r="A31" s="7" t="s">
        <v>33</v>
      </c>
      <c r="B31" s="8" t="n">
        <v>22000000</v>
      </c>
    </row>
    <row r="32" customFormat="false" ht="15" hidden="false" customHeight="false" outlineLevel="0" collapsed="false">
      <c r="A32" s="7" t="s">
        <v>34</v>
      </c>
      <c r="B32" s="10" t="n">
        <v>0.2</v>
      </c>
    </row>
    <row r="33" customFormat="false" ht="15" hidden="false" customHeight="false" outlineLevel="0" collapsed="false">
      <c r="A33" s="16" t="s">
        <v>35</v>
      </c>
    </row>
    <row r="35" customFormat="false" ht="15" hidden="false" customHeight="false" outlineLevel="0" collapsed="false">
      <c r="A35" s="17" t="s">
        <v>36</v>
      </c>
    </row>
    <row r="36" customFormat="false" ht="15" hidden="false" customHeight="false" outlineLevel="0" collapsed="false">
      <c r="A36" s="18" t="s">
        <v>37</v>
      </c>
      <c r="B36" s="18" t="s">
        <v>38</v>
      </c>
    </row>
    <row r="37" customFormat="false" ht="15" hidden="false" customHeight="false" outlineLevel="0" collapsed="false">
      <c r="A37" s="7" t="s">
        <v>39</v>
      </c>
      <c r="B37" s="19" t="n">
        <v>7.4</v>
      </c>
    </row>
    <row r="38" customFormat="false" ht="15" hidden="false" customHeight="false" outlineLevel="0" collapsed="false">
      <c r="A38" s="7" t="s">
        <v>40</v>
      </c>
      <c r="B38" s="19" t="n">
        <v>8</v>
      </c>
    </row>
    <row r="39" customFormat="false" ht="15" hidden="false" customHeight="false" outlineLevel="0" collapsed="false">
      <c r="A39" s="7" t="s">
        <v>41</v>
      </c>
      <c r="B39" s="19" t="n">
        <v>8.2</v>
      </c>
    </row>
    <row r="40" customFormat="false" ht="15" hidden="false" customHeight="false" outlineLevel="0" collapsed="false">
      <c r="A40" s="7" t="s">
        <v>42</v>
      </c>
      <c r="B40" s="19" t="n">
        <v>8.9</v>
      </c>
    </row>
    <row r="41" customFormat="false" ht="15" hidden="false" customHeight="false" outlineLevel="0" collapsed="false">
      <c r="A41" s="7" t="s">
        <v>43</v>
      </c>
      <c r="B41" s="19" t="n">
        <v>9.6</v>
      </c>
    </row>
    <row r="43" customFormat="false" ht="15" hidden="false" customHeight="false" outlineLevel="0" collapsed="false">
      <c r="A43" s="18" t="s">
        <v>44</v>
      </c>
      <c r="B43" s="18" t="s">
        <v>38</v>
      </c>
    </row>
    <row r="44" customFormat="false" ht="15" hidden="false" customHeight="false" outlineLevel="0" collapsed="false">
      <c r="A44" s="7" t="s">
        <v>45</v>
      </c>
      <c r="B44" s="19" t="n">
        <v>9.1</v>
      </c>
    </row>
    <row r="45" customFormat="false" ht="15" hidden="false" customHeight="false" outlineLevel="0" collapsed="false">
      <c r="A45" s="7" t="s">
        <v>46</v>
      </c>
      <c r="B45" s="19" t="n">
        <v>10</v>
      </c>
    </row>
    <row r="46" customFormat="false" ht="15" hidden="false" customHeight="false" outlineLevel="0" collapsed="false">
      <c r="A46" s="7" t="s">
        <v>47</v>
      </c>
      <c r="B46" s="19" t="n">
        <v>10.4</v>
      </c>
    </row>
    <row r="47" customFormat="false" ht="15" hidden="false" customHeight="false" outlineLevel="0" collapsed="false">
      <c r="A47" s="7" t="s">
        <v>48</v>
      </c>
      <c r="B47" s="19" t="n">
        <v>11.2</v>
      </c>
    </row>
    <row r="48" customFormat="false" ht="15" hidden="false" customHeight="false" outlineLevel="0" collapsed="false">
      <c r="A48" s="7" t="s">
        <v>49</v>
      </c>
      <c r="B48" s="19" t="n">
        <v>12.3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6" min="3" style="0" width="14"/>
    <col collapsed="false" customWidth="true" hidden="false" outlineLevel="0" max="7" min="7" style="0" width="4"/>
    <col collapsed="false" customWidth="true" hidden="false" outlineLevel="0" max="8" min="8" style="0" width="44"/>
  </cols>
  <sheetData>
    <row r="1" customFormat="false" ht="24" hidden="false" customHeight="true" outlineLevel="0" collapsed="false">
      <c r="A1" s="1" t="s">
        <v>50</v>
      </c>
    </row>
    <row r="2" customFormat="false" ht="15" hidden="false" customHeight="false" outlineLevel="0" collapsed="false">
      <c r="A2" s="2" t="s">
        <v>51</v>
      </c>
    </row>
    <row r="3" customFormat="false" ht="15" hidden="false" customHeight="false" outlineLevel="0" collapsed="false">
      <c r="A3" s="3"/>
      <c r="B3" s="3"/>
      <c r="C3" s="3"/>
      <c r="D3" s="3"/>
      <c r="E3" s="3"/>
      <c r="F3" s="3"/>
    </row>
    <row r="5" customFormat="false" ht="15" hidden="false" customHeight="false" outlineLevel="0" collapsed="false">
      <c r="A5" s="4" t="s">
        <v>52</v>
      </c>
      <c r="B5" s="6"/>
      <c r="C5" s="6"/>
      <c r="D5" s="6"/>
      <c r="E5" s="6"/>
      <c r="F5" s="6"/>
    </row>
    <row r="7" customFormat="false" ht="30" hidden="false" customHeight="true" outlineLevel="0" collapsed="false">
      <c r="A7" s="14" t="s">
        <v>24</v>
      </c>
      <c r="B7" s="15" t="s">
        <v>12</v>
      </c>
      <c r="C7" s="15" t="s">
        <v>20</v>
      </c>
      <c r="D7" s="15" t="s">
        <v>53</v>
      </c>
      <c r="E7" s="15" t="s">
        <v>54</v>
      </c>
      <c r="F7" s="15" t="s">
        <v>55</v>
      </c>
    </row>
    <row r="8" customFormat="false" ht="15" hidden="false" customHeight="false" outlineLevel="0" collapsed="false">
      <c r="A8" s="7" t="s">
        <v>26</v>
      </c>
      <c r="B8" s="20" t="n">
        <f aca="false">REV0*(1+INDEX(GR,1))</f>
        <v>50880000</v>
      </c>
      <c r="C8" s="20" t="n">
        <f aca="false">B8*MARGIN</f>
        <v>8904000</v>
      </c>
      <c r="D8" s="20" t="n">
        <f aca="false">(C8-B8*DA0/REV0)*(1-TAXR)+B8*DA0/REV0-B8*CAPEX0/REV0-B8*DWC0/REV0</f>
        <v>4664000</v>
      </c>
      <c r="E8" s="21" t="n">
        <f aca="false">1/(1+WACC)^1</f>
        <v>0.91743119266055</v>
      </c>
      <c r="F8" s="20" t="n">
        <f aca="false">D8*E8</f>
        <v>4278899.08256881</v>
      </c>
    </row>
    <row r="9" customFormat="false" ht="15" hidden="false" customHeight="false" outlineLevel="0" collapsed="false">
      <c r="A9" s="22" t="s">
        <v>27</v>
      </c>
      <c r="B9" s="23" t="n">
        <f aca="false">B8*(1+INDEX(GR,2))</f>
        <v>53678400</v>
      </c>
      <c r="C9" s="23" t="n">
        <f aca="false">B9*MARGIN</f>
        <v>9393720</v>
      </c>
      <c r="D9" s="23" t="n">
        <f aca="false">(C9-B9*DA0/REV0)*(1-TAXR)+B9*DA0/REV0-B9*CAPEX0/REV0-B9*DWC0/REV0</f>
        <v>4920520</v>
      </c>
      <c r="E9" s="24" t="n">
        <f aca="false">1/(1+WACC)^2</f>
        <v>0.84167999326656</v>
      </c>
      <c r="F9" s="23" t="n">
        <f aca="false">D9*E9</f>
        <v>4141503.24046797</v>
      </c>
    </row>
    <row r="10" customFormat="false" ht="15" hidden="false" customHeight="false" outlineLevel="0" collapsed="false">
      <c r="A10" s="7" t="s">
        <v>28</v>
      </c>
      <c r="B10" s="20" t="n">
        <f aca="false">B9*(1+INDEX(GR,3))</f>
        <v>56362320</v>
      </c>
      <c r="C10" s="20" t="n">
        <f aca="false">B10*MARGIN</f>
        <v>9863406</v>
      </c>
      <c r="D10" s="20" t="n">
        <f aca="false">(C10-B10*DA0/REV0)*(1-TAXR)+B10*DA0/REV0-B10*CAPEX0/REV0-B10*DWC0/REV0</f>
        <v>5166546</v>
      </c>
      <c r="E10" s="21" t="n">
        <f aca="false">1/(1+WACC)^3</f>
        <v>0.772183480061064</v>
      </c>
      <c r="F10" s="20" t="n">
        <f aca="false">D10*E10</f>
        <v>3989521.47017557</v>
      </c>
    </row>
    <row r="11" customFormat="false" ht="15" hidden="false" customHeight="false" outlineLevel="0" collapsed="false">
      <c r="A11" s="22" t="s">
        <v>29</v>
      </c>
      <c r="B11" s="23" t="n">
        <f aca="false">B10*(1+INDEX(GR,4))</f>
        <v>58898624.4</v>
      </c>
      <c r="C11" s="23" t="n">
        <f aca="false">B11*MARGIN</f>
        <v>10307259.27</v>
      </c>
      <c r="D11" s="23" t="n">
        <f aca="false">(C11-B11*DA0/REV0)*(1-TAXR)+B11*DA0/REV0-B11*CAPEX0/REV0-B11*DWC0/REV0</f>
        <v>5399040.57</v>
      </c>
      <c r="E11" s="24" t="n">
        <f aca="false">1/(1+WACC)^4</f>
        <v>0.708425211065196</v>
      </c>
      <c r="F11" s="23" t="n">
        <f aca="false">D11*E11</f>
        <v>3824816.45535181</v>
      </c>
    </row>
    <row r="12" customFormat="false" ht="15" hidden="false" customHeight="false" outlineLevel="0" collapsed="false">
      <c r="A12" s="7" t="s">
        <v>30</v>
      </c>
      <c r="B12" s="20" t="n">
        <f aca="false">B11*(1+INDEX(GR,5))</f>
        <v>61254569.376</v>
      </c>
      <c r="C12" s="20" t="n">
        <f aca="false">B12*MARGIN</f>
        <v>10719549.6408</v>
      </c>
      <c r="D12" s="20" t="n">
        <f aca="false">(C12-B12*DA0/REV0)*(1-TAXR)+B12*DA0/REV0-B12*CAPEX0/REV0-B12*DWC0/REV0</f>
        <v>5615002.1928</v>
      </c>
      <c r="E12" s="21" t="n">
        <f aca="false">1/(1+WACC)^5</f>
        <v>0.649931386298345</v>
      </c>
      <c r="F12" s="20" t="n">
        <f aca="false">D12*E12</f>
        <v>3649366.15923475</v>
      </c>
    </row>
    <row r="13" customFormat="false" ht="15" hidden="false" customHeight="false" outlineLevel="0" collapsed="false">
      <c r="A13" s="12" t="s">
        <v>56</v>
      </c>
      <c r="F13" s="13" t="n">
        <f aca="false">SUM(F8:F12)</f>
        <v>19884106.4077989</v>
      </c>
    </row>
    <row r="15" customFormat="false" ht="15" hidden="false" customHeight="false" outlineLevel="0" collapsed="false">
      <c r="A15" s="4" t="s">
        <v>57</v>
      </c>
      <c r="B15" s="6"/>
      <c r="C15" s="6"/>
      <c r="D15" s="6"/>
      <c r="E15" s="6"/>
      <c r="F15" s="6"/>
    </row>
    <row r="17" customFormat="false" ht="15" hidden="false" customHeight="false" outlineLevel="0" collapsed="false">
      <c r="A17" s="7" t="s">
        <v>58</v>
      </c>
      <c r="B17" s="20" t="n">
        <f aca="false">FCF5</f>
        <v>5615002.1928</v>
      </c>
    </row>
    <row r="18" customFormat="false" ht="15" hidden="false" customHeight="false" outlineLevel="0" collapsed="false">
      <c r="A18" s="12" t="s">
        <v>59</v>
      </c>
      <c r="B18" s="13" t="n">
        <f aca="false">FCF5*(1+GTERM)/(WACC-GTERM)</f>
        <v>81818603.3808</v>
      </c>
    </row>
    <row r="19" customFormat="false" ht="15" hidden="false" customHeight="false" outlineLevel="0" collapsed="false">
      <c r="A19" s="12" t="s">
        <v>60</v>
      </c>
      <c r="B19" s="13" t="n">
        <f aca="false">B18/(1+WACC)^5</f>
        <v>53176478.3202778</v>
      </c>
    </row>
    <row r="20" customFormat="false" ht="15" hidden="false" customHeight="false" outlineLevel="0" collapsed="false">
      <c r="A20" s="12" t="s">
        <v>61</v>
      </c>
      <c r="B20" s="13" t="n">
        <f aca="false">PVFLOWS+B19</f>
        <v>73060584.7280767</v>
      </c>
    </row>
    <row r="21" customFormat="false" ht="15" hidden="false" customHeight="false" outlineLevel="0" collapsed="false">
      <c r="A21" s="12" t="s">
        <v>62</v>
      </c>
      <c r="B21" s="25" t="n">
        <f aca="false">B19/B20</f>
        <v>0.727840853152143</v>
      </c>
    </row>
    <row r="22" customFormat="false" ht="15" hidden="false" customHeight="false" outlineLevel="0" collapsed="false">
      <c r="A22" s="7" t="s">
        <v>63</v>
      </c>
      <c r="B22" s="26" t="n">
        <f aca="false">EVDCF/EBITDA0</f>
        <v>8.69768865810437</v>
      </c>
    </row>
    <row r="23" customFormat="false" ht="15" hidden="false" customHeight="false" outlineLevel="0" collapsed="false">
      <c r="A23" s="7" t="s">
        <v>64</v>
      </c>
      <c r="B23" s="20" t="n">
        <f aca="false">EVDCF-NETDEBT</f>
        <v>61860584.7280767</v>
      </c>
    </row>
    <row r="24" customFormat="false" ht="15" hidden="false" customHeight="false" outlineLevel="0" collapsed="false">
      <c r="A24" s="7" t="s">
        <v>65</v>
      </c>
      <c r="B24" s="27" t="n">
        <f aca="false">B23/SHARES</f>
        <v>15.4651461820192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2" min="2" style="0" width="18"/>
    <col collapsed="false" customWidth="true" hidden="false" outlineLevel="0" max="4" min="3" style="0" width="16"/>
    <col collapsed="false" customWidth="true" hidden="false" outlineLevel="0" max="5" min="5" style="0" width="4"/>
    <col collapsed="false" customWidth="true" hidden="false" outlineLevel="0" max="6" min="6" style="0" width="48"/>
  </cols>
  <sheetData>
    <row r="1" customFormat="false" ht="24" hidden="false" customHeight="true" outlineLevel="0" collapsed="false">
      <c r="A1" s="1" t="s">
        <v>66</v>
      </c>
    </row>
    <row r="2" customFormat="false" ht="15" hidden="false" customHeight="false" outlineLevel="0" collapsed="false">
      <c r="A2" s="2" t="s">
        <v>67</v>
      </c>
    </row>
    <row r="3" customFormat="false" ht="15" hidden="false" customHeight="false" outlineLevel="0" collapsed="false">
      <c r="A3" s="3"/>
      <c r="B3" s="3"/>
      <c r="C3" s="3"/>
      <c r="D3" s="3"/>
    </row>
    <row r="5" customFormat="false" ht="15" hidden="false" customHeight="false" outlineLevel="0" collapsed="false">
      <c r="A5" s="4" t="s">
        <v>68</v>
      </c>
      <c r="B5" s="6"/>
      <c r="C5" s="6"/>
      <c r="D5" s="6"/>
    </row>
    <row r="7" customFormat="false" ht="15" hidden="false" customHeight="false" outlineLevel="0" collapsed="false">
      <c r="A7" s="28" t="s">
        <v>69</v>
      </c>
    </row>
    <row r="8" customFormat="false" ht="15" hidden="false" customHeight="false" outlineLevel="0" collapsed="false">
      <c r="A8" s="29" t="s">
        <v>70</v>
      </c>
    </row>
    <row r="10" customFormat="false" ht="30" hidden="false" customHeight="true" outlineLevel="0" collapsed="false">
      <c r="A10" s="14" t="s">
        <v>71</v>
      </c>
      <c r="B10" s="15" t="s">
        <v>61</v>
      </c>
      <c r="C10" s="15" t="s">
        <v>72</v>
      </c>
      <c r="D10" s="15" t="s">
        <v>73</v>
      </c>
    </row>
    <row r="11" customFormat="false" ht="15" hidden="false" customHeight="false" outlineLevel="0" collapsed="false">
      <c r="A11" s="7" t="s">
        <v>74</v>
      </c>
      <c r="B11" s="20" t="n">
        <f aca="false">MEDIAN(PEERS)*EBITDA0</f>
        <v>68880000</v>
      </c>
      <c r="C11" s="26" t="n">
        <f aca="false">B11/EBITDA0</f>
        <v>8.2</v>
      </c>
      <c r="D11" s="30" t="n">
        <f aca="false">(((B11-PVFLOWS)*(1+WACC)^5)*WACC-FCF5)/(FCF5+((B11-PVFLOWS)*(1+WACC)^5))</f>
        <v>0.0144412672224038</v>
      </c>
    </row>
    <row r="12" customFormat="false" ht="15" hidden="false" customHeight="false" outlineLevel="0" collapsed="false">
      <c r="A12" s="7" t="s">
        <v>75</v>
      </c>
      <c r="B12" s="20" t="n">
        <f aca="false">EVDCF</f>
        <v>73060584.7280767</v>
      </c>
      <c r="C12" s="26" t="n">
        <f aca="false">B12/EBITDA0</f>
        <v>8.69768865810437</v>
      </c>
      <c r="D12" s="30" t="n">
        <f aca="false">(((B12-PVFLOWS)*(1+WACC)^5)*WACC-FCF5)/(FCF5+((B12-PVFLOWS)*(1+WACC)^5))</f>
        <v>0.02</v>
      </c>
    </row>
    <row r="13" customFormat="false" ht="15" hidden="false" customHeight="false" outlineLevel="0" collapsed="false">
      <c r="A13" s="7" t="s">
        <v>76</v>
      </c>
      <c r="B13" s="20" t="n">
        <f aca="false">MEDIAN(DEALS)*EBITDA0</f>
        <v>87360000</v>
      </c>
      <c r="C13" s="26" t="n">
        <f aca="false">B13/EBITDA0</f>
        <v>10.4</v>
      </c>
      <c r="D13" s="30" t="n">
        <f aca="false">(((B13-PVFLOWS)*(1+WACC)^5)*WACC-FCF5)/(FCF5+((B13-PVFLOWS)*(1+WACC)^5))</f>
        <v>0.0340731868330987</v>
      </c>
    </row>
    <row r="15" customFormat="false" ht="15" hidden="false" customHeight="false" outlineLevel="0" collapsed="false">
      <c r="A15" s="12" t="s">
        <v>77</v>
      </c>
      <c r="B15" s="13" t="n">
        <f aca="false">MAX(B11:B13)-MIN(B11:B13)</f>
        <v>18480000</v>
      </c>
    </row>
    <row r="16" customFormat="false" ht="15" hidden="false" customHeight="false" outlineLevel="0" collapsed="false">
      <c r="A16" s="7" t="s">
        <v>78</v>
      </c>
      <c r="B16" s="31" t="n">
        <f aca="false">B15/MIN(B11:B13)</f>
        <v>0.268292682926829</v>
      </c>
    </row>
    <row r="17" customFormat="false" ht="15" hidden="false" customHeight="false" outlineLevel="0" collapsed="false">
      <c r="A17" s="12" t="s">
        <v>79</v>
      </c>
      <c r="B17" s="25" t="n">
        <f aca="false">MAX(D11:D13)-MIN(D11:D13)</f>
        <v>0.0196319196106948</v>
      </c>
    </row>
    <row r="19" customFormat="false" ht="15" hidden="false" customHeight="false" outlineLevel="0" collapsed="false">
      <c r="A19" s="4" t="s">
        <v>80</v>
      </c>
      <c r="B19" s="6"/>
      <c r="C19" s="6"/>
      <c r="D19" s="6"/>
    </row>
    <row r="21" customFormat="false" ht="15" hidden="false" customHeight="false" outlineLevel="0" collapsed="false">
      <c r="A21" s="7" t="s">
        <v>81</v>
      </c>
      <c r="B21" s="8" t="n">
        <v>80000000</v>
      </c>
    </row>
    <row r="22" customFormat="false" ht="15" hidden="false" customHeight="false" outlineLevel="0" collapsed="false">
      <c r="A22" s="7" t="s">
        <v>82</v>
      </c>
      <c r="B22" s="26" t="n">
        <f aca="false">B21/EBITDA0</f>
        <v>9.52380952380952</v>
      </c>
    </row>
    <row r="23" customFormat="false" ht="15" hidden="false" customHeight="false" outlineLevel="0" collapsed="false">
      <c r="A23" s="12" t="s">
        <v>83</v>
      </c>
      <c r="B23" s="25" t="n">
        <f aca="false">(((B21-PVFLOWS)*(1+WACC)^5)*WACC-FCF5)/(FCF5+((B21-PVFLOWS)*(1+WACC)^5))</f>
        <v>0.0276179266096958</v>
      </c>
    </row>
    <row r="24" customFormat="false" ht="15" hidden="false" customHeight="false" outlineLevel="0" collapsed="false">
      <c r="B24" s="32" t="str">
        <f aca="false">IF(B23&gt;0.035,"above long-run nominal growth - the burden of proof is high",IF(B23&lt;0.01,"below inflation - the business is assumed to shrink in real terms","defensible on its face"))</f>
        <v>defensible on its face</v>
      </c>
    </row>
    <row r="26" customFormat="false" ht="15" hidden="false" customHeight="false" outlineLevel="0" collapsed="false">
      <c r="A26" s="16" t="s">
        <v>84</v>
      </c>
    </row>
    <row r="28" customFormat="false" ht="15" hidden="false" customHeight="false" outlineLevel="0" collapsed="false">
      <c r="A28" s="17" t="s">
        <v>85</v>
      </c>
    </row>
    <row r="29" customFormat="false" ht="23.85" hidden="false" customHeight="false" outlineLevel="0" collapsed="false">
      <c r="A29" s="18" t="s">
        <v>86</v>
      </c>
      <c r="B29" s="18" t="s">
        <v>74</v>
      </c>
      <c r="C29" s="18" t="s">
        <v>76</v>
      </c>
    </row>
    <row r="30" customFormat="false" ht="15" hidden="false" customHeight="false" outlineLevel="0" collapsed="false">
      <c r="A30" s="7" t="s">
        <v>87</v>
      </c>
      <c r="B30" s="20" t="n">
        <f aca="false">B11</f>
        <v>68880000</v>
      </c>
      <c r="C30" s="20" t="n">
        <f aca="false">B13</f>
        <v>87360000</v>
      </c>
    </row>
    <row r="31" customFormat="false" ht="15" hidden="false" customHeight="false" outlineLevel="0" collapsed="false">
      <c r="A31" s="7" t="s">
        <v>88</v>
      </c>
      <c r="B31" s="20" t="n">
        <f aca="false">B30-PVFLOWS</f>
        <v>48995893.5922011</v>
      </c>
      <c r="C31" s="20" t="n">
        <f aca="false">C30-PVFLOWS</f>
        <v>67475893.5922011</v>
      </c>
    </row>
    <row r="32" customFormat="false" ht="15" hidden="false" customHeight="false" outlineLevel="0" collapsed="false">
      <c r="A32" s="7" t="s">
        <v>89</v>
      </c>
      <c r="B32" s="20" t="n">
        <f aca="false">B31*(1+WACC)^5</f>
        <v>75386255.572692</v>
      </c>
      <c r="C32" s="20" t="n">
        <f aca="false">C31*(1+WACC)^5</f>
        <v>103820026.259244</v>
      </c>
    </row>
    <row r="33" customFormat="false" ht="15" hidden="false" customHeight="false" outlineLevel="0" collapsed="false">
      <c r="A33" s="7" t="s">
        <v>90</v>
      </c>
      <c r="B33" s="33" t="n">
        <f aca="false">(1+WACC)^5</f>
        <v>1.5386239549</v>
      </c>
      <c r="C33" s="33" t="n">
        <f aca="false">(1+WACC)^5</f>
        <v>1.5386239549</v>
      </c>
    </row>
    <row r="34" customFormat="false" ht="15" hidden="false" customHeight="false" outlineLevel="0" collapsed="false">
      <c r="A34" s="7" t="s">
        <v>91</v>
      </c>
      <c r="B34" s="25" t="n">
        <f aca="false">(WACC*B32-FCF5)/(B32+FCF5)</f>
        <v>0.0144412672224038</v>
      </c>
      <c r="C34" s="25" t="n">
        <f aca="false">(WACC*C32-FCF5)/(C32+FCF5)</f>
        <v>0.0340731868330987</v>
      </c>
    </row>
    <row r="35" customFormat="false" ht="15" hidden="false" customHeight="false" outlineLevel="0" collapsed="false">
      <c r="A35" s="7" t="s">
        <v>92</v>
      </c>
      <c r="B35" s="33" t="n">
        <f aca="false">FCF5*(1+B34)/(WACC-B34)-B32</f>
        <v>0</v>
      </c>
      <c r="C35" s="33" t="n">
        <f aca="false">FCF5*(1+C34)/(WACC-C34)-C32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2" min="2" style="0" width="18"/>
    <col collapsed="false" customWidth="true" hidden="false" outlineLevel="0" max="4" min="3" style="0" width="16"/>
    <col collapsed="false" customWidth="true" hidden="false" outlineLevel="0" max="5" min="5" style="0" width="4"/>
    <col collapsed="false" customWidth="true" hidden="false" outlineLevel="0" max="6" min="6" style="0" width="46"/>
  </cols>
  <sheetData>
    <row r="1" customFormat="false" ht="24" hidden="false" customHeight="true" outlineLevel="0" collapsed="false">
      <c r="A1" s="1" t="s">
        <v>93</v>
      </c>
    </row>
    <row r="2" customFormat="false" ht="15" hidden="false" customHeight="false" outlineLevel="0" collapsed="false">
      <c r="A2" s="2" t="s">
        <v>94</v>
      </c>
    </row>
    <row r="3" customFormat="false" ht="15" hidden="false" customHeight="false" outlineLevel="0" collapsed="false">
      <c r="A3" s="3"/>
      <c r="B3" s="3"/>
      <c r="C3" s="3"/>
      <c r="D3" s="3"/>
    </row>
    <row r="5" customFormat="false" ht="15" hidden="false" customHeight="false" outlineLevel="0" collapsed="false">
      <c r="A5" s="7" t="s">
        <v>95</v>
      </c>
      <c r="B5" s="20" t="n">
        <f aca="false">MEDIAN(DEALS)*EBITDA0</f>
        <v>87360000</v>
      </c>
    </row>
    <row r="6" customFormat="false" ht="15" hidden="false" customHeight="false" outlineLevel="0" collapsed="false">
      <c r="A6" s="7" t="s">
        <v>96</v>
      </c>
      <c r="B6" s="20" t="n">
        <f aca="false">-NETDEBT</f>
        <v>-11200000</v>
      </c>
    </row>
    <row r="7" customFormat="false" ht="15" hidden="false" customHeight="false" outlineLevel="0" collapsed="false">
      <c r="A7" s="12" t="s">
        <v>64</v>
      </c>
      <c r="B7" s="13" t="n">
        <f aca="false">B5-NETDEBT</f>
        <v>76160000</v>
      </c>
    </row>
    <row r="8" customFormat="false" ht="15" hidden="false" customHeight="false" outlineLevel="0" collapsed="false">
      <c r="A8" s="7" t="s">
        <v>97</v>
      </c>
      <c r="B8" s="20" t="n">
        <f aca="false">-B7*FEES</f>
        <v>-1523200</v>
      </c>
    </row>
    <row r="9" customFormat="false" ht="15" hidden="false" customHeight="false" outlineLevel="0" collapsed="false">
      <c r="A9" s="7" t="s">
        <v>33</v>
      </c>
      <c r="B9" s="20" t="n">
        <f aca="false">TAXBASE</f>
        <v>22000000</v>
      </c>
    </row>
    <row r="10" customFormat="false" ht="15" hidden="false" customHeight="false" outlineLevel="0" collapsed="false">
      <c r="A10" s="7" t="s">
        <v>98</v>
      </c>
      <c r="B10" s="20" t="n">
        <f aca="false">B7+B8-TAXBASE</f>
        <v>52636800</v>
      </c>
    </row>
    <row r="11" customFormat="false" ht="15" hidden="false" customHeight="false" outlineLevel="0" collapsed="false">
      <c r="A11" s="7" t="s">
        <v>99</v>
      </c>
      <c r="B11" s="20" t="n">
        <f aca="false">-B10*CGT</f>
        <v>-10527360</v>
      </c>
    </row>
    <row r="12" customFormat="false" ht="15" hidden="false" customHeight="false" outlineLevel="0" collapsed="false">
      <c r="A12" s="12" t="s">
        <v>100</v>
      </c>
      <c r="B12" s="13" t="n">
        <f aca="false">B7+B8+B11</f>
        <v>64109440</v>
      </c>
    </row>
    <row r="13" customFormat="false" ht="15" hidden="false" customHeight="false" outlineLevel="0" collapsed="false">
      <c r="A13" s="12" t="s">
        <v>101</v>
      </c>
      <c r="B13" s="13" t="n">
        <f aca="false">B7-B12</f>
        <v>12050560</v>
      </c>
    </row>
    <row r="14" customFormat="false" ht="15" hidden="false" customHeight="false" outlineLevel="0" collapsed="false">
      <c r="A14" s="12" t="s">
        <v>102</v>
      </c>
      <c r="B14" s="34" t="n">
        <f aca="false">B13/B7</f>
        <v>0.158226890756303</v>
      </c>
    </row>
    <row r="16" customFormat="false" ht="15" hidden="false" customHeight="false" outlineLevel="0" collapsed="false">
      <c r="A16" s="12" t="s">
        <v>103</v>
      </c>
      <c r="B16" s="35" t="n">
        <f aca="false">(B12+NETDEBT)/EBITDA0</f>
        <v>8.96540952380952</v>
      </c>
    </row>
    <row r="17" customFormat="false" ht="15" hidden="false" customHeight="false" outlineLevel="0" collapsed="false">
      <c r="A17" s="7" t="s">
        <v>104</v>
      </c>
      <c r="B17" s="26" t="n">
        <f aca="false">MEDIAN(DEALS)</f>
        <v>10.4</v>
      </c>
    </row>
    <row r="18" customFormat="false" ht="15" hidden="false" customHeight="false" outlineLevel="0" collapsed="false">
      <c r="A18" s="16" t="s">
        <v>105</v>
      </c>
    </row>
    <row r="20" customFormat="false" ht="15" hidden="false" customHeight="false" outlineLevel="0" collapsed="false">
      <c r="A20" s="17" t="s">
        <v>106</v>
      </c>
    </row>
    <row r="21" customFormat="false" ht="15" hidden="false" customHeight="false" outlineLevel="0" collapsed="false">
      <c r="A21" s="7" t="s">
        <v>107</v>
      </c>
      <c r="B21" s="31" t="n">
        <f aca="false">-B8/EBITDA0</f>
        <v>0.181333333333333</v>
      </c>
    </row>
    <row r="22" customFormat="false" ht="15" hidden="false" customHeight="false" outlineLevel="0" collapsed="false">
      <c r="A22" s="12" t="s">
        <v>108</v>
      </c>
      <c r="B22" s="13" t="n">
        <f aca="false">1000000*(1-FEES)*(1-CGT)</f>
        <v>784000</v>
      </c>
    </row>
    <row r="23" customFormat="false" ht="15" hidden="false" customHeight="false" outlineLevel="0" collapsed="false">
      <c r="A23" s="7" t="s">
        <v>109</v>
      </c>
      <c r="B23" s="36" t="n">
        <v>0.1</v>
      </c>
    </row>
    <row r="24" customFormat="false" ht="15" hidden="false" customHeight="false" outlineLevel="0" collapsed="false">
      <c r="A24" s="7" t="s">
        <v>110</v>
      </c>
      <c r="B24" s="20" t="n">
        <f aca="false">B7*B23</f>
        <v>7616000</v>
      </c>
    </row>
    <row r="25" customFormat="false" ht="15" hidden="false" customHeight="false" outlineLevel="0" collapsed="false">
      <c r="A25" s="7" t="s">
        <v>111</v>
      </c>
      <c r="B25" s="20" t="n">
        <f aca="false">0.05*EBITDA0</f>
        <v>420000</v>
      </c>
    </row>
    <row r="26" customFormat="false" ht="15" hidden="false" customHeight="false" outlineLevel="0" collapsed="false">
      <c r="A26" s="7" t="s">
        <v>112</v>
      </c>
      <c r="B26" s="26" t="n">
        <f aca="false">B16-EVDCF/EBITDA0</f>
        <v>0.267720865705151</v>
      </c>
    </row>
    <row r="27" customFormat="false" ht="15" hidden="false" customHeight="false" outlineLevel="0" collapsed="false">
      <c r="A27" s="37"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5" min="2" style="0" width="16"/>
    <col collapsed="false" customWidth="true" hidden="false" outlineLevel="0" max="13" min="6" style="0" width="12"/>
  </cols>
  <sheetData>
    <row r="1" customFormat="false" ht="15" hidden="false" customHeight="false" outlineLevel="0" collapsed="false">
      <c r="A1" s="17" t="s">
        <v>114</v>
      </c>
    </row>
    <row r="2" customFormat="false" ht="15" hidden="false" customHeight="false" outlineLevel="0" collapsed="false">
      <c r="A2" s="37" t="s">
        <v>115</v>
      </c>
    </row>
    <row r="4" customFormat="false" ht="15" hidden="false" customHeight="false" outlineLevel="0" collapsed="false">
      <c r="A4" s="17" t="s">
        <v>116</v>
      </c>
    </row>
    <row r="5" customFormat="false" ht="23.85" hidden="false" customHeight="false" outlineLevel="0" collapsed="false">
      <c r="A5" s="18" t="s">
        <v>117</v>
      </c>
      <c r="B5" s="18" t="s">
        <v>61</v>
      </c>
      <c r="C5" s="18" t="s">
        <v>118</v>
      </c>
      <c r="D5" s="18" t="s">
        <v>119</v>
      </c>
    </row>
    <row r="6" customFormat="false" ht="15" hidden="false" customHeight="false" outlineLevel="0" collapsed="false">
      <c r="A6" s="7" t="s">
        <v>74</v>
      </c>
      <c r="B6" s="20" t="n">
        <f aca="false">'Backing Out'!B11</f>
        <v>68880000</v>
      </c>
      <c r="C6" s="25" t="n">
        <f aca="false">D99</f>
        <v>0.094192924824994</v>
      </c>
      <c r="D6" s="20" t="n">
        <f aca="false">SUMPRODUCT('The Model'!$D$8:$D$12,1/(1+C6)^{1;2;3;4;5})+FCF5*(1+GTERM)/(C6-GTERM)/(1+C6)^5</f>
        <v>68880000.0000003</v>
      </c>
    </row>
    <row r="7" customFormat="false" ht="15" hidden="false" customHeight="false" outlineLevel="0" collapsed="false">
      <c r="A7" s="7" t="s">
        <v>75</v>
      </c>
      <c r="B7" s="20" t="n">
        <f aca="false">EVDCF</f>
        <v>73060584.7280767</v>
      </c>
      <c r="C7" s="25" t="n">
        <f aca="false">G99</f>
        <v>0.0899999999999998</v>
      </c>
      <c r="D7" s="20" t="n">
        <f aca="false">SUMPRODUCT('The Model'!$D$8:$D$12,1/(1+C7)^{1;2;3;4;5})+FCF5*(1+GTERM)/(C7-GTERM)/(1+C7)^5</f>
        <v>73060584.728077</v>
      </c>
    </row>
    <row r="8" customFormat="false" ht="15" hidden="false" customHeight="false" outlineLevel="0" collapsed="false">
      <c r="A8" s="7" t="s">
        <v>76</v>
      </c>
      <c r="B8" s="20" t="n">
        <f aca="false">'Backing Out'!B13</f>
        <v>87360000</v>
      </c>
      <c r="C8" s="25" t="n">
        <f aca="false">J99</f>
        <v>0.0786639704371398</v>
      </c>
      <c r="D8" s="20" t="n">
        <f aca="false">SUMPRODUCT('The Model'!$D$8:$D$12,1/(1+C8)^{1;2;3;4;5})+FCF5*(1+GTERM)/(C8-GTERM)/(1+C8)^5</f>
        <v>87360000.0000003</v>
      </c>
    </row>
    <row r="9" customFormat="false" ht="15" hidden="false" customHeight="false" outlineLevel="0" collapsed="false">
      <c r="A9" s="7" t="s">
        <v>120</v>
      </c>
      <c r="B9" s="20" t="n">
        <f aca="false">'Backing Out'!B21</f>
        <v>80000000</v>
      </c>
      <c r="C9" s="25" t="n">
        <f aca="false">M99</f>
        <v>0.0839978032129823</v>
      </c>
      <c r="D9" s="20" t="n">
        <f aca="false">SUMPRODUCT('The Model'!$D$8:$D$12,1/(1+C9)^{1;2;3;4;5})+FCF5*(1+GTERM)/(C9-GTERM)/(1+C9)^5</f>
        <v>80000000.0000002</v>
      </c>
    </row>
    <row r="11" customFormat="false" ht="15" hidden="false" customHeight="false" outlineLevel="0" collapsed="false">
      <c r="A11" s="17" t="s">
        <v>121</v>
      </c>
    </row>
    <row r="12" customFormat="false" ht="23.85" hidden="false" customHeight="false" outlineLevel="0" collapsed="false">
      <c r="A12" s="18" t="s">
        <v>117</v>
      </c>
      <c r="B12" s="18" t="s">
        <v>61</v>
      </c>
      <c r="C12" s="18" t="s">
        <v>122</v>
      </c>
      <c r="D12" s="18" t="s">
        <v>123</v>
      </c>
    </row>
    <row r="13" customFormat="false" ht="15" hidden="false" customHeight="false" outlineLevel="0" collapsed="false">
      <c r="A13" s="7" t="s">
        <v>74</v>
      </c>
      <c r="B13" s="20" t="n">
        <f aca="false">'Backing Out'!B11</f>
        <v>68880000</v>
      </c>
      <c r="C13" s="25" t="n">
        <f aca="false">MARGIN+(B13-EVDCF)/$B$18</f>
        <v>0.168006347299908</v>
      </c>
      <c r="D13" s="20" t="n">
        <f aca="false">SUMPRODUCT(('The Model'!$B$8:$B$12*(C13*(1-TAXR)+TAXR*DA0/REV0-CAPEX0/REV0-DWC0/REV0)-(0))/(1+(WACC))^{1;2;3;4;5})+('The Model'!$B$12*(C13*(1-TAXR)+TAXR*DA0/REV0-CAPEX0/REV0-DWC0/REV0)-(0))*(1+(GTERM))/((WACC)-(GTERM))/(1+(WACC))^5</f>
        <v>68880000</v>
      </c>
    </row>
    <row r="14" customFormat="false" ht="15" hidden="false" customHeight="false" outlineLevel="0" collapsed="false">
      <c r="A14" s="7" t="s">
        <v>75</v>
      </c>
      <c r="B14" s="20" t="n">
        <f aca="false">EVDCF</f>
        <v>73060584.7280767</v>
      </c>
      <c r="C14" s="25" t="n">
        <f aca="false">MARGIN+(B14-EVDCF)/$B$18</f>
        <v>0.175</v>
      </c>
      <c r="D14" s="20" t="n">
        <f aca="false">SUMPRODUCT(('The Model'!$B$8:$B$12*(C14*(1-TAXR)+TAXR*DA0/REV0-CAPEX0/REV0-DWC0/REV0)-(0))/(1+(WACC))^{1;2;3;4;5})+('The Model'!$B$12*(C14*(1-TAXR)+TAXR*DA0/REV0-CAPEX0/REV0-DWC0/REV0)-(0))*(1+(GTERM))/((WACC)-(GTERM))/(1+(WACC))^5</f>
        <v>73060584.7280767</v>
      </c>
    </row>
    <row r="15" customFormat="false" ht="15" hidden="false" customHeight="false" outlineLevel="0" collapsed="false">
      <c r="A15" s="7" t="s">
        <v>76</v>
      </c>
      <c r="B15" s="20" t="n">
        <f aca="false">'Backing Out'!B13</f>
        <v>87360000</v>
      </c>
      <c r="C15" s="25" t="n">
        <f aca="false">MARGIN+(B15-EVDCF)/$B$18</f>
        <v>0.198921329366821</v>
      </c>
      <c r="D15" s="20" t="n">
        <f aca="false">SUMPRODUCT(('The Model'!$B$8:$B$12*(C15*(1-TAXR)+TAXR*DA0/REV0-CAPEX0/REV0-DWC0/REV0)-(0))/(1+(WACC))^{1;2;3;4;5})+('The Model'!$B$12*(C15*(1-TAXR)+TAXR*DA0/REV0-CAPEX0/REV0-DWC0/REV0)-(0))*(1+(GTERM))/((WACC)-(GTERM))/(1+(WACC))^5</f>
        <v>87360000</v>
      </c>
    </row>
    <row r="16" customFormat="false" ht="15" hidden="false" customHeight="false" outlineLevel="0" collapsed="false">
      <c r="A16" s="7" t="s">
        <v>120</v>
      </c>
      <c r="B16" s="20" t="n">
        <f aca="false">'Backing Out'!B21</f>
        <v>80000000</v>
      </c>
      <c r="C16" s="25" t="n">
        <f aca="false">MARGIN+(B16-EVDCF)/$B$18</f>
        <v>0.186608868976535</v>
      </c>
      <c r="D16" s="20" t="n">
        <f aca="false">SUMPRODUCT(('The Model'!$B$8:$B$12*(C16*(1-TAXR)+TAXR*DA0/REV0-CAPEX0/REV0-DWC0/REV0)-(0))/(1+(WACC))^{1;2;3;4;5})+('The Model'!$B$12*(C16*(1-TAXR)+TAXR*DA0/REV0-CAPEX0/REV0-DWC0/REV0)-(0))*(1+(GTERM))/((WACC)-(GTERM))/(1+(WACC))^5</f>
        <v>80000000</v>
      </c>
    </row>
    <row r="18" customFormat="false" ht="15" hidden="false" customHeight="false" outlineLevel="0" collapsed="false">
      <c r="A18" s="7" t="s">
        <v>124</v>
      </c>
      <c r="B18" s="20" t="n">
        <f aca="false">SUMPRODUCT('The Model'!$B$8:$B$12*(1-TAXR)/(1+WACC)^{1;2;3;4;5})+'The Model'!$B$12*(1-TAXR)*(1+GTERM)/(WACC-GTERM)/(1+WACC)^5</f>
        <v>597768420.502446</v>
      </c>
    </row>
    <row r="20" customFormat="false" ht="15" hidden="false" customHeight="false" outlineLevel="0" collapsed="false">
      <c r="A20" s="37" t="s">
        <v>125</v>
      </c>
    </row>
    <row r="21" customFormat="false" ht="15" hidden="false" customHeight="false" outlineLevel="0" collapsed="false">
      <c r="A21" s="37" t="s">
        <v>126</v>
      </c>
    </row>
    <row r="39" customFormat="false" ht="23.85" hidden="false" customHeight="false" outlineLevel="0" collapsed="false">
      <c r="A39" s="18" t="s">
        <v>127</v>
      </c>
      <c r="B39" s="18" t="s">
        <v>128</v>
      </c>
      <c r="C39" s="18" t="s">
        <v>129</v>
      </c>
      <c r="D39" s="18" t="s">
        <v>130</v>
      </c>
      <c r="E39" s="18" t="s">
        <v>131</v>
      </c>
      <c r="F39" s="18" t="s">
        <v>129</v>
      </c>
      <c r="G39" s="18" t="s">
        <v>130</v>
      </c>
      <c r="H39" s="18" t="s">
        <v>132</v>
      </c>
      <c r="I39" s="18" t="s">
        <v>129</v>
      </c>
      <c r="J39" s="18" t="s">
        <v>130</v>
      </c>
      <c r="K39" s="18" t="s">
        <v>133</v>
      </c>
      <c r="L39" s="18" t="s">
        <v>129</v>
      </c>
      <c r="M39" s="18" t="s">
        <v>130</v>
      </c>
    </row>
    <row r="40" customFormat="false" ht="15" hidden="false" customHeight="false" outlineLevel="0" collapsed="false">
      <c r="A40" s="37" t="n">
        <v>1</v>
      </c>
      <c r="B40" s="21" t="n">
        <f aca="false">GTERM+0.000001</f>
        <v>0.020001</v>
      </c>
      <c r="C40" s="21" t="n">
        <f aca="false">1</f>
        <v>1</v>
      </c>
      <c r="D40" s="33" t="n">
        <f aca="false">(B40+C40)/2</f>
        <v>0.5100005</v>
      </c>
      <c r="E40" s="21" t="n">
        <f aca="false">GTERM+0.000001</f>
        <v>0.020001</v>
      </c>
      <c r="F40" s="21" t="n">
        <f aca="false">1</f>
        <v>1</v>
      </c>
      <c r="G40" s="33" t="n">
        <f aca="false">(E40+F40)/2</f>
        <v>0.5100005</v>
      </c>
      <c r="H40" s="21" t="n">
        <f aca="false">GTERM+0.000001</f>
        <v>0.020001</v>
      </c>
      <c r="I40" s="21" t="n">
        <f aca="false">1</f>
        <v>1</v>
      </c>
      <c r="J40" s="33" t="n">
        <f aca="false">(H40+I40)/2</f>
        <v>0.5100005</v>
      </c>
      <c r="K40" s="21" t="n">
        <f aca="false">GTERM+0.000001</f>
        <v>0.020001</v>
      </c>
      <c r="L40" s="21" t="n">
        <f aca="false">1</f>
        <v>1</v>
      </c>
      <c r="M40" s="33" t="n">
        <f aca="false">(K40+L40)/2</f>
        <v>0.5100005</v>
      </c>
    </row>
    <row r="41" customFormat="false" ht="15" hidden="false" customHeight="false" outlineLevel="0" collapsed="false">
      <c r="A41" s="37" t="n">
        <v>2</v>
      </c>
      <c r="B41" s="33" t="n">
        <f aca="false">IF(SUMPRODUCT('The Model'!$D$8:$D$12,1/(1+D40)^{1;2;3;4;5})+FCF5*(1+GTERM)/(D40-GTERM)/(1+D40)^5&gt;$B$6,D40,B40)</f>
        <v>0.020001</v>
      </c>
      <c r="C41" s="33" t="n">
        <f aca="false">IF(SUMPRODUCT('The Model'!$D$8:$D$12,1/(1+D40)^{1;2;3;4;5})+FCF5*(1+GTERM)/(D40-GTERM)/(1+D40)^5&gt;$B$6,C40,D40)</f>
        <v>0.5100005</v>
      </c>
      <c r="D41" s="33" t="n">
        <f aca="false">(B41+C41)/2</f>
        <v>0.26500075</v>
      </c>
      <c r="E41" s="33" t="n">
        <f aca="false">IF(SUMPRODUCT('The Model'!$D$8:$D$12,1/(1+G40)^{1;2;3;4;5})+FCF5*(1+GTERM)/(G40-GTERM)/(1+G40)^5&gt;$B$7,G40,E40)</f>
        <v>0.020001</v>
      </c>
      <c r="F41" s="33" t="n">
        <f aca="false">IF(SUMPRODUCT('The Model'!$D$8:$D$12,1/(1+G40)^{1;2;3;4;5})+FCF5*(1+GTERM)/(G40-GTERM)/(1+G40)^5&gt;$B$7,F40,G40)</f>
        <v>0.5100005</v>
      </c>
      <c r="G41" s="33" t="n">
        <f aca="false">(E41+F41)/2</f>
        <v>0.26500075</v>
      </c>
      <c r="H41" s="33" t="n">
        <f aca="false">IF(SUMPRODUCT('The Model'!$D$8:$D$12,1/(1+J40)^{1;2;3;4;5})+FCF5*(1+GTERM)/(J40-GTERM)/(1+J40)^5&gt;$B$8,J40,H40)</f>
        <v>0.020001</v>
      </c>
      <c r="I41" s="33" t="n">
        <f aca="false">IF(SUMPRODUCT('The Model'!$D$8:$D$12,1/(1+J40)^{1;2;3;4;5})+FCF5*(1+GTERM)/(J40-GTERM)/(1+J40)^5&gt;$B$8,I40,J40)</f>
        <v>0.5100005</v>
      </c>
      <c r="J41" s="33" t="n">
        <f aca="false">(H41+I41)/2</f>
        <v>0.26500075</v>
      </c>
      <c r="K41" s="33" t="n">
        <f aca="false">IF(SUMPRODUCT('The Model'!$D$8:$D$12,1/(1+M40)^{1;2;3;4;5})+FCF5*(1+GTERM)/(M40-GTERM)/(1+M40)^5&gt;$B$9,M40,K40)</f>
        <v>0.020001</v>
      </c>
      <c r="L41" s="33" t="n">
        <f aca="false">IF(SUMPRODUCT('The Model'!$D$8:$D$12,1/(1+M40)^{1;2;3;4;5})+FCF5*(1+GTERM)/(M40-GTERM)/(1+M40)^5&gt;$B$9,L40,M40)</f>
        <v>0.5100005</v>
      </c>
      <c r="M41" s="33" t="n">
        <f aca="false">(K41+L41)/2</f>
        <v>0.26500075</v>
      </c>
    </row>
    <row r="42" customFormat="false" ht="15" hidden="false" customHeight="false" outlineLevel="0" collapsed="false">
      <c r="A42" s="37" t="n">
        <v>3</v>
      </c>
      <c r="B42" s="33" t="n">
        <f aca="false">IF(SUMPRODUCT('The Model'!$D$8:$D$12,1/(1+D41)^{1;2;3;4;5})+FCF5*(1+GTERM)/(D41-GTERM)/(1+D41)^5&gt;$B$6,D41,B41)</f>
        <v>0.020001</v>
      </c>
      <c r="C42" s="33" t="n">
        <f aca="false">IF(SUMPRODUCT('The Model'!$D$8:$D$12,1/(1+D41)^{1;2;3;4;5})+FCF5*(1+GTERM)/(D41-GTERM)/(1+D41)^5&gt;$B$6,C41,D41)</f>
        <v>0.26500075</v>
      </c>
      <c r="D42" s="33" t="n">
        <f aca="false">(B42+C42)/2</f>
        <v>0.142500875</v>
      </c>
      <c r="E42" s="33" t="n">
        <f aca="false">IF(SUMPRODUCT('The Model'!$D$8:$D$12,1/(1+G41)^{1;2;3;4;5})+FCF5*(1+GTERM)/(G41-GTERM)/(1+G41)^5&gt;$B$7,G41,E41)</f>
        <v>0.020001</v>
      </c>
      <c r="F42" s="33" t="n">
        <f aca="false">IF(SUMPRODUCT('The Model'!$D$8:$D$12,1/(1+G41)^{1;2;3;4;5})+FCF5*(1+GTERM)/(G41-GTERM)/(1+G41)^5&gt;$B$7,F41,G41)</f>
        <v>0.26500075</v>
      </c>
      <c r="G42" s="33" t="n">
        <f aca="false">(E42+F42)/2</f>
        <v>0.142500875</v>
      </c>
      <c r="H42" s="33" t="n">
        <f aca="false">IF(SUMPRODUCT('The Model'!$D$8:$D$12,1/(1+J41)^{1;2;3;4;5})+FCF5*(1+GTERM)/(J41-GTERM)/(1+J41)^5&gt;$B$8,J41,H41)</f>
        <v>0.020001</v>
      </c>
      <c r="I42" s="33" t="n">
        <f aca="false">IF(SUMPRODUCT('The Model'!$D$8:$D$12,1/(1+J41)^{1;2;3;4;5})+FCF5*(1+GTERM)/(J41-GTERM)/(1+J41)^5&gt;$B$8,I41,J41)</f>
        <v>0.26500075</v>
      </c>
      <c r="J42" s="33" t="n">
        <f aca="false">(H42+I42)/2</f>
        <v>0.142500875</v>
      </c>
      <c r="K42" s="33" t="n">
        <f aca="false">IF(SUMPRODUCT('The Model'!$D$8:$D$12,1/(1+M41)^{1;2;3;4;5})+FCF5*(1+GTERM)/(M41-GTERM)/(1+M41)^5&gt;$B$9,M41,K41)</f>
        <v>0.020001</v>
      </c>
      <c r="L42" s="33" t="n">
        <f aca="false">IF(SUMPRODUCT('The Model'!$D$8:$D$12,1/(1+M41)^{1;2;3;4;5})+FCF5*(1+GTERM)/(M41-GTERM)/(1+M41)^5&gt;$B$9,L41,M41)</f>
        <v>0.26500075</v>
      </c>
      <c r="M42" s="33" t="n">
        <f aca="false">(K42+L42)/2</f>
        <v>0.142500875</v>
      </c>
    </row>
    <row r="43" customFormat="false" ht="15" hidden="false" customHeight="false" outlineLevel="0" collapsed="false">
      <c r="A43" s="37" t="n">
        <v>4</v>
      </c>
      <c r="B43" s="33" t="n">
        <f aca="false">IF(SUMPRODUCT('The Model'!$D$8:$D$12,1/(1+D42)^{1;2;3;4;5})+FCF5*(1+GTERM)/(D42-GTERM)/(1+D42)^5&gt;$B$6,D42,B42)</f>
        <v>0.020001</v>
      </c>
      <c r="C43" s="33" t="n">
        <f aca="false">IF(SUMPRODUCT('The Model'!$D$8:$D$12,1/(1+D42)^{1;2;3;4;5})+FCF5*(1+GTERM)/(D42-GTERM)/(1+D42)^5&gt;$B$6,C42,D42)</f>
        <v>0.142500875</v>
      </c>
      <c r="D43" s="33" t="n">
        <f aca="false">(B43+C43)/2</f>
        <v>0.0812509375</v>
      </c>
      <c r="E43" s="33" t="n">
        <f aca="false">IF(SUMPRODUCT('The Model'!$D$8:$D$12,1/(1+G42)^{1;2;3;4;5})+FCF5*(1+GTERM)/(G42-GTERM)/(1+G42)^5&gt;$B$7,G42,E42)</f>
        <v>0.020001</v>
      </c>
      <c r="F43" s="33" t="n">
        <f aca="false">IF(SUMPRODUCT('The Model'!$D$8:$D$12,1/(1+G42)^{1;2;3;4;5})+FCF5*(1+GTERM)/(G42-GTERM)/(1+G42)^5&gt;$B$7,F42,G42)</f>
        <v>0.142500875</v>
      </c>
      <c r="G43" s="33" t="n">
        <f aca="false">(E43+F43)/2</f>
        <v>0.0812509375</v>
      </c>
      <c r="H43" s="33" t="n">
        <f aca="false">IF(SUMPRODUCT('The Model'!$D$8:$D$12,1/(1+J42)^{1;2;3;4;5})+FCF5*(1+GTERM)/(J42-GTERM)/(1+J42)^5&gt;$B$8,J42,H42)</f>
        <v>0.020001</v>
      </c>
      <c r="I43" s="33" t="n">
        <f aca="false">IF(SUMPRODUCT('The Model'!$D$8:$D$12,1/(1+J42)^{1;2;3;4;5})+FCF5*(1+GTERM)/(J42-GTERM)/(1+J42)^5&gt;$B$8,I42,J42)</f>
        <v>0.142500875</v>
      </c>
      <c r="J43" s="33" t="n">
        <f aca="false">(H43+I43)/2</f>
        <v>0.0812509375</v>
      </c>
      <c r="K43" s="33" t="n">
        <f aca="false">IF(SUMPRODUCT('The Model'!$D$8:$D$12,1/(1+M42)^{1;2;3;4;5})+FCF5*(1+GTERM)/(M42-GTERM)/(1+M42)^5&gt;$B$9,M42,K42)</f>
        <v>0.020001</v>
      </c>
      <c r="L43" s="33" t="n">
        <f aca="false">IF(SUMPRODUCT('The Model'!$D$8:$D$12,1/(1+M42)^{1;2;3;4;5})+FCF5*(1+GTERM)/(M42-GTERM)/(1+M42)^5&gt;$B$9,L42,M42)</f>
        <v>0.142500875</v>
      </c>
      <c r="M43" s="33" t="n">
        <f aca="false">(K43+L43)/2</f>
        <v>0.0812509375</v>
      </c>
    </row>
    <row r="44" customFormat="false" ht="15" hidden="false" customHeight="false" outlineLevel="0" collapsed="false">
      <c r="A44" s="37" t="n">
        <v>5</v>
      </c>
      <c r="B44" s="33" t="n">
        <f aca="false">IF(SUMPRODUCT('The Model'!$D$8:$D$12,1/(1+D43)^{1;2;3;4;5})+FCF5*(1+GTERM)/(D43-GTERM)/(1+D43)^5&gt;$B$6,D43,B43)</f>
        <v>0.0812509375</v>
      </c>
      <c r="C44" s="33" t="n">
        <f aca="false">IF(SUMPRODUCT('The Model'!$D$8:$D$12,1/(1+D43)^{1;2;3;4;5})+FCF5*(1+GTERM)/(D43-GTERM)/(1+D43)^5&gt;$B$6,C43,D43)</f>
        <v>0.142500875</v>
      </c>
      <c r="D44" s="33" t="n">
        <f aca="false">(B44+C44)/2</f>
        <v>0.11187590625</v>
      </c>
      <c r="E44" s="33" t="n">
        <f aca="false">IF(SUMPRODUCT('The Model'!$D$8:$D$12,1/(1+G43)^{1;2;3;4;5})+FCF5*(1+GTERM)/(G43-GTERM)/(1+G43)^5&gt;$B$7,G43,E43)</f>
        <v>0.0812509375</v>
      </c>
      <c r="F44" s="33" t="n">
        <f aca="false">IF(SUMPRODUCT('The Model'!$D$8:$D$12,1/(1+G43)^{1;2;3;4;5})+FCF5*(1+GTERM)/(G43-GTERM)/(1+G43)^5&gt;$B$7,F43,G43)</f>
        <v>0.142500875</v>
      </c>
      <c r="G44" s="33" t="n">
        <f aca="false">(E44+F44)/2</f>
        <v>0.11187590625</v>
      </c>
      <c r="H44" s="33" t="n">
        <f aca="false">IF(SUMPRODUCT('The Model'!$D$8:$D$12,1/(1+J43)^{1;2;3;4;5})+FCF5*(1+GTERM)/(J43-GTERM)/(1+J43)^5&gt;$B$8,J43,H43)</f>
        <v>0.020001</v>
      </c>
      <c r="I44" s="33" t="n">
        <f aca="false">IF(SUMPRODUCT('The Model'!$D$8:$D$12,1/(1+J43)^{1;2;3;4;5})+FCF5*(1+GTERM)/(J43-GTERM)/(1+J43)^5&gt;$B$8,I43,J43)</f>
        <v>0.0812509375</v>
      </c>
      <c r="J44" s="33" t="n">
        <f aca="false">(H44+I44)/2</f>
        <v>0.05062596875</v>
      </c>
      <c r="K44" s="33" t="n">
        <f aca="false">IF(SUMPRODUCT('The Model'!$D$8:$D$12,1/(1+M43)^{1;2;3;4;5})+FCF5*(1+GTERM)/(M43-GTERM)/(1+M43)^5&gt;$B$9,M43,K43)</f>
        <v>0.0812509375</v>
      </c>
      <c r="L44" s="33" t="n">
        <f aca="false">IF(SUMPRODUCT('The Model'!$D$8:$D$12,1/(1+M43)^{1;2;3;4;5})+FCF5*(1+GTERM)/(M43-GTERM)/(1+M43)^5&gt;$B$9,L43,M43)</f>
        <v>0.142500875</v>
      </c>
      <c r="M44" s="33" t="n">
        <f aca="false">(K44+L44)/2</f>
        <v>0.11187590625</v>
      </c>
    </row>
    <row r="45" customFormat="false" ht="15" hidden="false" customHeight="false" outlineLevel="0" collapsed="false">
      <c r="A45" s="37" t="n">
        <v>6</v>
      </c>
      <c r="B45" s="33" t="n">
        <f aca="false">IF(SUMPRODUCT('The Model'!$D$8:$D$12,1/(1+D44)^{1;2;3;4;5})+FCF5*(1+GTERM)/(D44-GTERM)/(1+D44)^5&gt;$B$6,D44,B44)</f>
        <v>0.0812509375</v>
      </c>
      <c r="C45" s="33" t="n">
        <f aca="false">IF(SUMPRODUCT('The Model'!$D$8:$D$12,1/(1+D44)^{1;2;3;4;5})+FCF5*(1+GTERM)/(D44-GTERM)/(1+D44)^5&gt;$B$6,C44,D44)</f>
        <v>0.11187590625</v>
      </c>
      <c r="D45" s="33" t="n">
        <f aca="false">(B45+C45)/2</f>
        <v>0.096563421875</v>
      </c>
      <c r="E45" s="33" t="n">
        <f aca="false">IF(SUMPRODUCT('The Model'!$D$8:$D$12,1/(1+G44)^{1;2;3;4;5})+FCF5*(1+GTERM)/(G44-GTERM)/(1+G44)^5&gt;$B$7,G44,E44)</f>
        <v>0.0812509375</v>
      </c>
      <c r="F45" s="33" t="n">
        <f aca="false">IF(SUMPRODUCT('The Model'!$D$8:$D$12,1/(1+G44)^{1;2;3;4;5})+FCF5*(1+GTERM)/(G44-GTERM)/(1+G44)^5&gt;$B$7,F44,G44)</f>
        <v>0.11187590625</v>
      </c>
      <c r="G45" s="33" t="n">
        <f aca="false">(E45+F45)/2</f>
        <v>0.096563421875</v>
      </c>
      <c r="H45" s="33" t="n">
        <f aca="false">IF(SUMPRODUCT('The Model'!$D$8:$D$12,1/(1+J44)^{1;2;3;4;5})+FCF5*(1+GTERM)/(J44-GTERM)/(1+J44)^5&gt;$B$8,J44,H44)</f>
        <v>0.05062596875</v>
      </c>
      <c r="I45" s="33" t="n">
        <f aca="false">IF(SUMPRODUCT('The Model'!$D$8:$D$12,1/(1+J44)^{1;2;3;4;5})+FCF5*(1+GTERM)/(J44-GTERM)/(1+J44)^5&gt;$B$8,I44,J44)</f>
        <v>0.0812509375</v>
      </c>
      <c r="J45" s="33" t="n">
        <f aca="false">(H45+I45)/2</f>
        <v>0.065938453125</v>
      </c>
      <c r="K45" s="33" t="n">
        <f aca="false">IF(SUMPRODUCT('The Model'!$D$8:$D$12,1/(1+M44)^{1;2;3;4;5})+FCF5*(1+GTERM)/(M44-GTERM)/(1+M44)^5&gt;$B$9,M44,K44)</f>
        <v>0.0812509375</v>
      </c>
      <c r="L45" s="33" t="n">
        <f aca="false">IF(SUMPRODUCT('The Model'!$D$8:$D$12,1/(1+M44)^{1;2;3;4;5})+FCF5*(1+GTERM)/(M44-GTERM)/(1+M44)^5&gt;$B$9,L44,M44)</f>
        <v>0.11187590625</v>
      </c>
      <c r="M45" s="33" t="n">
        <f aca="false">(K45+L45)/2</f>
        <v>0.096563421875</v>
      </c>
    </row>
    <row r="46" customFormat="false" ht="15" hidden="false" customHeight="false" outlineLevel="0" collapsed="false">
      <c r="A46" s="37" t="n">
        <v>7</v>
      </c>
      <c r="B46" s="33" t="n">
        <f aca="false">IF(SUMPRODUCT('The Model'!$D$8:$D$12,1/(1+D45)^{1;2;3;4;5})+FCF5*(1+GTERM)/(D45-GTERM)/(1+D45)^5&gt;$B$6,D45,B45)</f>
        <v>0.0812509375</v>
      </c>
      <c r="C46" s="33" t="n">
        <f aca="false">IF(SUMPRODUCT('The Model'!$D$8:$D$12,1/(1+D45)^{1;2;3;4;5})+FCF5*(1+GTERM)/(D45-GTERM)/(1+D45)^5&gt;$B$6,C45,D45)</f>
        <v>0.096563421875</v>
      </c>
      <c r="D46" s="33" t="n">
        <f aca="false">(B46+C46)/2</f>
        <v>0.0889071796875</v>
      </c>
      <c r="E46" s="33" t="n">
        <f aca="false">IF(SUMPRODUCT('The Model'!$D$8:$D$12,1/(1+G45)^{1;2;3;4;5})+FCF5*(1+GTERM)/(G45-GTERM)/(1+G45)^5&gt;$B$7,G45,E45)</f>
        <v>0.0812509375</v>
      </c>
      <c r="F46" s="33" t="n">
        <f aca="false">IF(SUMPRODUCT('The Model'!$D$8:$D$12,1/(1+G45)^{1;2;3;4;5})+FCF5*(1+GTERM)/(G45-GTERM)/(1+G45)^5&gt;$B$7,F45,G45)</f>
        <v>0.096563421875</v>
      </c>
      <c r="G46" s="33" t="n">
        <f aca="false">(E46+F46)/2</f>
        <v>0.0889071796875</v>
      </c>
      <c r="H46" s="33" t="n">
        <f aca="false">IF(SUMPRODUCT('The Model'!$D$8:$D$12,1/(1+J45)^{1;2;3;4;5})+FCF5*(1+GTERM)/(J45-GTERM)/(1+J45)^5&gt;$B$8,J45,H45)</f>
        <v>0.065938453125</v>
      </c>
      <c r="I46" s="33" t="n">
        <f aca="false">IF(SUMPRODUCT('The Model'!$D$8:$D$12,1/(1+J45)^{1;2;3;4;5})+FCF5*(1+GTERM)/(J45-GTERM)/(1+J45)^5&gt;$B$8,I45,J45)</f>
        <v>0.0812509375</v>
      </c>
      <c r="J46" s="33" t="n">
        <f aca="false">(H46+I46)/2</f>
        <v>0.0735946953125</v>
      </c>
      <c r="K46" s="33" t="n">
        <f aca="false">IF(SUMPRODUCT('The Model'!$D$8:$D$12,1/(1+M45)^{1;2;3;4;5})+FCF5*(1+GTERM)/(M45-GTERM)/(1+M45)^5&gt;$B$9,M45,K45)</f>
        <v>0.0812509375</v>
      </c>
      <c r="L46" s="33" t="n">
        <f aca="false">IF(SUMPRODUCT('The Model'!$D$8:$D$12,1/(1+M45)^{1;2;3;4;5})+FCF5*(1+GTERM)/(M45-GTERM)/(1+M45)^5&gt;$B$9,L45,M45)</f>
        <v>0.096563421875</v>
      </c>
      <c r="M46" s="33" t="n">
        <f aca="false">(K46+L46)/2</f>
        <v>0.0889071796875</v>
      </c>
    </row>
    <row r="47" customFormat="false" ht="15" hidden="false" customHeight="false" outlineLevel="0" collapsed="false">
      <c r="A47" s="37" t="n">
        <v>8</v>
      </c>
      <c r="B47" s="33" t="n">
        <f aca="false">IF(SUMPRODUCT('The Model'!$D$8:$D$12,1/(1+D46)^{1;2;3;4;5})+FCF5*(1+GTERM)/(D46-GTERM)/(1+D46)^5&gt;$B$6,D46,B46)</f>
        <v>0.0889071796875</v>
      </c>
      <c r="C47" s="33" t="n">
        <f aca="false">IF(SUMPRODUCT('The Model'!$D$8:$D$12,1/(1+D46)^{1;2;3;4;5})+FCF5*(1+GTERM)/(D46-GTERM)/(1+D46)^5&gt;$B$6,C46,D46)</f>
        <v>0.096563421875</v>
      </c>
      <c r="D47" s="33" t="n">
        <f aca="false">(B47+C47)/2</f>
        <v>0.09273530078125</v>
      </c>
      <c r="E47" s="33" t="n">
        <f aca="false">IF(SUMPRODUCT('The Model'!$D$8:$D$12,1/(1+G46)^{1;2;3;4;5})+FCF5*(1+GTERM)/(G46-GTERM)/(1+G46)^5&gt;$B$7,G46,E46)</f>
        <v>0.0889071796875</v>
      </c>
      <c r="F47" s="33" t="n">
        <f aca="false">IF(SUMPRODUCT('The Model'!$D$8:$D$12,1/(1+G46)^{1;2;3;4;5})+FCF5*(1+GTERM)/(G46-GTERM)/(1+G46)^5&gt;$B$7,F46,G46)</f>
        <v>0.096563421875</v>
      </c>
      <c r="G47" s="33" t="n">
        <f aca="false">(E47+F47)/2</f>
        <v>0.09273530078125</v>
      </c>
      <c r="H47" s="33" t="n">
        <f aca="false">IF(SUMPRODUCT('The Model'!$D$8:$D$12,1/(1+J46)^{1;2;3;4;5})+FCF5*(1+GTERM)/(J46-GTERM)/(1+J46)^5&gt;$B$8,J46,H46)</f>
        <v>0.0735946953125</v>
      </c>
      <c r="I47" s="33" t="n">
        <f aca="false">IF(SUMPRODUCT('The Model'!$D$8:$D$12,1/(1+J46)^{1;2;3;4;5})+FCF5*(1+GTERM)/(J46-GTERM)/(1+J46)^5&gt;$B$8,I46,J46)</f>
        <v>0.0812509375</v>
      </c>
      <c r="J47" s="33" t="n">
        <f aca="false">(H47+I47)/2</f>
        <v>0.07742281640625</v>
      </c>
      <c r="K47" s="33" t="n">
        <f aca="false">IF(SUMPRODUCT('The Model'!$D$8:$D$12,1/(1+M46)^{1;2;3;4;5})+FCF5*(1+GTERM)/(M46-GTERM)/(1+M46)^5&gt;$B$9,M46,K46)</f>
        <v>0.0812509375</v>
      </c>
      <c r="L47" s="33" t="n">
        <f aca="false">IF(SUMPRODUCT('The Model'!$D$8:$D$12,1/(1+M46)^{1;2;3;4;5})+FCF5*(1+GTERM)/(M46-GTERM)/(1+M46)^5&gt;$B$9,L46,M46)</f>
        <v>0.0889071796875</v>
      </c>
      <c r="M47" s="33" t="n">
        <f aca="false">(K47+L47)/2</f>
        <v>0.08507905859375</v>
      </c>
    </row>
    <row r="48" customFormat="false" ht="15" hidden="false" customHeight="false" outlineLevel="0" collapsed="false">
      <c r="A48" s="37" t="n">
        <v>9</v>
      </c>
      <c r="B48" s="33" t="n">
        <f aca="false">IF(SUMPRODUCT('The Model'!$D$8:$D$12,1/(1+D47)^{1;2;3;4;5})+FCF5*(1+GTERM)/(D47-GTERM)/(1+D47)^5&gt;$B$6,D47,B47)</f>
        <v>0.09273530078125</v>
      </c>
      <c r="C48" s="33" t="n">
        <f aca="false">IF(SUMPRODUCT('The Model'!$D$8:$D$12,1/(1+D47)^{1;2;3;4;5})+FCF5*(1+GTERM)/(D47-GTERM)/(1+D47)^5&gt;$B$6,C47,D47)</f>
        <v>0.096563421875</v>
      </c>
      <c r="D48" s="33" t="n">
        <f aca="false">(B48+C48)/2</f>
        <v>0.094649361328125</v>
      </c>
      <c r="E48" s="33" t="n">
        <f aca="false">IF(SUMPRODUCT('The Model'!$D$8:$D$12,1/(1+G47)^{1;2;3;4;5})+FCF5*(1+GTERM)/(G47-GTERM)/(1+G47)^5&gt;$B$7,G47,E47)</f>
        <v>0.0889071796875</v>
      </c>
      <c r="F48" s="33" t="n">
        <f aca="false">IF(SUMPRODUCT('The Model'!$D$8:$D$12,1/(1+G47)^{1;2;3;4;5})+FCF5*(1+GTERM)/(G47-GTERM)/(1+G47)^5&gt;$B$7,F47,G47)</f>
        <v>0.09273530078125</v>
      </c>
      <c r="G48" s="33" t="n">
        <f aca="false">(E48+F48)/2</f>
        <v>0.090821240234375</v>
      </c>
      <c r="H48" s="33" t="n">
        <f aca="false">IF(SUMPRODUCT('The Model'!$D$8:$D$12,1/(1+J47)^{1;2;3;4;5})+FCF5*(1+GTERM)/(J47-GTERM)/(1+J47)^5&gt;$B$8,J47,H47)</f>
        <v>0.07742281640625</v>
      </c>
      <c r="I48" s="33" t="n">
        <f aca="false">IF(SUMPRODUCT('The Model'!$D$8:$D$12,1/(1+J47)^{1;2;3;4;5})+FCF5*(1+GTERM)/(J47-GTERM)/(1+J47)^5&gt;$B$8,I47,J47)</f>
        <v>0.0812509375</v>
      </c>
      <c r="J48" s="33" t="n">
        <f aca="false">(H48+I48)/2</f>
        <v>0.079336876953125</v>
      </c>
      <c r="K48" s="33" t="n">
        <f aca="false">IF(SUMPRODUCT('The Model'!$D$8:$D$12,1/(1+M47)^{1;2;3;4;5})+FCF5*(1+GTERM)/(M47-GTERM)/(1+M47)^5&gt;$B$9,M47,K47)</f>
        <v>0.0812509375</v>
      </c>
      <c r="L48" s="33" t="n">
        <f aca="false">IF(SUMPRODUCT('The Model'!$D$8:$D$12,1/(1+M47)^{1;2;3;4;5})+FCF5*(1+GTERM)/(M47-GTERM)/(1+M47)^5&gt;$B$9,L47,M47)</f>
        <v>0.08507905859375</v>
      </c>
      <c r="M48" s="33" t="n">
        <f aca="false">(K48+L48)/2</f>
        <v>0.083164998046875</v>
      </c>
    </row>
    <row r="49" customFormat="false" ht="15" hidden="false" customHeight="false" outlineLevel="0" collapsed="false">
      <c r="A49" s="37" t="n">
        <v>10</v>
      </c>
      <c r="B49" s="33" t="n">
        <f aca="false">IF(SUMPRODUCT('The Model'!$D$8:$D$12,1/(1+D48)^{1;2;3;4;5})+FCF5*(1+GTERM)/(D48-GTERM)/(1+D48)^5&gt;$B$6,D48,B48)</f>
        <v>0.09273530078125</v>
      </c>
      <c r="C49" s="33" t="n">
        <f aca="false">IF(SUMPRODUCT('The Model'!$D$8:$D$12,1/(1+D48)^{1;2;3;4;5})+FCF5*(1+GTERM)/(D48-GTERM)/(1+D48)^5&gt;$B$6,C48,D48)</f>
        <v>0.094649361328125</v>
      </c>
      <c r="D49" s="33" t="n">
        <f aca="false">(B49+C49)/2</f>
        <v>0.0936923310546875</v>
      </c>
      <c r="E49" s="33" t="n">
        <f aca="false">IF(SUMPRODUCT('The Model'!$D$8:$D$12,1/(1+G48)^{1;2;3;4;5})+FCF5*(1+GTERM)/(G48-GTERM)/(1+G48)^5&gt;$B$7,G48,E48)</f>
        <v>0.0889071796875</v>
      </c>
      <c r="F49" s="33" t="n">
        <f aca="false">IF(SUMPRODUCT('The Model'!$D$8:$D$12,1/(1+G48)^{1;2;3;4;5})+FCF5*(1+GTERM)/(G48-GTERM)/(1+G48)^5&gt;$B$7,F48,G48)</f>
        <v>0.090821240234375</v>
      </c>
      <c r="G49" s="33" t="n">
        <f aca="false">(E49+F49)/2</f>
        <v>0.0898642099609375</v>
      </c>
      <c r="H49" s="33" t="n">
        <f aca="false">IF(SUMPRODUCT('The Model'!$D$8:$D$12,1/(1+J48)^{1;2;3;4;5})+FCF5*(1+GTERM)/(J48-GTERM)/(1+J48)^5&gt;$B$8,J48,H48)</f>
        <v>0.07742281640625</v>
      </c>
      <c r="I49" s="33" t="n">
        <f aca="false">IF(SUMPRODUCT('The Model'!$D$8:$D$12,1/(1+J48)^{1;2;3;4;5})+FCF5*(1+GTERM)/(J48-GTERM)/(1+J48)^5&gt;$B$8,I48,J48)</f>
        <v>0.079336876953125</v>
      </c>
      <c r="J49" s="33" t="n">
        <f aca="false">(H49+I49)/2</f>
        <v>0.0783798466796875</v>
      </c>
      <c r="K49" s="33" t="n">
        <f aca="false">IF(SUMPRODUCT('The Model'!$D$8:$D$12,1/(1+M48)^{1;2;3;4;5})+FCF5*(1+GTERM)/(M48-GTERM)/(1+M48)^5&gt;$B$9,M48,K48)</f>
        <v>0.083164998046875</v>
      </c>
      <c r="L49" s="33" t="n">
        <f aca="false">IF(SUMPRODUCT('The Model'!$D$8:$D$12,1/(1+M48)^{1;2;3;4;5})+FCF5*(1+GTERM)/(M48-GTERM)/(1+M48)^5&gt;$B$9,L48,M48)</f>
        <v>0.08507905859375</v>
      </c>
      <c r="M49" s="33" t="n">
        <f aca="false">(K49+L49)/2</f>
        <v>0.0841220283203125</v>
      </c>
    </row>
    <row r="50" customFormat="false" ht="15" hidden="false" customHeight="false" outlineLevel="0" collapsed="false">
      <c r="A50" s="37" t="n">
        <v>11</v>
      </c>
      <c r="B50" s="33" t="n">
        <f aca="false">IF(SUMPRODUCT('The Model'!$D$8:$D$12,1/(1+D49)^{1;2;3;4;5})+FCF5*(1+GTERM)/(D49-GTERM)/(1+D49)^5&gt;$B$6,D49,B49)</f>
        <v>0.0936923310546875</v>
      </c>
      <c r="C50" s="33" t="n">
        <f aca="false">IF(SUMPRODUCT('The Model'!$D$8:$D$12,1/(1+D49)^{1;2;3;4;5})+FCF5*(1+GTERM)/(D49-GTERM)/(1+D49)^5&gt;$B$6,C49,D49)</f>
        <v>0.094649361328125</v>
      </c>
      <c r="D50" s="33" t="n">
        <f aca="false">(B50+C50)/2</f>
        <v>0.0941708461914063</v>
      </c>
      <c r="E50" s="33" t="n">
        <f aca="false">IF(SUMPRODUCT('The Model'!$D$8:$D$12,1/(1+G49)^{1;2;3;4;5})+FCF5*(1+GTERM)/(G49-GTERM)/(1+G49)^5&gt;$B$7,G49,E49)</f>
        <v>0.0898642099609375</v>
      </c>
      <c r="F50" s="33" t="n">
        <f aca="false">IF(SUMPRODUCT('The Model'!$D$8:$D$12,1/(1+G49)^{1;2;3;4;5})+FCF5*(1+GTERM)/(G49-GTERM)/(1+G49)^5&gt;$B$7,F49,G49)</f>
        <v>0.090821240234375</v>
      </c>
      <c r="G50" s="33" t="n">
        <f aca="false">(E50+F50)/2</f>
        <v>0.0903427250976563</v>
      </c>
      <c r="H50" s="33" t="n">
        <f aca="false">IF(SUMPRODUCT('The Model'!$D$8:$D$12,1/(1+J49)^{1;2;3;4;5})+FCF5*(1+GTERM)/(J49-GTERM)/(1+J49)^5&gt;$B$8,J49,H49)</f>
        <v>0.0783798466796875</v>
      </c>
      <c r="I50" s="33" t="n">
        <f aca="false">IF(SUMPRODUCT('The Model'!$D$8:$D$12,1/(1+J49)^{1;2;3;4;5})+FCF5*(1+GTERM)/(J49-GTERM)/(1+J49)^5&gt;$B$8,I49,J49)</f>
        <v>0.079336876953125</v>
      </c>
      <c r="J50" s="33" t="n">
        <f aca="false">(H50+I50)/2</f>
        <v>0.0788583618164062</v>
      </c>
      <c r="K50" s="33" t="n">
        <f aca="false">IF(SUMPRODUCT('The Model'!$D$8:$D$12,1/(1+M49)^{1;2;3;4;5})+FCF5*(1+GTERM)/(M49-GTERM)/(1+M49)^5&gt;$B$9,M49,K49)</f>
        <v>0.083164998046875</v>
      </c>
      <c r="L50" s="33" t="n">
        <f aca="false">IF(SUMPRODUCT('The Model'!$D$8:$D$12,1/(1+M49)^{1;2;3;4;5})+FCF5*(1+GTERM)/(M49-GTERM)/(1+M49)^5&gt;$B$9,L49,M49)</f>
        <v>0.0841220283203125</v>
      </c>
      <c r="M50" s="33" t="n">
        <f aca="false">(K50+L50)/2</f>
        <v>0.0836435131835938</v>
      </c>
    </row>
    <row r="51" customFormat="false" ht="15" hidden="false" customHeight="false" outlineLevel="0" collapsed="false">
      <c r="A51" s="37" t="n">
        <v>12</v>
      </c>
      <c r="B51" s="33" t="n">
        <f aca="false">IF(SUMPRODUCT('The Model'!$D$8:$D$12,1/(1+D50)^{1;2;3;4;5})+FCF5*(1+GTERM)/(D50-GTERM)/(1+D50)^5&gt;$B$6,D50,B50)</f>
        <v>0.0941708461914063</v>
      </c>
      <c r="C51" s="33" t="n">
        <f aca="false">IF(SUMPRODUCT('The Model'!$D$8:$D$12,1/(1+D50)^{1;2;3;4;5})+FCF5*(1+GTERM)/(D50-GTERM)/(1+D50)^5&gt;$B$6,C50,D50)</f>
        <v>0.094649361328125</v>
      </c>
      <c r="D51" s="33" t="n">
        <f aca="false">(B51+C51)/2</f>
        <v>0.0944101037597656</v>
      </c>
      <c r="E51" s="33" t="n">
        <f aca="false">IF(SUMPRODUCT('The Model'!$D$8:$D$12,1/(1+G50)^{1;2;3;4;5})+FCF5*(1+GTERM)/(G50-GTERM)/(1+G50)^5&gt;$B$7,G50,E50)</f>
        <v>0.0898642099609375</v>
      </c>
      <c r="F51" s="33" t="n">
        <f aca="false">IF(SUMPRODUCT('The Model'!$D$8:$D$12,1/(1+G50)^{1;2;3;4;5})+FCF5*(1+GTERM)/(G50-GTERM)/(1+G50)^5&gt;$B$7,F50,G50)</f>
        <v>0.0903427250976563</v>
      </c>
      <c r="G51" s="33" t="n">
        <f aca="false">(E51+F51)/2</f>
        <v>0.0901034675292969</v>
      </c>
      <c r="H51" s="33" t="n">
        <f aca="false">IF(SUMPRODUCT('The Model'!$D$8:$D$12,1/(1+J50)^{1;2;3;4;5})+FCF5*(1+GTERM)/(J50-GTERM)/(1+J50)^5&gt;$B$8,J50,H50)</f>
        <v>0.0783798466796875</v>
      </c>
      <c r="I51" s="33" t="n">
        <f aca="false">IF(SUMPRODUCT('The Model'!$D$8:$D$12,1/(1+J50)^{1;2;3;4;5})+FCF5*(1+GTERM)/(J50-GTERM)/(1+J50)^5&gt;$B$8,I50,J50)</f>
        <v>0.0788583618164062</v>
      </c>
      <c r="J51" s="33" t="n">
        <f aca="false">(H51+I51)/2</f>
        <v>0.0786191042480469</v>
      </c>
      <c r="K51" s="33" t="n">
        <f aca="false">IF(SUMPRODUCT('The Model'!$D$8:$D$12,1/(1+M50)^{1;2;3;4;5})+FCF5*(1+GTERM)/(M50-GTERM)/(1+M50)^5&gt;$B$9,M50,K50)</f>
        <v>0.0836435131835938</v>
      </c>
      <c r="L51" s="33" t="n">
        <f aca="false">IF(SUMPRODUCT('The Model'!$D$8:$D$12,1/(1+M50)^{1;2;3;4;5})+FCF5*(1+GTERM)/(M50-GTERM)/(1+M50)^5&gt;$B$9,L50,M50)</f>
        <v>0.0841220283203125</v>
      </c>
      <c r="M51" s="33" t="n">
        <f aca="false">(K51+L51)/2</f>
        <v>0.0838827707519531</v>
      </c>
    </row>
    <row r="52" customFormat="false" ht="15" hidden="false" customHeight="false" outlineLevel="0" collapsed="false">
      <c r="A52" s="37" t="n">
        <v>13</v>
      </c>
      <c r="B52" s="33" t="n">
        <f aca="false">IF(SUMPRODUCT('The Model'!$D$8:$D$12,1/(1+D51)^{1;2;3;4;5})+FCF5*(1+GTERM)/(D51-GTERM)/(1+D51)^5&gt;$B$6,D51,B51)</f>
        <v>0.0941708461914063</v>
      </c>
      <c r="C52" s="33" t="n">
        <f aca="false">IF(SUMPRODUCT('The Model'!$D$8:$D$12,1/(1+D51)^{1;2;3;4;5})+FCF5*(1+GTERM)/(D51-GTERM)/(1+D51)^5&gt;$B$6,C51,D51)</f>
        <v>0.0944101037597656</v>
      </c>
      <c r="D52" s="33" t="n">
        <f aca="false">(B52+C52)/2</f>
        <v>0.0942904749755859</v>
      </c>
      <c r="E52" s="33" t="n">
        <f aca="false">IF(SUMPRODUCT('The Model'!$D$8:$D$12,1/(1+G51)^{1;2;3;4;5})+FCF5*(1+GTERM)/(G51-GTERM)/(1+G51)^5&gt;$B$7,G51,E51)</f>
        <v>0.0898642099609375</v>
      </c>
      <c r="F52" s="33" t="n">
        <f aca="false">IF(SUMPRODUCT('The Model'!$D$8:$D$12,1/(1+G51)^{1;2;3;4;5})+FCF5*(1+GTERM)/(G51-GTERM)/(1+G51)^5&gt;$B$7,F51,G51)</f>
        <v>0.0901034675292969</v>
      </c>
      <c r="G52" s="33" t="n">
        <f aca="false">(E52+F52)/2</f>
        <v>0.0899838387451172</v>
      </c>
      <c r="H52" s="33" t="n">
        <f aca="false">IF(SUMPRODUCT('The Model'!$D$8:$D$12,1/(1+J51)^{1;2;3;4;5})+FCF5*(1+GTERM)/(J51-GTERM)/(1+J51)^5&gt;$B$8,J51,H51)</f>
        <v>0.0786191042480469</v>
      </c>
      <c r="I52" s="33" t="n">
        <f aca="false">IF(SUMPRODUCT('The Model'!$D$8:$D$12,1/(1+J51)^{1;2;3;4;5})+FCF5*(1+GTERM)/(J51-GTERM)/(1+J51)^5&gt;$B$8,I51,J51)</f>
        <v>0.0788583618164062</v>
      </c>
      <c r="J52" s="33" t="n">
        <f aca="false">(H52+I52)/2</f>
        <v>0.0787387330322266</v>
      </c>
      <c r="K52" s="33" t="n">
        <f aca="false">IF(SUMPRODUCT('The Model'!$D$8:$D$12,1/(1+M51)^{1;2;3;4;5})+FCF5*(1+GTERM)/(M51-GTERM)/(1+M51)^5&gt;$B$9,M51,K51)</f>
        <v>0.0838827707519531</v>
      </c>
      <c r="L52" s="33" t="n">
        <f aca="false">IF(SUMPRODUCT('The Model'!$D$8:$D$12,1/(1+M51)^{1;2;3;4;5})+FCF5*(1+GTERM)/(M51-GTERM)/(1+M51)^5&gt;$B$9,L51,M51)</f>
        <v>0.0841220283203125</v>
      </c>
      <c r="M52" s="33" t="n">
        <f aca="false">(K52+L52)/2</f>
        <v>0.0840023995361328</v>
      </c>
    </row>
    <row r="53" customFormat="false" ht="15" hidden="false" customHeight="false" outlineLevel="0" collapsed="false">
      <c r="A53" s="37" t="n">
        <v>14</v>
      </c>
      <c r="B53" s="33" t="n">
        <f aca="false">IF(SUMPRODUCT('The Model'!$D$8:$D$12,1/(1+D52)^{1;2;3;4;5})+FCF5*(1+GTERM)/(D52-GTERM)/(1+D52)^5&gt;$B$6,D52,B52)</f>
        <v>0.0941708461914063</v>
      </c>
      <c r="C53" s="33" t="n">
        <f aca="false">IF(SUMPRODUCT('The Model'!$D$8:$D$12,1/(1+D52)^{1;2;3;4;5})+FCF5*(1+GTERM)/(D52-GTERM)/(1+D52)^5&gt;$B$6,C52,D52)</f>
        <v>0.0942904749755859</v>
      </c>
      <c r="D53" s="33" t="n">
        <f aca="false">(B53+C53)/2</f>
        <v>0.0942306605834961</v>
      </c>
      <c r="E53" s="33" t="n">
        <f aca="false">IF(SUMPRODUCT('The Model'!$D$8:$D$12,1/(1+G52)^{1;2;3;4;5})+FCF5*(1+GTERM)/(G52-GTERM)/(1+G52)^5&gt;$B$7,G52,E52)</f>
        <v>0.0899838387451172</v>
      </c>
      <c r="F53" s="33" t="n">
        <f aca="false">IF(SUMPRODUCT('The Model'!$D$8:$D$12,1/(1+G52)^{1;2;3;4;5})+FCF5*(1+GTERM)/(G52-GTERM)/(1+G52)^5&gt;$B$7,F52,G52)</f>
        <v>0.0901034675292969</v>
      </c>
      <c r="G53" s="33" t="n">
        <f aca="false">(E53+F53)/2</f>
        <v>0.090043653137207</v>
      </c>
      <c r="H53" s="33" t="n">
        <f aca="false">IF(SUMPRODUCT('The Model'!$D$8:$D$12,1/(1+J52)^{1;2;3;4;5})+FCF5*(1+GTERM)/(J52-GTERM)/(1+J52)^5&gt;$B$8,J52,H52)</f>
        <v>0.0786191042480469</v>
      </c>
      <c r="I53" s="33" t="n">
        <f aca="false">IF(SUMPRODUCT('The Model'!$D$8:$D$12,1/(1+J52)^{1;2;3;4;5})+FCF5*(1+GTERM)/(J52-GTERM)/(1+J52)^5&gt;$B$8,I52,J52)</f>
        <v>0.0787387330322266</v>
      </c>
      <c r="J53" s="33" t="n">
        <f aca="false">(H53+I53)/2</f>
        <v>0.0786789186401367</v>
      </c>
      <c r="K53" s="33" t="n">
        <f aca="false">IF(SUMPRODUCT('The Model'!$D$8:$D$12,1/(1+M52)^{1;2;3;4;5})+FCF5*(1+GTERM)/(M52-GTERM)/(1+M52)^5&gt;$B$9,M52,K52)</f>
        <v>0.0838827707519531</v>
      </c>
      <c r="L53" s="33" t="n">
        <f aca="false">IF(SUMPRODUCT('The Model'!$D$8:$D$12,1/(1+M52)^{1;2;3;4;5})+FCF5*(1+GTERM)/(M52-GTERM)/(1+M52)^5&gt;$B$9,L52,M52)</f>
        <v>0.0840023995361328</v>
      </c>
      <c r="M53" s="33" t="n">
        <f aca="false">(K53+L53)/2</f>
        <v>0.083942585144043</v>
      </c>
    </row>
    <row r="54" customFormat="false" ht="15" hidden="false" customHeight="false" outlineLevel="0" collapsed="false">
      <c r="A54" s="37" t="n">
        <v>15</v>
      </c>
      <c r="B54" s="33" t="n">
        <f aca="false">IF(SUMPRODUCT('The Model'!$D$8:$D$12,1/(1+D53)^{1;2;3;4;5})+FCF5*(1+GTERM)/(D53-GTERM)/(1+D53)^5&gt;$B$6,D53,B53)</f>
        <v>0.0941708461914063</v>
      </c>
      <c r="C54" s="33" t="n">
        <f aca="false">IF(SUMPRODUCT('The Model'!$D$8:$D$12,1/(1+D53)^{1;2;3;4;5})+FCF5*(1+GTERM)/(D53-GTERM)/(1+D53)^5&gt;$B$6,C53,D53)</f>
        <v>0.0942306605834961</v>
      </c>
      <c r="D54" s="33" t="n">
        <f aca="false">(B54+C54)/2</f>
        <v>0.0942007533874512</v>
      </c>
      <c r="E54" s="33" t="n">
        <f aca="false">IF(SUMPRODUCT('The Model'!$D$8:$D$12,1/(1+G53)^{1;2;3;4;5})+FCF5*(1+GTERM)/(G53-GTERM)/(1+G53)^5&gt;$B$7,G53,E53)</f>
        <v>0.0899838387451172</v>
      </c>
      <c r="F54" s="33" t="n">
        <f aca="false">IF(SUMPRODUCT('The Model'!$D$8:$D$12,1/(1+G53)^{1;2;3;4;5})+FCF5*(1+GTERM)/(G53-GTERM)/(1+G53)^5&gt;$B$7,F53,G53)</f>
        <v>0.090043653137207</v>
      </c>
      <c r="G54" s="33" t="n">
        <f aca="false">(E54+F54)/2</f>
        <v>0.0900137459411621</v>
      </c>
      <c r="H54" s="33" t="n">
        <f aca="false">IF(SUMPRODUCT('The Model'!$D$8:$D$12,1/(1+J53)^{1;2;3;4;5})+FCF5*(1+GTERM)/(J53-GTERM)/(1+J53)^5&gt;$B$8,J53,H53)</f>
        <v>0.0786191042480469</v>
      </c>
      <c r="I54" s="33" t="n">
        <f aca="false">IF(SUMPRODUCT('The Model'!$D$8:$D$12,1/(1+J53)^{1;2;3;4;5})+FCF5*(1+GTERM)/(J53-GTERM)/(1+J53)^5&gt;$B$8,I53,J53)</f>
        <v>0.0786789186401367</v>
      </c>
      <c r="J54" s="33" t="n">
        <f aca="false">(H54+I54)/2</f>
        <v>0.0786490114440918</v>
      </c>
      <c r="K54" s="33" t="n">
        <f aca="false">IF(SUMPRODUCT('The Model'!$D$8:$D$12,1/(1+M53)^{1;2;3;4;5})+FCF5*(1+GTERM)/(M53-GTERM)/(1+M53)^5&gt;$B$9,M53,K53)</f>
        <v>0.083942585144043</v>
      </c>
      <c r="L54" s="33" t="n">
        <f aca="false">IF(SUMPRODUCT('The Model'!$D$8:$D$12,1/(1+M53)^{1;2;3;4;5})+FCF5*(1+GTERM)/(M53-GTERM)/(1+M53)^5&gt;$B$9,L53,M53)</f>
        <v>0.0840023995361328</v>
      </c>
      <c r="M54" s="33" t="n">
        <f aca="false">(K54+L54)/2</f>
        <v>0.0839724923400879</v>
      </c>
    </row>
    <row r="55" customFormat="false" ht="15" hidden="false" customHeight="false" outlineLevel="0" collapsed="false">
      <c r="A55" s="37" t="n">
        <v>16</v>
      </c>
      <c r="B55" s="33" t="n">
        <f aca="false">IF(SUMPRODUCT('The Model'!$D$8:$D$12,1/(1+D54)^{1;2;3;4;5})+FCF5*(1+GTERM)/(D54-GTERM)/(1+D54)^5&gt;$B$6,D54,B54)</f>
        <v>0.0941708461914063</v>
      </c>
      <c r="C55" s="33" t="n">
        <f aca="false">IF(SUMPRODUCT('The Model'!$D$8:$D$12,1/(1+D54)^{1;2;3;4;5})+FCF5*(1+GTERM)/(D54-GTERM)/(1+D54)^5&gt;$B$6,C54,D54)</f>
        <v>0.0942007533874512</v>
      </c>
      <c r="D55" s="33" t="n">
        <f aca="false">(B55+C55)/2</f>
        <v>0.0941857997894287</v>
      </c>
      <c r="E55" s="33" t="n">
        <f aca="false">IF(SUMPRODUCT('The Model'!$D$8:$D$12,1/(1+G54)^{1;2;3;4;5})+FCF5*(1+GTERM)/(G54-GTERM)/(1+G54)^5&gt;$B$7,G54,E54)</f>
        <v>0.0899838387451172</v>
      </c>
      <c r="F55" s="33" t="n">
        <f aca="false">IF(SUMPRODUCT('The Model'!$D$8:$D$12,1/(1+G54)^{1;2;3;4;5})+FCF5*(1+GTERM)/(G54-GTERM)/(1+G54)^5&gt;$B$7,F54,G54)</f>
        <v>0.0900137459411621</v>
      </c>
      <c r="G55" s="33" t="n">
        <f aca="false">(E55+F55)/2</f>
        <v>0.0899987923431397</v>
      </c>
      <c r="H55" s="33" t="n">
        <f aca="false">IF(SUMPRODUCT('The Model'!$D$8:$D$12,1/(1+J54)^{1;2;3;4;5})+FCF5*(1+GTERM)/(J54-GTERM)/(1+J54)^5&gt;$B$8,J54,H54)</f>
        <v>0.0786490114440918</v>
      </c>
      <c r="I55" s="33" t="n">
        <f aca="false">IF(SUMPRODUCT('The Model'!$D$8:$D$12,1/(1+J54)^{1;2;3;4;5})+FCF5*(1+GTERM)/(J54-GTERM)/(1+J54)^5&gt;$B$8,I54,J54)</f>
        <v>0.0786789186401367</v>
      </c>
      <c r="J55" s="33" t="n">
        <f aca="false">(H55+I55)/2</f>
        <v>0.0786639650421143</v>
      </c>
      <c r="K55" s="33" t="n">
        <f aca="false">IF(SUMPRODUCT('The Model'!$D$8:$D$12,1/(1+M54)^{1;2;3;4;5})+FCF5*(1+GTERM)/(M54-GTERM)/(1+M54)^5&gt;$B$9,M54,K54)</f>
        <v>0.0839724923400879</v>
      </c>
      <c r="L55" s="33" t="n">
        <f aca="false">IF(SUMPRODUCT('The Model'!$D$8:$D$12,1/(1+M54)^{1;2;3;4;5})+FCF5*(1+GTERM)/(M54-GTERM)/(1+M54)^5&gt;$B$9,L54,M54)</f>
        <v>0.0840023995361328</v>
      </c>
      <c r="M55" s="33" t="n">
        <f aca="false">(K55+L55)/2</f>
        <v>0.0839874459381104</v>
      </c>
    </row>
    <row r="56" customFormat="false" ht="15" hidden="false" customHeight="false" outlineLevel="0" collapsed="false">
      <c r="A56" s="37" t="n">
        <v>17</v>
      </c>
      <c r="B56" s="33" t="n">
        <f aca="false">IF(SUMPRODUCT('The Model'!$D$8:$D$12,1/(1+D55)^{1;2;3;4;5})+FCF5*(1+GTERM)/(D55-GTERM)/(1+D55)^5&gt;$B$6,D55,B55)</f>
        <v>0.0941857997894287</v>
      </c>
      <c r="C56" s="33" t="n">
        <f aca="false">IF(SUMPRODUCT('The Model'!$D$8:$D$12,1/(1+D55)^{1;2;3;4;5})+FCF5*(1+GTERM)/(D55-GTERM)/(1+D55)^5&gt;$B$6,C55,D55)</f>
        <v>0.0942007533874512</v>
      </c>
      <c r="D56" s="33" t="n">
        <f aca="false">(B56+C56)/2</f>
        <v>0.09419327658844</v>
      </c>
      <c r="E56" s="33" t="n">
        <f aca="false">IF(SUMPRODUCT('The Model'!$D$8:$D$12,1/(1+G55)^{1;2;3;4;5})+FCF5*(1+GTERM)/(G55-GTERM)/(1+G55)^5&gt;$B$7,G55,E55)</f>
        <v>0.0899987923431397</v>
      </c>
      <c r="F56" s="33" t="n">
        <f aca="false">IF(SUMPRODUCT('The Model'!$D$8:$D$12,1/(1+G55)^{1;2;3;4;5})+FCF5*(1+GTERM)/(G55-GTERM)/(1+G55)^5&gt;$B$7,F55,G55)</f>
        <v>0.0900137459411621</v>
      </c>
      <c r="G56" s="33" t="n">
        <f aca="false">(E56+F56)/2</f>
        <v>0.0900062691421509</v>
      </c>
      <c r="H56" s="33" t="n">
        <f aca="false">IF(SUMPRODUCT('The Model'!$D$8:$D$12,1/(1+J55)^{1;2;3;4;5})+FCF5*(1+GTERM)/(J55-GTERM)/(1+J55)^5&gt;$B$8,J55,H55)</f>
        <v>0.0786639650421143</v>
      </c>
      <c r="I56" s="33" t="n">
        <f aca="false">IF(SUMPRODUCT('The Model'!$D$8:$D$12,1/(1+J55)^{1;2;3;4;5})+FCF5*(1+GTERM)/(J55-GTERM)/(1+J55)^5&gt;$B$8,I55,J55)</f>
        <v>0.0786789186401367</v>
      </c>
      <c r="J56" s="33" t="n">
        <f aca="false">(H56+I56)/2</f>
        <v>0.0786714418411255</v>
      </c>
      <c r="K56" s="33" t="n">
        <f aca="false">IF(SUMPRODUCT('The Model'!$D$8:$D$12,1/(1+M55)^{1;2;3;4;5})+FCF5*(1+GTERM)/(M55-GTERM)/(1+M55)^5&gt;$B$9,M55,K55)</f>
        <v>0.0839874459381104</v>
      </c>
      <c r="L56" s="33" t="n">
        <f aca="false">IF(SUMPRODUCT('The Model'!$D$8:$D$12,1/(1+M55)^{1;2;3;4;5})+FCF5*(1+GTERM)/(M55-GTERM)/(1+M55)^5&gt;$B$9,L55,M55)</f>
        <v>0.0840023995361328</v>
      </c>
      <c r="M56" s="33" t="n">
        <f aca="false">(K56+L56)/2</f>
        <v>0.0839949227371216</v>
      </c>
    </row>
    <row r="57" customFormat="false" ht="15" hidden="false" customHeight="false" outlineLevel="0" collapsed="false">
      <c r="A57" s="37" t="n">
        <v>18</v>
      </c>
      <c r="B57" s="33" t="n">
        <f aca="false">IF(SUMPRODUCT('The Model'!$D$8:$D$12,1/(1+D56)^{1;2;3;4;5})+FCF5*(1+GTERM)/(D56-GTERM)/(1+D56)^5&gt;$B$6,D56,B56)</f>
        <v>0.0941857997894287</v>
      </c>
      <c r="C57" s="33" t="n">
        <f aca="false">IF(SUMPRODUCT('The Model'!$D$8:$D$12,1/(1+D56)^{1;2;3;4;5})+FCF5*(1+GTERM)/(D56-GTERM)/(1+D56)^5&gt;$B$6,C56,D56)</f>
        <v>0.09419327658844</v>
      </c>
      <c r="D57" s="33" t="n">
        <f aca="false">(B57+C57)/2</f>
        <v>0.0941895381889343</v>
      </c>
      <c r="E57" s="33" t="n">
        <f aca="false">IF(SUMPRODUCT('The Model'!$D$8:$D$12,1/(1+G56)^{1;2;3;4;5})+FCF5*(1+GTERM)/(G56-GTERM)/(1+G56)^5&gt;$B$7,G56,E56)</f>
        <v>0.0899987923431397</v>
      </c>
      <c r="F57" s="33" t="n">
        <f aca="false">IF(SUMPRODUCT('The Model'!$D$8:$D$12,1/(1+G56)^{1;2;3;4;5})+FCF5*(1+GTERM)/(G56-GTERM)/(1+G56)^5&gt;$B$7,F56,G56)</f>
        <v>0.0900062691421509</v>
      </c>
      <c r="G57" s="33" t="n">
        <f aca="false">(E57+F57)/2</f>
        <v>0.0900025307426453</v>
      </c>
      <c r="H57" s="33" t="n">
        <f aca="false">IF(SUMPRODUCT('The Model'!$D$8:$D$12,1/(1+J56)^{1;2;3;4;5})+FCF5*(1+GTERM)/(J56-GTERM)/(1+J56)^5&gt;$B$8,J56,H56)</f>
        <v>0.0786639650421143</v>
      </c>
      <c r="I57" s="33" t="n">
        <f aca="false">IF(SUMPRODUCT('The Model'!$D$8:$D$12,1/(1+J56)^{1;2;3;4;5})+FCF5*(1+GTERM)/(J56-GTERM)/(1+J56)^5&gt;$B$8,I56,J56)</f>
        <v>0.0786714418411255</v>
      </c>
      <c r="J57" s="33" t="n">
        <f aca="false">(H57+I57)/2</f>
        <v>0.0786677034416199</v>
      </c>
      <c r="K57" s="33" t="n">
        <f aca="false">IF(SUMPRODUCT('The Model'!$D$8:$D$12,1/(1+M56)^{1;2;3;4;5})+FCF5*(1+GTERM)/(M56-GTERM)/(1+M56)^5&gt;$B$9,M56,K56)</f>
        <v>0.0839949227371216</v>
      </c>
      <c r="L57" s="33" t="n">
        <f aca="false">IF(SUMPRODUCT('The Model'!$D$8:$D$12,1/(1+M56)^{1;2;3;4;5})+FCF5*(1+GTERM)/(M56-GTERM)/(1+M56)^5&gt;$B$9,L56,M56)</f>
        <v>0.0840023995361328</v>
      </c>
      <c r="M57" s="33" t="n">
        <f aca="false">(K57+L57)/2</f>
        <v>0.0839986611366272</v>
      </c>
    </row>
    <row r="58" customFormat="false" ht="15" hidden="false" customHeight="false" outlineLevel="0" collapsed="false">
      <c r="A58" s="37" t="n">
        <v>19</v>
      </c>
      <c r="B58" s="33" t="n">
        <f aca="false">IF(SUMPRODUCT('The Model'!$D$8:$D$12,1/(1+D57)^{1;2;3;4;5})+FCF5*(1+GTERM)/(D57-GTERM)/(1+D57)^5&gt;$B$6,D57,B57)</f>
        <v>0.0941895381889343</v>
      </c>
      <c r="C58" s="33" t="n">
        <f aca="false">IF(SUMPRODUCT('The Model'!$D$8:$D$12,1/(1+D57)^{1;2;3;4;5})+FCF5*(1+GTERM)/(D57-GTERM)/(1+D57)^5&gt;$B$6,C57,D57)</f>
        <v>0.09419327658844</v>
      </c>
      <c r="D58" s="33" t="n">
        <f aca="false">(B58+C58)/2</f>
        <v>0.0941914073886871</v>
      </c>
      <c r="E58" s="33" t="n">
        <f aca="false">IF(SUMPRODUCT('The Model'!$D$8:$D$12,1/(1+G57)^{1;2;3;4;5})+FCF5*(1+GTERM)/(G57-GTERM)/(1+G57)^5&gt;$B$7,G57,E57)</f>
        <v>0.0899987923431397</v>
      </c>
      <c r="F58" s="33" t="n">
        <f aca="false">IF(SUMPRODUCT('The Model'!$D$8:$D$12,1/(1+G57)^{1;2;3;4;5})+FCF5*(1+GTERM)/(G57-GTERM)/(1+G57)^5&gt;$B$7,F57,G57)</f>
        <v>0.0900025307426453</v>
      </c>
      <c r="G58" s="33" t="n">
        <f aca="false">(E58+F58)/2</f>
        <v>0.0900006615428925</v>
      </c>
      <c r="H58" s="33" t="n">
        <f aca="false">IF(SUMPRODUCT('The Model'!$D$8:$D$12,1/(1+J57)^{1;2;3;4;5})+FCF5*(1+GTERM)/(J57-GTERM)/(1+J57)^5&gt;$B$8,J57,H57)</f>
        <v>0.0786639650421143</v>
      </c>
      <c r="I58" s="33" t="n">
        <f aca="false">IF(SUMPRODUCT('The Model'!$D$8:$D$12,1/(1+J57)^{1;2;3;4;5})+FCF5*(1+GTERM)/(J57-GTERM)/(1+J57)^5&gt;$B$8,I57,J57)</f>
        <v>0.0786677034416199</v>
      </c>
      <c r="J58" s="33" t="n">
        <f aca="false">(H58+I58)/2</f>
        <v>0.078665834241867</v>
      </c>
      <c r="K58" s="33" t="n">
        <f aca="false">IF(SUMPRODUCT('The Model'!$D$8:$D$12,1/(1+M57)^{1;2;3;4;5})+FCF5*(1+GTERM)/(M57-GTERM)/(1+M57)^5&gt;$B$9,M57,K57)</f>
        <v>0.0839949227371216</v>
      </c>
      <c r="L58" s="33" t="n">
        <f aca="false">IF(SUMPRODUCT('The Model'!$D$8:$D$12,1/(1+M57)^{1;2;3;4;5})+FCF5*(1+GTERM)/(M57-GTERM)/(1+M57)^5&gt;$B$9,L57,M57)</f>
        <v>0.0839986611366272</v>
      </c>
      <c r="M58" s="33" t="n">
        <f aca="false">(K58+L58)/2</f>
        <v>0.0839967919368744</v>
      </c>
    </row>
    <row r="59" customFormat="false" ht="15" hidden="false" customHeight="false" outlineLevel="0" collapsed="false">
      <c r="A59" s="37" t="n">
        <v>20</v>
      </c>
      <c r="B59" s="33" t="n">
        <f aca="false">IF(SUMPRODUCT('The Model'!$D$8:$D$12,1/(1+D58)^{1;2;3;4;5})+FCF5*(1+GTERM)/(D58-GTERM)/(1+D58)^5&gt;$B$6,D58,B58)</f>
        <v>0.0941914073886871</v>
      </c>
      <c r="C59" s="33" t="n">
        <f aca="false">IF(SUMPRODUCT('The Model'!$D$8:$D$12,1/(1+D58)^{1;2;3;4;5})+FCF5*(1+GTERM)/(D58-GTERM)/(1+D58)^5&gt;$B$6,C58,D58)</f>
        <v>0.09419327658844</v>
      </c>
      <c r="D59" s="33" t="n">
        <f aca="false">(B59+C59)/2</f>
        <v>0.0941923419885636</v>
      </c>
      <c r="E59" s="33" t="n">
        <f aca="false">IF(SUMPRODUCT('The Model'!$D$8:$D$12,1/(1+G58)^{1;2;3;4;5})+FCF5*(1+GTERM)/(G58-GTERM)/(1+G58)^5&gt;$B$7,G58,E58)</f>
        <v>0.0899987923431397</v>
      </c>
      <c r="F59" s="33" t="n">
        <f aca="false">IF(SUMPRODUCT('The Model'!$D$8:$D$12,1/(1+G58)^{1;2;3;4;5})+FCF5*(1+GTERM)/(G58-GTERM)/(1+G58)^5&gt;$B$7,F58,G58)</f>
        <v>0.0900006615428925</v>
      </c>
      <c r="G59" s="33" t="n">
        <f aca="false">(E59+F59)/2</f>
        <v>0.0899997269430161</v>
      </c>
      <c r="H59" s="33" t="n">
        <f aca="false">IF(SUMPRODUCT('The Model'!$D$8:$D$12,1/(1+J58)^{1;2;3;4;5})+FCF5*(1+GTERM)/(J58-GTERM)/(1+J58)^5&gt;$B$8,J58,H58)</f>
        <v>0.0786639650421143</v>
      </c>
      <c r="I59" s="33" t="n">
        <f aca="false">IF(SUMPRODUCT('The Model'!$D$8:$D$12,1/(1+J58)^{1;2;3;4;5})+FCF5*(1+GTERM)/(J58-GTERM)/(1+J58)^5&gt;$B$8,I58,J58)</f>
        <v>0.078665834241867</v>
      </c>
      <c r="J59" s="33" t="n">
        <f aca="false">(H59+I59)/2</f>
        <v>0.0786648996419906</v>
      </c>
      <c r="K59" s="33" t="n">
        <f aca="false">IF(SUMPRODUCT('The Model'!$D$8:$D$12,1/(1+M58)^{1;2;3;4;5})+FCF5*(1+GTERM)/(M58-GTERM)/(1+M58)^5&gt;$B$9,M58,K58)</f>
        <v>0.0839967919368744</v>
      </c>
      <c r="L59" s="33" t="n">
        <f aca="false">IF(SUMPRODUCT('The Model'!$D$8:$D$12,1/(1+M58)^{1;2;3;4;5})+FCF5*(1+GTERM)/(M58-GTERM)/(1+M58)^5&gt;$B$9,L58,M58)</f>
        <v>0.0839986611366272</v>
      </c>
      <c r="M59" s="33" t="n">
        <f aca="false">(K59+L59)/2</f>
        <v>0.0839977265367508</v>
      </c>
    </row>
    <row r="60" customFormat="false" ht="15" hidden="false" customHeight="false" outlineLevel="0" collapsed="false">
      <c r="A60" s="37" t="n">
        <v>21</v>
      </c>
      <c r="B60" s="33" t="n">
        <f aca="false">IF(SUMPRODUCT('The Model'!$D$8:$D$12,1/(1+D59)^{1;2;3;4;5})+FCF5*(1+GTERM)/(D59-GTERM)/(1+D59)^5&gt;$B$6,D59,B59)</f>
        <v>0.0941923419885636</v>
      </c>
      <c r="C60" s="33" t="n">
        <f aca="false">IF(SUMPRODUCT('The Model'!$D$8:$D$12,1/(1+D59)^{1;2;3;4;5})+FCF5*(1+GTERM)/(D59-GTERM)/(1+D59)^5&gt;$B$6,C59,D59)</f>
        <v>0.09419327658844</v>
      </c>
      <c r="D60" s="33" t="n">
        <f aca="false">(B60+C60)/2</f>
        <v>0.0941928092885018</v>
      </c>
      <c r="E60" s="33" t="n">
        <f aca="false">IF(SUMPRODUCT('The Model'!$D$8:$D$12,1/(1+G59)^{1;2;3;4;5})+FCF5*(1+GTERM)/(G59-GTERM)/(1+G59)^5&gt;$B$7,G59,E59)</f>
        <v>0.0899997269430161</v>
      </c>
      <c r="F60" s="33" t="n">
        <f aca="false">IF(SUMPRODUCT('The Model'!$D$8:$D$12,1/(1+G59)^{1;2;3;4;5})+FCF5*(1+GTERM)/(G59-GTERM)/(1+G59)^5&gt;$B$7,F59,G59)</f>
        <v>0.0900006615428925</v>
      </c>
      <c r="G60" s="33" t="n">
        <f aca="false">(E60+F60)/2</f>
        <v>0.0900001942429543</v>
      </c>
      <c r="H60" s="33" t="n">
        <f aca="false">IF(SUMPRODUCT('The Model'!$D$8:$D$12,1/(1+J59)^{1;2;3;4;5})+FCF5*(1+GTERM)/(J59-GTERM)/(1+J59)^5&gt;$B$8,J59,H59)</f>
        <v>0.0786639650421143</v>
      </c>
      <c r="I60" s="33" t="n">
        <f aca="false">IF(SUMPRODUCT('The Model'!$D$8:$D$12,1/(1+J59)^{1;2;3;4;5})+FCF5*(1+GTERM)/(J59-GTERM)/(1+J59)^5&gt;$B$8,I59,J59)</f>
        <v>0.0786648996419906</v>
      </c>
      <c r="J60" s="33" t="n">
        <f aca="false">(H60+I60)/2</f>
        <v>0.0786644323420525</v>
      </c>
      <c r="K60" s="33" t="n">
        <f aca="false">IF(SUMPRODUCT('The Model'!$D$8:$D$12,1/(1+M59)^{1;2;3;4;5})+FCF5*(1+GTERM)/(M59-GTERM)/(1+M59)^5&gt;$B$9,M59,K59)</f>
        <v>0.0839977265367508</v>
      </c>
      <c r="L60" s="33" t="n">
        <f aca="false">IF(SUMPRODUCT('The Model'!$D$8:$D$12,1/(1+M59)^{1;2;3;4;5})+FCF5*(1+GTERM)/(M59-GTERM)/(1+M59)^5&gt;$B$9,L59,M59)</f>
        <v>0.0839986611366272</v>
      </c>
      <c r="M60" s="33" t="n">
        <f aca="false">(K60+L60)/2</f>
        <v>0.083998193836689</v>
      </c>
    </row>
    <row r="61" customFormat="false" ht="15" hidden="false" customHeight="false" outlineLevel="0" collapsed="false">
      <c r="A61" s="37" t="n">
        <v>22</v>
      </c>
      <c r="B61" s="33" t="n">
        <f aca="false">IF(SUMPRODUCT('The Model'!$D$8:$D$12,1/(1+D60)^{1;2;3;4;5})+FCF5*(1+GTERM)/(D60-GTERM)/(1+D60)^5&gt;$B$6,D60,B60)</f>
        <v>0.0941928092885018</v>
      </c>
      <c r="C61" s="33" t="n">
        <f aca="false">IF(SUMPRODUCT('The Model'!$D$8:$D$12,1/(1+D60)^{1;2;3;4;5})+FCF5*(1+GTERM)/(D60-GTERM)/(1+D60)^5&gt;$B$6,C60,D60)</f>
        <v>0.09419327658844</v>
      </c>
      <c r="D61" s="33" t="n">
        <f aca="false">(B61+C61)/2</f>
        <v>0.0941930429384709</v>
      </c>
      <c r="E61" s="33" t="n">
        <f aca="false">IF(SUMPRODUCT('The Model'!$D$8:$D$12,1/(1+G60)^{1;2;3;4;5})+FCF5*(1+GTERM)/(G60-GTERM)/(1+G60)^5&gt;$B$7,G60,E60)</f>
        <v>0.0899997269430161</v>
      </c>
      <c r="F61" s="33" t="n">
        <f aca="false">IF(SUMPRODUCT('The Model'!$D$8:$D$12,1/(1+G60)^{1;2;3;4;5})+FCF5*(1+GTERM)/(G60-GTERM)/(1+G60)^5&gt;$B$7,F60,G60)</f>
        <v>0.0900001942429543</v>
      </c>
      <c r="G61" s="33" t="n">
        <f aca="false">(E61+F61)/2</f>
        <v>0.0899999605929852</v>
      </c>
      <c r="H61" s="33" t="n">
        <f aca="false">IF(SUMPRODUCT('The Model'!$D$8:$D$12,1/(1+J60)^{1;2;3;4;5})+FCF5*(1+GTERM)/(J60-GTERM)/(1+J60)^5&gt;$B$8,J60,H60)</f>
        <v>0.0786639650421143</v>
      </c>
      <c r="I61" s="33" t="n">
        <f aca="false">IF(SUMPRODUCT('The Model'!$D$8:$D$12,1/(1+J60)^{1;2;3;4;5})+FCF5*(1+GTERM)/(J60-GTERM)/(1+J60)^5&gt;$B$8,I60,J60)</f>
        <v>0.0786644323420525</v>
      </c>
      <c r="J61" s="33" t="n">
        <f aca="false">(H61+I61)/2</f>
        <v>0.0786641986920834</v>
      </c>
      <c r="K61" s="33" t="n">
        <f aca="false">IF(SUMPRODUCT('The Model'!$D$8:$D$12,1/(1+M60)^{1;2;3;4;5})+FCF5*(1+GTERM)/(M60-GTERM)/(1+M60)^5&gt;$B$9,M60,K60)</f>
        <v>0.0839977265367508</v>
      </c>
      <c r="L61" s="33" t="n">
        <f aca="false">IF(SUMPRODUCT('The Model'!$D$8:$D$12,1/(1+M60)^{1;2;3;4;5})+FCF5*(1+GTERM)/(M60-GTERM)/(1+M60)^5&gt;$B$9,L60,M60)</f>
        <v>0.083998193836689</v>
      </c>
      <c r="M61" s="33" t="n">
        <f aca="false">(K61+L61)/2</f>
        <v>0.0839979601867199</v>
      </c>
    </row>
    <row r="62" customFormat="false" ht="15" hidden="false" customHeight="false" outlineLevel="0" collapsed="false">
      <c r="A62" s="37" t="n">
        <v>23</v>
      </c>
      <c r="B62" s="33" t="n">
        <f aca="false">IF(SUMPRODUCT('The Model'!$D$8:$D$12,1/(1+D61)^{1;2;3;4;5})+FCF5*(1+GTERM)/(D61-GTERM)/(1+D61)^5&gt;$B$6,D61,B61)</f>
        <v>0.0941928092885018</v>
      </c>
      <c r="C62" s="33" t="n">
        <f aca="false">IF(SUMPRODUCT('The Model'!$D$8:$D$12,1/(1+D61)^{1;2;3;4;5})+FCF5*(1+GTERM)/(D61-GTERM)/(1+D61)^5&gt;$B$6,C61,D61)</f>
        <v>0.0941930429384709</v>
      </c>
      <c r="D62" s="33" t="n">
        <f aca="false">(B62+C62)/2</f>
        <v>0.0941929261134863</v>
      </c>
      <c r="E62" s="33" t="n">
        <f aca="false">IF(SUMPRODUCT('The Model'!$D$8:$D$12,1/(1+G61)^{1;2;3;4;5})+FCF5*(1+GTERM)/(G61-GTERM)/(1+G61)^5&gt;$B$7,G61,E61)</f>
        <v>0.0899999605929852</v>
      </c>
      <c r="F62" s="33" t="n">
        <f aca="false">IF(SUMPRODUCT('The Model'!$D$8:$D$12,1/(1+G61)^{1;2;3;4;5})+FCF5*(1+GTERM)/(G61-GTERM)/(1+G61)^5&gt;$B$7,F61,G61)</f>
        <v>0.0900001942429543</v>
      </c>
      <c r="G62" s="33" t="n">
        <f aca="false">(E62+F62)/2</f>
        <v>0.0900000774179697</v>
      </c>
      <c r="H62" s="33" t="n">
        <f aca="false">IF(SUMPRODUCT('The Model'!$D$8:$D$12,1/(1+J61)^{1;2;3;4;5})+FCF5*(1+GTERM)/(J61-GTERM)/(1+J61)^5&gt;$B$8,J61,H61)</f>
        <v>0.0786639650421143</v>
      </c>
      <c r="I62" s="33" t="n">
        <f aca="false">IF(SUMPRODUCT('The Model'!$D$8:$D$12,1/(1+J61)^{1;2;3;4;5})+FCF5*(1+GTERM)/(J61-GTERM)/(1+J61)^5&gt;$B$8,I61,J61)</f>
        <v>0.0786641986920834</v>
      </c>
      <c r="J62" s="33" t="n">
        <f aca="false">(H62+I62)/2</f>
        <v>0.0786640818670988</v>
      </c>
      <c r="K62" s="33" t="n">
        <f aca="false">IF(SUMPRODUCT('The Model'!$D$8:$D$12,1/(1+M61)^{1;2;3;4;5})+FCF5*(1+GTERM)/(M61-GTERM)/(1+M61)^5&gt;$B$9,M61,K61)</f>
        <v>0.0839977265367508</v>
      </c>
      <c r="L62" s="33" t="n">
        <f aca="false">IF(SUMPRODUCT('The Model'!$D$8:$D$12,1/(1+M61)^{1;2;3;4;5})+FCF5*(1+GTERM)/(M61-GTERM)/(1+M61)^5&gt;$B$9,L61,M61)</f>
        <v>0.0839979601867199</v>
      </c>
      <c r="M62" s="33" t="n">
        <f aca="false">(K62+L62)/2</f>
        <v>0.0839978433617354</v>
      </c>
    </row>
    <row r="63" customFormat="false" ht="15" hidden="false" customHeight="false" outlineLevel="0" collapsed="false">
      <c r="A63" s="37" t="n">
        <v>24</v>
      </c>
      <c r="B63" s="33" t="n">
        <f aca="false">IF(SUMPRODUCT('The Model'!$D$8:$D$12,1/(1+D62)^{1;2;3;4;5})+FCF5*(1+GTERM)/(D62-GTERM)/(1+D62)^5&gt;$B$6,D62,B62)</f>
        <v>0.0941928092885018</v>
      </c>
      <c r="C63" s="33" t="n">
        <f aca="false">IF(SUMPRODUCT('The Model'!$D$8:$D$12,1/(1+D62)^{1;2;3;4;5})+FCF5*(1+GTERM)/(D62-GTERM)/(1+D62)^5&gt;$B$6,C62,D62)</f>
        <v>0.0941929261134863</v>
      </c>
      <c r="D63" s="33" t="n">
        <f aca="false">(B63+C63)/2</f>
        <v>0.094192867700994</v>
      </c>
      <c r="E63" s="33" t="n">
        <f aca="false">IF(SUMPRODUCT('The Model'!$D$8:$D$12,1/(1+G62)^{1;2;3;4;5})+FCF5*(1+GTERM)/(G62-GTERM)/(1+G62)^5&gt;$B$7,G62,E62)</f>
        <v>0.0899999605929852</v>
      </c>
      <c r="F63" s="33" t="n">
        <f aca="false">IF(SUMPRODUCT('The Model'!$D$8:$D$12,1/(1+G62)^{1;2;3;4;5})+FCF5*(1+GTERM)/(G62-GTERM)/(1+G62)^5&gt;$B$7,F62,G62)</f>
        <v>0.0900000774179697</v>
      </c>
      <c r="G63" s="33" t="n">
        <f aca="false">(E63+F63)/2</f>
        <v>0.0900000190054774</v>
      </c>
      <c r="H63" s="33" t="n">
        <f aca="false">IF(SUMPRODUCT('The Model'!$D$8:$D$12,1/(1+J62)^{1;2;3;4;5})+FCF5*(1+GTERM)/(J62-GTERM)/(1+J62)^5&gt;$B$8,J62,H62)</f>
        <v>0.0786639650421143</v>
      </c>
      <c r="I63" s="33" t="n">
        <f aca="false">IF(SUMPRODUCT('The Model'!$D$8:$D$12,1/(1+J62)^{1;2;3;4;5})+FCF5*(1+GTERM)/(J62-GTERM)/(1+J62)^5&gt;$B$8,I62,J62)</f>
        <v>0.0786640818670988</v>
      </c>
      <c r="J63" s="33" t="n">
        <f aca="false">(H63+I63)/2</f>
        <v>0.0786640234546065</v>
      </c>
      <c r="K63" s="33" t="n">
        <f aca="false">IF(SUMPRODUCT('The Model'!$D$8:$D$12,1/(1+M62)^{1;2;3;4;5})+FCF5*(1+GTERM)/(M62-GTERM)/(1+M62)^5&gt;$B$9,M62,K62)</f>
        <v>0.0839977265367508</v>
      </c>
      <c r="L63" s="33" t="n">
        <f aca="false">IF(SUMPRODUCT('The Model'!$D$8:$D$12,1/(1+M62)^{1;2;3;4;5})+FCF5*(1+GTERM)/(M62-GTERM)/(1+M62)^5&gt;$B$9,L62,M62)</f>
        <v>0.0839978433617354</v>
      </c>
      <c r="M63" s="33" t="n">
        <f aca="false">(K63+L63)/2</f>
        <v>0.0839977849492431</v>
      </c>
    </row>
    <row r="64" customFormat="false" ht="15" hidden="false" customHeight="false" outlineLevel="0" collapsed="false">
      <c r="A64" s="37" t="n">
        <v>25</v>
      </c>
      <c r="B64" s="33" t="n">
        <f aca="false">IF(SUMPRODUCT('The Model'!$D$8:$D$12,1/(1+D63)^{1;2;3;4;5})+FCF5*(1+GTERM)/(D63-GTERM)/(1+D63)^5&gt;$B$6,D63,B63)</f>
        <v>0.094192867700994</v>
      </c>
      <c r="C64" s="33" t="n">
        <f aca="false">IF(SUMPRODUCT('The Model'!$D$8:$D$12,1/(1+D63)^{1;2;3;4;5})+FCF5*(1+GTERM)/(D63-GTERM)/(1+D63)^5&gt;$B$6,C63,D63)</f>
        <v>0.0941929261134863</v>
      </c>
      <c r="D64" s="33" t="n">
        <f aca="false">(B64+C64)/2</f>
        <v>0.0941928969072402</v>
      </c>
      <c r="E64" s="33" t="n">
        <f aca="false">IF(SUMPRODUCT('The Model'!$D$8:$D$12,1/(1+G63)^{1;2;3;4;5})+FCF5*(1+GTERM)/(G63-GTERM)/(1+G63)^5&gt;$B$7,G63,E63)</f>
        <v>0.0899999605929852</v>
      </c>
      <c r="F64" s="33" t="n">
        <f aca="false">IF(SUMPRODUCT('The Model'!$D$8:$D$12,1/(1+G63)^{1;2;3;4;5})+FCF5*(1+GTERM)/(G63-GTERM)/(1+G63)^5&gt;$B$7,F63,G63)</f>
        <v>0.0900000190054774</v>
      </c>
      <c r="G64" s="33" t="n">
        <f aca="false">(E64+F64)/2</f>
        <v>0.0899999897992313</v>
      </c>
      <c r="H64" s="33" t="n">
        <f aca="false">IF(SUMPRODUCT('The Model'!$D$8:$D$12,1/(1+J63)^{1;2;3;4;5})+FCF5*(1+GTERM)/(J63-GTERM)/(1+J63)^5&gt;$B$8,J63,H63)</f>
        <v>0.0786639650421143</v>
      </c>
      <c r="I64" s="33" t="n">
        <f aca="false">IF(SUMPRODUCT('The Model'!$D$8:$D$12,1/(1+J63)^{1;2;3;4;5})+FCF5*(1+GTERM)/(J63-GTERM)/(1+J63)^5&gt;$B$8,I63,J63)</f>
        <v>0.0786640234546065</v>
      </c>
      <c r="J64" s="33" t="n">
        <f aca="false">(H64+I64)/2</f>
        <v>0.0786639942483604</v>
      </c>
      <c r="K64" s="33" t="n">
        <f aca="false">IF(SUMPRODUCT('The Model'!$D$8:$D$12,1/(1+M63)^{1;2;3;4;5})+FCF5*(1+GTERM)/(M63-GTERM)/(1+M63)^5&gt;$B$9,M63,K63)</f>
        <v>0.0839977849492431</v>
      </c>
      <c r="L64" s="33" t="n">
        <f aca="false">IF(SUMPRODUCT('The Model'!$D$8:$D$12,1/(1+M63)^{1;2;3;4;5})+FCF5*(1+GTERM)/(M63-GTERM)/(1+M63)^5&gt;$B$9,L63,M63)</f>
        <v>0.0839978433617354</v>
      </c>
      <c r="M64" s="33" t="n">
        <f aca="false">(K64+L64)/2</f>
        <v>0.0839978141554892</v>
      </c>
    </row>
    <row r="65" customFormat="false" ht="15" hidden="false" customHeight="false" outlineLevel="0" collapsed="false">
      <c r="A65" s="37" t="n">
        <v>26</v>
      </c>
      <c r="B65" s="33" t="n">
        <f aca="false">IF(SUMPRODUCT('The Model'!$D$8:$D$12,1/(1+D64)^{1;2;3;4;5})+FCF5*(1+GTERM)/(D64-GTERM)/(1+D64)^5&gt;$B$6,D64,B64)</f>
        <v>0.0941928969072402</v>
      </c>
      <c r="C65" s="33" t="n">
        <f aca="false">IF(SUMPRODUCT('The Model'!$D$8:$D$12,1/(1+D64)^{1;2;3;4;5})+FCF5*(1+GTERM)/(D64-GTERM)/(1+D64)^5&gt;$B$6,C64,D64)</f>
        <v>0.0941929261134863</v>
      </c>
      <c r="D65" s="33" t="n">
        <f aca="false">(B65+C65)/2</f>
        <v>0.0941929115103632</v>
      </c>
      <c r="E65" s="33" t="n">
        <f aca="false">IF(SUMPRODUCT('The Model'!$D$8:$D$12,1/(1+G64)^{1;2;3;4;5})+FCF5*(1+GTERM)/(G64-GTERM)/(1+G64)^5&gt;$B$7,G64,E64)</f>
        <v>0.0899999897992313</v>
      </c>
      <c r="F65" s="33" t="n">
        <f aca="false">IF(SUMPRODUCT('The Model'!$D$8:$D$12,1/(1+G64)^{1;2;3;4;5})+FCF5*(1+GTERM)/(G64-GTERM)/(1+G64)^5&gt;$B$7,F64,G64)</f>
        <v>0.0900000190054774</v>
      </c>
      <c r="G65" s="33" t="n">
        <f aca="false">(E65+F65)/2</f>
        <v>0.0900000044023544</v>
      </c>
      <c r="H65" s="33" t="n">
        <f aca="false">IF(SUMPRODUCT('The Model'!$D$8:$D$12,1/(1+J64)^{1;2;3;4;5})+FCF5*(1+GTERM)/(J64-GTERM)/(1+J64)^5&gt;$B$8,J64,H64)</f>
        <v>0.0786639650421143</v>
      </c>
      <c r="I65" s="33" t="n">
        <f aca="false">IF(SUMPRODUCT('The Model'!$D$8:$D$12,1/(1+J64)^{1;2;3;4;5})+FCF5*(1+GTERM)/(J64-GTERM)/(1+J64)^5&gt;$B$8,I64,J64)</f>
        <v>0.0786639942483604</v>
      </c>
      <c r="J65" s="33" t="n">
        <f aca="false">(H65+I65)/2</f>
        <v>0.0786639796452373</v>
      </c>
      <c r="K65" s="33" t="n">
        <f aca="false">IF(SUMPRODUCT('The Model'!$D$8:$D$12,1/(1+M64)^{1;2;3;4;5})+FCF5*(1+GTERM)/(M64-GTERM)/(1+M64)^5&gt;$B$9,M64,K64)</f>
        <v>0.0839977849492431</v>
      </c>
      <c r="L65" s="33" t="n">
        <f aca="false">IF(SUMPRODUCT('The Model'!$D$8:$D$12,1/(1+M64)^{1;2;3;4;5})+FCF5*(1+GTERM)/(M64-GTERM)/(1+M64)^5&gt;$B$9,L64,M64)</f>
        <v>0.0839978141554892</v>
      </c>
      <c r="M65" s="33" t="n">
        <f aca="false">(K65+L65)/2</f>
        <v>0.0839977995523661</v>
      </c>
    </row>
    <row r="66" customFormat="false" ht="15" hidden="false" customHeight="false" outlineLevel="0" collapsed="false">
      <c r="A66" s="37" t="n">
        <v>27</v>
      </c>
      <c r="B66" s="33" t="n">
        <f aca="false">IF(SUMPRODUCT('The Model'!$D$8:$D$12,1/(1+D65)^{1;2;3;4;5})+FCF5*(1+GTERM)/(D65-GTERM)/(1+D65)^5&gt;$B$6,D65,B65)</f>
        <v>0.0941929115103632</v>
      </c>
      <c r="C66" s="33" t="n">
        <f aca="false">IF(SUMPRODUCT('The Model'!$D$8:$D$12,1/(1+D65)^{1;2;3;4;5})+FCF5*(1+GTERM)/(D65-GTERM)/(1+D65)^5&gt;$B$6,C65,D65)</f>
        <v>0.0941929261134863</v>
      </c>
      <c r="D66" s="33" t="n">
        <f aca="false">(B66+C66)/2</f>
        <v>0.0941929188119248</v>
      </c>
      <c r="E66" s="33" t="n">
        <f aca="false">IF(SUMPRODUCT('The Model'!$D$8:$D$12,1/(1+G65)^{1;2;3;4;5})+FCF5*(1+GTERM)/(G65-GTERM)/(1+G65)^5&gt;$B$7,G65,E65)</f>
        <v>0.0899999897992313</v>
      </c>
      <c r="F66" s="33" t="n">
        <f aca="false">IF(SUMPRODUCT('The Model'!$D$8:$D$12,1/(1+G65)^{1;2;3;4;5})+FCF5*(1+GTERM)/(G65-GTERM)/(1+G65)^5&gt;$B$7,F65,G65)</f>
        <v>0.0900000044023544</v>
      </c>
      <c r="G66" s="33" t="n">
        <f aca="false">(E66+F66)/2</f>
        <v>0.0899999971007928</v>
      </c>
      <c r="H66" s="33" t="n">
        <f aca="false">IF(SUMPRODUCT('The Model'!$D$8:$D$12,1/(1+J65)^{1;2;3;4;5})+FCF5*(1+GTERM)/(J65-GTERM)/(1+J65)^5&gt;$B$8,J65,H65)</f>
        <v>0.0786639650421143</v>
      </c>
      <c r="I66" s="33" t="n">
        <f aca="false">IF(SUMPRODUCT('The Model'!$D$8:$D$12,1/(1+J65)^{1;2;3;4;5})+FCF5*(1+GTERM)/(J65-GTERM)/(1+J65)^5&gt;$B$8,I65,J65)</f>
        <v>0.0786639796452373</v>
      </c>
      <c r="J66" s="33" t="n">
        <f aca="false">(H66+I66)/2</f>
        <v>0.0786639723436758</v>
      </c>
      <c r="K66" s="33" t="n">
        <f aca="false">IF(SUMPRODUCT('The Model'!$D$8:$D$12,1/(1+M65)^{1;2;3;4;5})+FCF5*(1+GTERM)/(M65-GTERM)/(1+M65)^5&gt;$B$9,M65,K65)</f>
        <v>0.0839977995523661</v>
      </c>
      <c r="L66" s="33" t="n">
        <f aca="false">IF(SUMPRODUCT('The Model'!$D$8:$D$12,1/(1+M65)^{1;2;3;4;5})+FCF5*(1+GTERM)/(M65-GTERM)/(1+M65)^5&gt;$B$9,L65,M65)</f>
        <v>0.0839978141554892</v>
      </c>
      <c r="M66" s="33" t="n">
        <f aca="false">(K66+L66)/2</f>
        <v>0.0839978068539277</v>
      </c>
    </row>
    <row r="67" customFormat="false" ht="15" hidden="false" customHeight="false" outlineLevel="0" collapsed="false">
      <c r="A67" s="37" t="n">
        <v>28</v>
      </c>
      <c r="B67" s="33" t="n">
        <f aca="false">IF(SUMPRODUCT('The Model'!$D$8:$D$12,1/(1+D66)^{1;2;3;4;5})+FCF5*(1+GTERM)/(D66-GTERM)/(1+D66)^5&gt;$B$6,D66,B66)</f>
        <v>0.0941929188119248</v>
      </c>
      <c r="C67" s="33" t="n">
        <f aca="false">IF(SUMPRODUCT('The Model'!$D$8:$D$12,1/(1+D66)^{1;2;3;4;5})+FCF5*(1+GTERM)/(D66-GTERM)/(1+D66)^5&gt;$B$6,C66,D66)</f>
        <v>0.0941929261134863</v>
      </c>
      <c r="D67" s="33" t="n">
        <f aca="false">(B67+C67)/2</f>
        <v>0.0941929224627056</v>
      </c>
      <c r="E67" s="33" t="n">
        <f aca="false">IF(SUMPRODUCT('The Model'!$D$8:$D$12,1/(1+G66)^{1;2;3;4;5})+FCF5*(1+GTERM)/(G66-GTERM)/(1+G66)^5&gt;$B$7,G66,E66)</f>
        <v>0.0899999971007928</v>
      </c>
      <c r="F67" s="33" t="n">
        <f aca="false">IF(SUMPRODUCT('The Model'!$D$8:$D$12,1/(1+G66)^{1;2;3;4;5})+FCF5*(1+GTERM)/(G66-GTERM)/(1+G66)^5&gt;$B$7,F66,G66)</f>
        <v>0.0900000044023544</v>
      </c>
      <c r="G67" s="33" t="n">
        <f aca="false">(E67+F67)/2</f>
        <v>0.0900000007515736</v>
      </c>
      <c r="H67" s="33" t="n">
        <f aca="false">IF(SUMPRODUCT('The Model'!$D$8:$D$12,1/(1+J66)^{1;2;3;4;5})+FCF5*(1+GTERM)/(J66-GTERM)/(1+J66)^5&gt;$B$8,J66,H66)</f>
        <v>0.0786639650421143</v>
      </c>
      <c r="I67" s="33" t="n">
        <f aca="false">IF(SUMPRODUCT('The Model'!$D$8:$D$12,1/(1+J66)^{1;2;3;4;5})+FCF5*(1+GTERM)/(J66-GTERM)/(1+J66)^5&gt;$B$8,I66,J66)</f>
        <v>0.0786639723436758</v>
      </c>
      <c r="J67" s="33" t="n">
        <f aca="false">(H67+I67)/2</f>
        <v>0.078663968692895</v>
      </c>
      <c r="K67" s="33" t="n">
        <f aca="false">IF(SUMPRODUCT('The Model'!$D$8:$D$12,1/(1+M66)^{1;2;3;4;5})+FCF5*(1+GTERM)/(M66-GTERM)/(1+M66)^5&gt;$B$9,M66,K66)</f>
        <v>0.0839977995523661</v>
      </c>
      <c r="L67" s="33" t="n">
        <f aca="false">IF(SUMPRODUCT('The Model'!$D$8:$D$12,1/(1+M66)^{1;2;3;4;5})+FCF5*(1+GTERM)/(M66-GTERM)/(1+M66)^5&gt;$B$9,L66,M66)</f>
        <v>0.0839978068539277</v>
      </c>
      <c r="M67" s="33" t="n">
        <f aca="false">(K67+L67)/2</f>
        <v>0.0839978032031469</v>
      </c>
    </row>
    <row r="68" customFormat="false" ht="15" hidden="false" customHeight="false" outlineLevel="0" collapsed="false">
      <c r="A68" s="37" t="n">
        <v>29</v>
      </c>
      <c r="B68" s="33" t="n">
        <f aca="false">IF(SUMPRODUCT('The Model'!$D$8:$D$12,1/(1+D67)^{1;2;3;4;5})+FCF5*(1+GTERM)/(D67-GTERM)/(1+D67)^5&gt;$B$6,D67,B67)</f>
        <v>0.0941929224627056</v>
      </c>
      <c r="C68" s="33" t="n">
        <f aca="false">IF(SUMPRODUCT('The Model'!$D$8:$D$12,1/(1+D67)^{1;2;3;4;5})+FCF5*(1+GTERM)/(D67-GTERM)/(1+D67)^5&gt;$B$6,C67,D67)</f>
        <v>0.0941929261134863</v>
      </c>
      <c r="D68" s="33" t="n">
        <f aca="false">(B68+C68)/2</f>
        <v>0.0941929242880959</v>
      </c>
      <c r="E68" s="33" t="n">
        <f aca="false">IF(SUMPRODUCT('The Model'!$D$8:$D$12,1/(1+G67)^{1;2;3;4;5})+FCF5*(1+GTERM)/(G67-GTERM)/(1+G67)^5&gt;$B$7,G67,E67)</f>
        <v>0.0899999971007928</v>
      </c>
      <c r="F68" s="33" t="n">
        <f aca="false">IF(SUMPRODUCT('The Model'!$D$8:$D$12,1/(1+G67)^{1;2;3;4;5})+FCF5*(1+GTERM)/(G67-GTERM)/(1+G67)^5&gt;$B$7,F67,G67)</f>
        <v>0.0900000007515736</v>
      </c>
      <c r="G68" s="33" t="n">
        <f aca="false">(E68+F68)/2</f>
        <v>0.0899999989261832</v>
      </c>
      <c r="H68" s="33" t="n">
        <f aca="false">IF(SUMPRODUCT('The Model'!$D$8:$D$12,1/(1+J67)^{1;2;3;4;5})+FCF5*(1+GTERM)/(J67-GTERM)/(1+J67)^5&gt;$B$8,J67,H67)</f>
        <v>0.078663968692895</v>
      </c>
      <c r="I68" s="33" t="n">
        <f aca="false">IF(SUMPRODUCT('The Model'!$D$8:$D$12,1/(1+J67)^{1;2;3;4;5})+FCF5*(1+GTERM)/(J67-GTERM)/(1+J67)^5&gt;$B$8,I67,J67)</f>
        <v>0.0786639723436758</v>
      </c>
      <c r="J68" s="33" t="n">
        <f aca="false">(H68+I68)/2</f>
        <v>0.0786639705182854</v>
      </c>
      <c r="K68" s="33" t="n">
        <f aca="false">IF(SUMPRODUCT('The Model'!$D$8:$D$12,1/(1+M67)^{1;2;3;4;5})+FCF5*(1+GTERM)/(M67-GTERM)/(1+M67)^5&gt;$B$9,M67,K67)</f>
        <v>0.0839978032031469</v>
      </c>
      <c r="L68" s="33" t="n">
        <f aca="false">IF(SUMPRODUCT('The Model'!$D$8:$D$12,1/(1+M67)^{1;2;3;4;5})+FCF5*(1+GTERM)/(M67-GTERM)/(1+M67)^5&gt;$B$9,L67,M67)</f>
        <v>0.0839978068539277</v>
      </c>
      <c r="M68" s="33" t="n">
        <f aca="false">(K68+L68)/2</f>
        <v>0.0839978050285373</v>
      </c>
    </row>
    <row r="69" customFormat="false" ht="15" hidden="false" customHeight="false" outlineLevel="0" collapsed="false">
      <c r="A69" s="37" t="n">
        <v>30</v>
      </c>
      <c r="B69" s="33" t="n">
        <f aca="false">IF(SUMPRODUCT('The Model'!$D$8:$D$12,1/(1+D68)^{1;2;3;4;5})+FCF5*(1+GTERM)/(D68-GTERM)/(1+D68)^5&gt;$B$6,D68,B68)</f>
        <v>0.0941929242880959</v>
      </c>
      <c r="C69" s="33" t="n">
        <f aca="false">IF(SUMPRODUCT('The Model'!$D$8:$D$12,1/(1+D68)^{1;2;3;4;5})+FCF5*(1+GTERM)/(D68-GTERM)/(1+D68)^5&gt;$B$6,C68,D68)</f>
        <v>0.0941929261134863</v>
      </c>
      <c r="D69" s="33" t="n">
        <f aca="false">(B69+C69)/2</f>
        <v>0.0941929252007911</v>
      </c>
      <c r="E69" s="33" t="n">
        <f aca="false">IF(SUMPRODUCT('The Model'!$D$8:$D$12,1/(1+G68)^{1;2;3;4;5})+FCF5*(1+GTERM)/(G68-GTERM)/(1+G68)^5&gt;$B$7,G68,E68)</f>
        <v>0.0899999989261832</v>
      </c>
      <c r="F69" s="33" t="n">
        <f aca="false">IF(SUMPRODUCT('The Model'!$D$8:$D$12,1/(1+G68)^{1;2;3;4;5})+FCF5*(1+GTERM)/(G68-GTERM)/(1+G68)^5&gt;$B$7,F68,G68)</f>
        <v>0.0900000007515736</v>
      </c>
      <c r="G69" s="33" t="n">
        <f aca="false">(E69+F69)/2</f>
        <v>0.0899999998388784</v>
      </c>
      <c r="H69" s="33" t="n">
        <f aca="false">IF(SUMPRODUCT('The Model'!$D$8:$D$12,1/(1+J68)^{1;2;3;4;5})+FCF5*(1+GTERM)/(J68-GTERM)/(1+J68)^5&gt;$B$8,J68,H68)</f>
        <v>0.078663968692895</v>
      </c>
      <c r="I69" s="33" t="n">
        <f aca="false">IF(SUMPRODUCT('The Model'!$D$8:$D$12,1/(1+J68)^{1;2;3;4;5})+FCF5*(1+GTERM)/(J68-GTERM)/(1+J68)^5&gt;$B$8,I68,J68)</f>
        <v>0.0786639705182854</v>
      </c>
      <c r="J69" s="33" t="n">
        <f aca="false">(H69+I69)/2</f>
        <v>0.0786639696055902</v>
      </c>
      <c r="K69" s="33" t="n">
        <f aca="false">IF(SUMPRODUCT('The Model'!$D$8:$D$12,1/(1+M68)^{1;2;3;4;5})+FCF5*(1+GTERM)/(M68-GTERM)/(1+M68)^5&gt;$B$9,M68,K68)</f>
        <v>0.0839978032031469</v>
      </c>
      <c r="L69" s="33" t="n">
        <f aca="false">IF(SUMPRODUCT('The Model'!$D$8:$D$12,1/(1+M68)^{1;2;3;4;5})+FCF5*(1+GTERM)/(M68-GTERM)/(1+M68)^5&gt;$B$9,L68,M68)</f>
        <v>0.0839978050285373</v>
      </c>
      <c r="M69" s="33" t="n">
        <f aca="false">(K69+L69)/2</f>
        <v>0.0839978041158421</v>
      </c>
    </row>
    <row r="70" customFormat="false" ht="15" hidden="false" customHeight="false" outlineLevel="0" collapsed="false">
      <c r="A70" s="37" t="n">
        <v>31</v>
      </c>
      <c r="B70" s="33" t="n">
        <f aca="false">IF(SUMPRODUCT('The Model'!$D$8:$D$12,1/(1+D69)^{1;2;3;4;5})+FCF5*(1+GTERM)/(D69-GTERM)/(1+D69)^5&gt;$B$6,D69,B69)</f>
        <v>0.0941929242880959</v>
      </c>
      <c r="C70" s="33" t="n">
        <f aca="false">IF(SUMPRODUCT('The Model'!$D$8:$D$12,1/(1+D69)^{1;2;3;4;5})+FCF5*(1+GTERM)/(D69-GTERM)/(1+D69)^5&gt;$B$6,C69,D69)</f>
        <v>0.0941929252007911</v>
      </c>
      <c r="D70" s="33" t="n">
        <f aca="false">(B70+C70)/2</f>
        <v>0.0941929247444435</v>
      </c>
      <c r="E70" s="33" t="n">
        <f aca="false">IF(SUMPRODUCT('The Model'!$D$8:$D$12,1/(1+G69)^{1;2;3;4;5})+FCF5*(1+GTERM)/(G69-GTERM)/(1+G69)^5&gt;$B$7,G69,E69)</f>
        <v>0.0899999998388784</v>
      </c>
      <c r="F70" s="33" t="n">
        <f aca="false">IF(SUMPRODUCT('The Model'!$D$8:$D$12,1/(1+G69)^{1;2;3;4;5})+FCF5*(1+GTERM)/(G69-GTERM)/(1+G69)^5&gt;$B$7,F69,G69)</f>
        <v>0.0900000007515736</v>
      </c>
      <c r="G70" s="33" t="n">
        <f aca="false">(E70+F70)/2</f>
        <v>0.090000000295226</v>
      </c>
      <c r="H70" s="33" t="n">
        <f aca="false">IF(SUMPRODUCT('The Model'!$D$8:$D$12,1/(1+J69)^{1;2;3;4;5})+FCF5*(1+GTERM)/(J69-GTERM)/(1+J69)^5&gt;$B$8,J69,H69)</f>
        <v>0.0786639696055902</v>
      </c>
      <c r="I70" s="33" t="n">
        <f aca="false">IF(SUMPRODUCT('The Model'!$D$8:$D$12,1/(1+J69)^{1;2;3;4;5})+FCF5*(1+GTERM)/(J69-GTERM)/(1+J69)^5&gt;$B$8,I69,J69)</f>
        <v>0.0786639705182854</v>
      </c>
      <c r="J70" s="33" t="n">
        <f aca="false">(H70+I70)/2</f>
        <v>0.0786639700619378</v>
      </c>
      <c r="K70" s="33" t="n">
        <f aca="false">IF(SUMPRODUCT('The Model'!$D$8:$D$12,1/(1+M69)^{1;2;3;4;5})+FCF5*(1+GTERM)/(M69-GTERM)/(1+M69)^5&gt;$B$9,M69,K69)</f>
        <v>0.0839978032031469</v>
      </c>
      <c r="L70" s="33" t="n">
        <f aca="false">IF(SUMPRODUCT('The Model'!$D$8:$D$12,1/(1+M69)^{1;2;3;4;5})+FCF5*(1+GTERM)/(M69-GTERM)/(1+M69)^5&gt;$B$9,L69,M69)</f>
        <v>0.0839978041158421</v>
      </c>
      <c r="M70" s="33" t="n">
        <f aca="false">(K70+L70)/2</f>
        <v>0.0839978036594945</v>
      </c>
    </row>
    <row r="71" customFormat="false" ht="15" hidden="false" customHeight="false" outlineLevel="0" collapsed="false">
      <c r="A71" s="37" t="n">
        <v>32</v>
      </c>
      <c r="B71" s="33" t="n">
        <f aca="false">IF(SUMPRODUCT('The Model'!$D$8:$D$12,1/(1+D70)^{1;2;3;4;5})+FCF5*(1+GTERM)/(D70-GTERM)/(1+D70)^5&gt;$B$6,D70,B70)</f>
        <v>0.0941929247444435</v>
      </c>
      <c r="C71" s="33" t="n">
        <f aca="false">IF(SUMPRODUCT('The Model'!$D$8:$D$12,1/(1+D70)^{1;2;3;4;5})+FCF5*(1+GTERM)/(D70-GTERM)/(1+D70)^5&gt;$B$6,C70,D70)</f>
        <v>0.0941929252007911</v>
      </c>
      <c r="D71" s="33" t="n">
        <f aca="false">(B71+C71)/2</f>
        <v>0.0941929249726173</v>
      </c>
      <c r="E71" s="33" t="n">
        <f aca="false">IF(SUMPRODUCT('The Model'!$D$8:$D$12,1/(1+G70)^{1;2;3;4;5})+FCF5*(1+GTERM)/(G70-GTERM)/(1+G70)^5&gt;$B$7,G70,E70)</f>
        <v>0.0899999998388784</v>
      </c>
      <c r="F71" s="33" t="n">
        <f aca="false">IF(SUMPRODUCT('The Model'!$D$8:$D$12,1/(1+G70)^{1;2;3;4;5})+FCF5*(1+GTERM)/(G70-GTERM)/(1+G70)^5&gt;$B$7,F70,G70)</f>
        <v>0.090000000295226</v>
      </c>
      <c r="G71" s="33" t="n">
        <f aca="false">(E71+F71)/2</f>
        <v>0.0900000000670522</v>
      </c>
      <c r="H71" s="33" t="n">
        <f aca="false">IF(SUMPRODUCT('The Model'!$D$8:$D$12,1/(1+J70)^{1;2;3;4;5})+FCF5*(1+GTERM)/(J70-GTERM)/(1+J70)^5&gt;$B$8,J70,H70)</f>
        <v>0.0786639700619378</v>
      </c>
      <c r="I71" s="33" t="n">
        <f aca="false">IF(SUMPRODUCT('The Model'!$D$8:$D$12,1/(1+J70)^{1;2;3;4;5})+FCF5*(1+GTERM)/(J70-GTERM)/(1+J70)^5&gt;$B$8,I70,J70)</f>
        <v>0.0786639705182854</v>
      </c>
      <c r="J71" s="33" t="n">
        <f aca="false">(H71+I71)/2</f>
        <v>0.0786639702901116</v>
      </c>
      <c r="K71" s="33" t="n">
        <f aca="false">IF(SUMPRODUCT('The Model'!$D$8:$D$12,1/(1+M70)^{1;2;3;4;5})+FCF5*(1+GTERM)/(M70-GTERM)/(1+M70)^5&gt;$B$9,M70,K70)</f>
        <v>0.0839978032031469</v>
      </c>
      <c r="L71" s="33" t="n">
        <f aca="false">IF(SUMPRODUCT('The Model'!$D$8:$D$12,1/(1+M70)^{1;2;3;4;5})+FCF5*(1+GTERM)/(M70-GTERM)/(1+M70)^5&gt;$B$9,L70,M70)</f>
        <v>0.0839978036594945</v>
      </c>
      <c r="M71" s="33" t="n">
        <f aca="false">(K71+L71)/2</f>
        <v>0.0839978034313207</v>
      </c>
    </row>
    <row r="72" customFormat="false" ht="15" hidden="false" customHeight="false" outlineLevel="0" collapsed="false">
      <c r="A72" s="37" t="n">
        <v>33</v>
      </c>
      <c r="B72" s="33" t="n">
        <f aca="false">IF(SUMPRODUCT('The Model'!$D$8:$D$12,1/(1+D71)^{1;2;3;4;5})+FCF5*(1+GTERM)/(D71-GTERM)/(1+D71)^5&gt;$B$6,D71,B71)</f>
        <v>0.0941929247444435</v>
      </c>
      <c r="C72" s="33" t="n">
        <f aca="false">IF(SUMPRODUCT('The Model'!$D$8:$D$12,1/(1+D71)^{1;2;3;4;5})+FCF5*(1+GTERM)/(D71-GTERM)/(1+D71)^5&gt;$B$6,C71,D71)</f>
        <v>0.0941929249726173</v>
      </c>
      <c r="D72" s="33" t="n">
        <f aca="false">(B72+C72)/2</f>
        <v>0.0941929248585304</v>
      </c>
      <c r="E72" s="33" t="n">
        <f aca="false">IF(SUMPRODUCT('The Model'!$D$8:$D$12,1/(1+G71)^{1;2;3;4;5})+FCF5*(1+GTERM)/(G71-GTERM)/(1+G71)^5&gt;$B$7,G71,E71)</f>
        <v>0.0899999998388784</v>
      </c>
      <c r="F72" s="33" t="n">
        <f aca="false">IF(SUMPRODUCT('The Model'!$D$8:$D$12,1/(1+G71)^{1;2;3;4;5})+FCF5*(1+GTERM)/(G71-GTERM)/(1+G71)^5&gt;$B$7,F71,G71)</f>
        <v>0.0900000000670522</v>
      </c>
      <c r="G72" s="33" t="n">
        <f aca="false">(E72+F72)/2</f>
        <v>0.0899999999529653</v>
      </c>
      <c r="H72" s="33" t="n">
        <f aca="false">IF(SUMPRODUCT('The Model'!$D$8:$D$12,1/(1+J71)^{1;2;3;4;5})+FCF5*(1+GTERM)/(J71-GTERM)/(1+J71)^5&gt;$B$8,J71,H71)</f>
        <v>0.0786639702901116</v>
      </c>
      <c r="I72" s="33" t="n">
        <f aca="false">IF(SUMPRODUCT('The Model'!$D$8:$D$12,1/(1+J71)^{1;2;3;4;5})+FCF5*(1+GTERM)/(J71-GTERM)/(1+J71)^5&gt;$B$8,I71,J71)</f>
        <v>0.0786639705182854</v>
      </c>
      <c r="J72" s="33" t="n">
        <f aca="false">(H72+I72)/2</f>
        <v>0.0786639704041985</v>
      </c>
      <c r="K72" s="33" t="n">
        <f aca="false">IF(SUMPRODUCT('The Model'!$D$8:$D$12,1/(1+M71)^{1;2;3;4;5})+FCF5*(1+GTERM)/(M71-GTERM)/(1+M71)^5&gt;$B$9,M71,K71)</f>
        <v>0.0839978032031469</v>
      </c>
      <c r="L72" s="33" t="n">
        <f aca="false">IF(SUMPRODUCT('The Model'!$D$8:$D$12,1/(1+M71)^{1;2;3;4;5})+FCF5*(1+GTERM)/(M71-GTERM)/(1+M71)^5&gt;$B$9,L71,M71)</f>
        <v>0.0839978034313207</v>
      </c>
      <c r="M72" s="33" t="n">
        <f aca="false">(K72+L72)/2</f>
        <v>0.0839978033172338</v>
      </c>
    </row>
    <row r="73" customFormat="false" ht="15" hidden="false" customHeight="false" outlineLevel="0" collapsed="false">
      <c r="A73" s="37" t="n">
        <v>34</v>
      </c>
      <c r="B73" s="33" t="n">
        <f aca="false">IF(SUMPRODUCT('The Model'!$D$8:$D$12,1/(1+D72)^{1;2;3;4;5})+FCF5*(1+GTERM)/(D72-GTERM)/(1+D72)^5&gt;$B$6,D72,B72)</f>
        <v>0.0941929247444435</v>
      </c>
      <c r="C73" s="33" t="n">
        <f aca="false">IF(SUMPRODUCT('The Model'!$D$8:$D$12,1/(1+D72)^{1;2;3;4;5})+FCF5*(1+GTERM)/(D72-GTERM)/(1+D72)^5&gt;$B$6,C72,D72)</f>
        <v>0.0941929248585304</v>
      </c>
      <c r="D73" s="33" t="n">
        <f aca="false">(B73+C73)/2</f>
        <v>0.094192924801487</v>
      </c>
      <c r="E73" s="33" t="n">
        <f aca="false">IF(SUMPRODUCT('The Model'!$D$8:$D$12,1/(1+G72)^{1;2;3;4;5})+FCF5*(1+GTERM)/(G72-GTERM)/(1+G72)^5&gt;$B$7,G72,E72)</f>
        <v>0.0899999999529653</v>
      </c>
      <c r="F73" s="33" t="n">
        <f aca="false">IF(SUMPRODUCT('The Model'!$D$8:$D$12,1/(1+G72)^{1;2;3;4;5})+FCF5*(1+GTERM)/(G72-GTERM)/(1+G72)^5&gt;$B$7,F72,G72)</f>
        <v>0.0900000000670522</v>
      </c>
      <c r="G73" s="33" t="n">
        <f aca="false">(E73+F73)/2</f>
        <v>0.0900000000100088</v>
      </c>
      <c r="H73" s="33" t="n">
        <f aca="false">IF(SUMPRODUCT('The Model'!$D$8:$D$12,1/(1+J72)^{1;2;3;4;5})+FCF5*(1+GTERM)/(J72-GTERM)/(1+J72)^5&gt;$B$8,J72,H72)</f>
        <v>0.0786639704041985</v>
      </c>
      <c r="I73" s="33" t="n">
        <f aca="false">IF(SUMPRODUCT('The Model'!$D$8:$D$12,1/(1+J72)^{1;2;3;4;5})+FCF5*(1+GTERM)/(J72-GTERM)/(1+J72)^5&gt;$B$8,I72,J72)</f>
        <v>0.0786639705182854</v>
      </c>
      <c r="J73" s="33" t="n">
        <f aca="false">(H73+I73)/2</f>
        <v>0.078663970461242</v>
      </c>
      <c r="K73" s="33" t="n">
        <f aca="false">IF(SUMPRODUCT('The Model'!$D$8:$D$12,1/(1+M72)^{1;2;3;4;5})+FCF5*(1+GTERM)/(M72-GTERM)/(1+M72)^5&gt;$B$9,M72,K72)</f>
        <v>0.0839978032031469</v>
      </c>
      <c r="L73" s="33" t="n">
        <f aca="false">IF(SUMPRODUCT('The Model'!$D$8:$D$12,1/(1+M72)^{1;2;3;4;5})+FCF5*(1+GTERM)/(M72-GTERM)/(1+M72)^5&gt;$B$9,L72,M72)</f>
        <v>0.0839978033172338</v>
      </c>
      <c r="M73" s="33" t="n">
        <f aca="false">(K73+L73)/2</f>
        <v>0.0839978032601904</v>
      </c>
    </row>
    <row r="74" customFormat="false" ht="15" hidden="false" customHeight="false" outlineLevel="0" collapsed="false">
      <c r="A74" s="37" t="n">
        <v>35</v>
      </c>
      <c r="B74" s="33" t="n">
        <f aca="false">IF(SUMPRODUCT('The Model'!$D$8:$D$12,1/(1+D73)^{1;2;3;4;5})+FCF5*(1+GTERM)/(D73-GTERM)/(1+D73)^5&gt;$B$6,D73,B73)</f>
        <v>0.094192924801487</v>
      </c>
      <c r="C74" s="33" t="n">
        <f aca="false">IF(SUMPRODUCT('The Model'!$D$8:$D$12,1/(1+D73)^{1;2;3;4;5})+FCF5*(1+GTERM)/(D73-GTERM)/(1+D73)^5&gt;$B$6,C73,D73)</f>
        <v>0.0941929248585304</v>
      </c>
      <c r="D74" s="33" t="n">
        <f aca="false">(B74+C74)/2</f>
        <v>0.0941929248300087</v>
      </c>
      <c r="E74" s="33" t="n">
        <f aca="false">IF(SUMPRODUCT('The Model'!$D$8:$D$12,1/(1+G73)^{1;2;3;4;5})+FCF5*(1+GTERM)/(G73-GTERM)/(1+G73)^5&gt;$B$7,G73,E73)</f>
        <v>0.0899999999529653</v>
      </c>
      <c r="F74" s="33" t="n">
        <f aca="false">IF(SUMPRODUCT('The Model'!$D$8:$D$12,1/(1+G73)^{1;2;3;4;5})+FCF5*(1+GTERM)/(G73-GTERM)/(1+G73)^5&gt;$B$7,F73,G73)</f>
        <v>0.0900000000100088</v>
      </c>
      <c r="G74" s="33" t="n">
        <f aca="false">(E74+F74)/2</f>
        <v>0.089999999981487</v>
      </c>
      <c r="H74" s="33" t="n">
        <f aca="false">IF(SUMPRODUCT('The Model'!$D$8:$D$12,1/(1+J73)^{1;2;3;4;5})+FCF5*(1+GTERM)/(J73-GTERM)/(1+J73)^5&gt;$B$8,J73,H73)</f>
        <v>0.0786639704041985</v>
      </c>
      <c r="I74" s="33" t="n">
        <f aca="false">IF(SUMPRODUCT('The Model'!$D$8:$D$12,1/(1+J73)^{1;2;3;4;5})+FCF5*(1+GTERM)/(J73-GTERM)/(1+J73)^5&gt;$B$8,I73,J73)</f>
        <v>0.078663970461242</v>
      </c>
      <c r="J74" s="33" t="n">
        <f aca="false">(H74+I74)/2</f>
        <v>0.0786639704327202</v>
      </c>
      <c r="K74" s="33" t="n">
        <f aca="false">IF(SUMPRODUCT('The Model'!$D$8:$D$12,1/(1+M73)^{1;2;3;4;5})+FCF5*(1+GTERM)/(M73-GTERM)/(1+M73)^5&gt;$B$9,M73,K73)</f>
        <v>0.0839978032031469</v>
      </c>
      <c r="L74" s="33" t="n">
        <f aca="false">IF(SUMPRODUCT('The Model'!$D$8:$D$12,1/(1+M73)^{1;2;3;4;5})+FCF5*(1+GTERM)/(M73-GTERM)/(1+M73)^5&gt;$B$9,L73,M73)</f>
        <v>0.0839978032601904</v>
      </c>
      <c r="M74" s="33" t="n">
        <f aca="false">(K74+L74)/2</f>
        <v>0.0839978032316686</v>
      </c>
    </row>
    <row r="75" customFormat="false" ht="15" hidden="false" customHeight="false" outlineLevel="0" collapsed="false">
      <c r="A75" s="37" t="n">
        <v>36</v>
      </c>
      <c r="B75" s="33" t="n">
        <f aca="false">IF(SUMPRODUCT('The Model'!$D$8:$D$12,1/(1+D74)^{1;2;3;4;5})+FCF5*(1+GTERM)/(D74-GTERM)/(1+D74)^5&gt;$B$6,D74,B74)</f>
        <v>0.094192924801487</v>
      </c>
      <c r="C75" s="33" t="n">
        <f aca="false">IF(SUMPRODUCT('The Model'!$D$8:$D$12,1/(1+D74)^{1;2;3;4;5})+FCF5*(1+GTERM)/(D74-GTERM)/(1+D74)^5&gt;$B$6,C74,D74)</f>
        <v>0.0941929248300087</v>
      </c>
      <c r="D75" s="33" t="n">
        <f aca="false">(B75+C75)/2</f>
        <v>0.0941929248157478</v>
      </c>
      <c r="E75" s="33" t="n">
        <f aca="false">IF(SUMPRODUCT('The Model'!$D$8:$D$12,1/(1+G74)^{1;2;3;4;5})+FCF5*(1+GTERM)/(G74-GTERM)/(1+G74)^5&gt;$B$7,G74,E74)</f>
        <v>0.089999999981487</v>
      </c>
      <c r="F75" s="33" t="n">
        <f aca="false">IF(SUMPRODUCT('The Model'!$D$8:$D$12,1/(1+G74)^{1;2;3;4;5})+FCF5*(1+GTERM)/(G74-GTERM)/(1+G74)^5&gt;$B$7,F74,G74)</f>
        <v>0.0900000000100088</v>
      </c>
      <c r="G75" s="33" t="n">
        <f aca="false">(E75+F75)/2</f>
        <v>0.0899999999957479</v>
      </c>
      <c r="H75" s="33" t="n">
        <f aca="false">IF(SUMPRODUCT('The Model'!$D$8:$D$12,1/(1+J74)^{1;2;3;4;5})+FCF5*(1+GTERM)/(J74-GTERM)/(1+J74)^5&gt;$B$8,J74,H74)</f>
        <v>0.0786639704327202</v>
      </c>
      <c r="I75" s="33" t="n">
        <f aca="false">IF(SUMPRODUCT('The Model'!$D$8:$D$12,1/(1+J74)^{1;2;3;4;5})+FCF5*(1+GTERM)/(J74-GTERM)/(1+J74)^5&gt;$B$8,I74,J74)</f>
        <v>0.078663970461242</v>
      </c>
      <c r="J75" s="33" t="n">
        <f aca="false">(H75+I75)/2</f>
        <v>0.0786639704469811</v>
      </c>
      <c r="K75" s="33" t="n">
        <f aca="false">IF(SUMPRODUCT('The Model'!$D$8:$D$12,1/(1+M74)^{1;2;3;4;5})+FCF5*(1+GTERM)/(M74-GTERM)/(1+M74)^5&gt;$B$9,M74,K74)</f>
        <v>0.0839978032031469</v>
      </c>
      <c r="L75" s="33" t="n">
        <f aca="false">IF(SUMPRODUCT('The Model'!$D$8:$D$12,1/(1+M74)^{1;2;3;4;5})+FCF5*(1+GTERM)/(M74-GTERM)/(1+M74)^5&gt;$B$9,L74,M74)</f>
        <v>0.0839978032316686</v>
      </c>
      <c r="M75" s="33" t="n">
        <f aca="false">(K75+L75)/2</f>
        <v>0.0839978032174078</v>
      </c>
    </row>
    <row r="76" customFormat="false" ht="15" hidden="false" customHeight="false" outlineLevel="0" collapsed="false">
      <c r="A76" s="37" t="n">
        <v>37</v>
      </c>
      <c r="B76" s="33" t="n">
        <f aca="false">IF(SUMPRODUCT('The Model'!$D$8:$D$12,1/(1+D75)^{1;2;3;4;5})+FCF5*(1+GTERM)/(D75-GTERM)/(1+D75)^5&gt;$B$6,D75,B75)</f>
        <v>0.0941929248157478</v>
      </c>
      <c r="C76" s="33" t="n">
        <f aca="false">IF(SUMPRODUCT('The Model'!$D$8:$D$12,1/(1+D75)^{1;2;3;4;5})+FCF5*(1+GTERM)/(D75-GTERM)/(1+D75)^5&gt;$B$6,C75,D75)</f>
        <v>0.0941929248300087</v>
      </c>
      <c r="D76" s="33" t="n">
        <f aca="false">(B76+C76)/2</f>
        <v>0.0941929248228783</v>
      </c>
      <c r="E76" s="33" t="n">
        <f aca="false">IF(SUMPRODUCT('The Model'!$D$8:$D$12,1/(1+G75)^{1;2;3;4;5})+FCF5*(1+GTERM)/(G75-GTERM)/(1+G75)^5&gt;$B$7,G75,E75)</f>
        <v>0.0899999999957479</v>
      </c>
      <c r="F76" s="33" t="n">
        <f aca="false">IF(SUMPRODUCT('The Model'!$D$8:$D$12,1/(1+G75)^{1;2;3;4;5})+FCF5*(1+GTERM)/(G75-GTERM)/(1+G75)^5&gt;$B$7,F75,G75)</f>
        <v>0.0900000000100088</v>
      </c>
      <c r="G76" s="33" t="n">
        <f aca="false">(E76+F76)/2</f>
        <v>0.0900000000028783</v>
      </c>
      <c r="H76" s="33" t="n">
        <f aca="false">IF(SUMPRODUCT('The Model'!$D$8:$D$12,1/(1+J75)^{1;2;3;4;5})+FCF5*(1+GTERM)/(J75-GTERM)/(1+J75)^5&gt;$B$8,J75,H75)</f>
        <v>0.0786639704327202</v>
      </c>
      <c r="I76" s="33" t="n">
        <f aca="false">IF(SUMPRODUCT('The Model'!$D$8:$D$12,1/(1+J75)^{1;2;3;4;5})+FCF5*(1+GTERM)/(J75-GTERM)/(1+J75)^5&gt;$B$8,I75,J75)</f>
        <v>0.0786639704469811</v>
      </c>
      <c r="J76" s="33" t="n">
        <f aca="false">(H76+I76)/2</f>
        <v>0.0786639704398507</v>
      </c>
      <c r="K76" s="33" t="n">
        <f aca="false">IF(SUMPRODUCT('The Model'!$D$8:$D$12,1/(1+M75)^{1;2;3;4;5})+FCF5*(1+GTERM)/(M75-GTERM)/(1+M75)^5&gt;$B$9,M75,K75)</f>
        <v>0.0839978032031469</v>
      </c>
      <c r="L76" s="33" t="n">
        <f aca="false">IF(SUMPRODUCT('The Model'!$D$8:$D$12,1/(1+M75)^{1;2;3;4;5})+FCF5*(1+GTERM)/(M75-GTERM)/(1+M75)^5&gt;$B$9,L75,M75)</f>
        <v>0.0839978032174078</v>
      </c>
      <c r="M76" s="33" t="n">
        <f aca="false">(K76+L76)/2</f>
        <v>0.0839978032102773</v>
      </c>
    </row>
    <row r="77" customFormat="false" ht="15" hidden="false" customHeight="false" outlineLevel="0" collapsed="false">
      <c r="A77" s="37" t="n">
        <v>38</v>
      </c>
      <c r="B77" s="33" t="n">
        <f aca="false">IF(SUMPRODUCT('The Model'!$D$8:$D$12,1/(1+D76)^{1;2;3;4;5})+FCF5*(1+GTERM)/(D76-GTERM)/(1+D76)^5&gt;$B$6,D76,B76)</f>
        <v>0.0941929248228783</v>
      </c>
      <c r="C77" s="33" t="n">
        <f aca="false">IF(SUMPRODUCT('The Model'!$D$8:$D$12,1/(1+D76)^{1;2;3;4;5})+FCF5*(1+GTERM)/(D76-GTERM)/(1+D76)^5&gt;$B$6,C76,D76)</f>
        <v>0.0941929248300087</v>
      </c>
      <c r="D77" s="33" t="n">
        <f aca="false">(B77+C77)/2</f>
        <v>0.0941929248264435</v>
      </c>
      <c r="E77" s="33" t="n">
        <f aca="false">IF(SUMPRODUCT('The Model'!$D$8:$D$12,1/(1+G76)^{1;2;3;4;5})+FCF5*(1+GTERM)/(G76-GTERM)/(1+G76)^5&gt;$B$7,G76,E76)</f>
        <v>0.0899999999957479</v>
      </c>
      <c r="F77" s="33" t="n">
        <f aca="false">IF(SUMPRODUCT('The Model'!$D$8:$D$12,1/(1+G76)^{1;2;3;4;5})+FCF5*(1+GTERM)/(G76-GTERM)/(1+G76)^5&gt;$B$7,F76,G76)</f>
        <v>0.0900000000028783</v>
      </c>
      <c r="G77" s="33" t="n">
        <f aca="false">(E77+F77)/2</f>
        <v>0.0899999999993131</v>
      </c>
      <c r="H77" s="33" t="n">
        <f aca="false">IF(SUMPRODUCT('The Model'!$D$8:$D$12,1/(1+J76)^{1;2;3;4;5})+FCF5*(1+GTERM)/(J76-GTERM)/(1+J76)^5&gt;$B$8,J76,H76)</f>
        <v>0.0786639704327202</v>
      </c>
      <c r="I77" s="33" t="n">
        <f aca="false">IF(SUMPRODUCT('The Model'!$D$8:$D$12,1/(1+J76)^{1;2;3;4;5})+FCF5*(1+GTERM)/(J76-GTERM)/(1+J76)^5&gt;$B$8,I76,J76)</f>
        <v>0.0786639704398507</v>
      </c>
      <c r="J77" s="33" t="n">
        <f aca="false">(H77+I77)/2</f>
        <v>0.0786639704362855</v>
      </c>
      <c r="K77" s="33" t="n">
        <f aca="false">IF(SUMPRODUCT('The Model'!$D$8:$D$12,1/(1+M76)^{1;2;3;4;5})+FCF5*(1+GTERM)/(M76-GTERM)/(1+M76)^5&gt;$B$9,M76,K76)</f>
        <v>0.0839978032102773</v>
      </c>
      <c r="L77" s="33" t="n">
        <f aca="false">IF(SUMPRODUCT('The Model'!$D$8:$D$12,1/(1+M76)^{1;2;3;4;5})+FCF5*(1+GTERM)/(M76-GTERM)/(1+M76)^5&gt;$B$9,L76,M76)</f>
        <v>0.0839978032174078</v>
      </c>
      <c r="M77" s="33" t="n">
        <f aca="false">(K77+L77)/2</f>
        <v>0.0839978032138426</v>
      </c>
    </row>
    <row r="78" customFormat="false" ht="15" hidden="false" customHeight="false" outlineLevel="0" collapsed="false">
      <c r="A78" s="37" t="n">
        <v>39</v>
      </c>
      <c r="B78" s="33" t="n">
        <f aca="false">IF(SUMPRODUCT('The Model'!$D$8:$D$12,1/(1+D77)^{1;2;3;4;5})+FCF5*(1+GTERM)/(D77-GTERM)/(1+D77)^5&gt;$B$6,D77,B77)</f>
        <v>0.0941929248228783</v>
      </c>
      <c r="C78" s="33" t="n">
        <f aca="false">IF(SUMPRODUCT('The Model'!$D$8:$D$12,1/(1+D77)^{1;2;3;4;5})+FCF5*(1+GTERM)/(D77-GTERM)/(1+D77)^5&gt;$B$6,C77,D77)</f>
        <v>0.0941929248264435</v>
      </c>
      <c r="D78" s="33" t="n">
        <f aca="false">(B78+C78)/2</f>
        <v>0.0941929248246609</v>
      </c>
      <c r="E78" s="33" t="n">
        <f aca="false">IF(SUMPRODUCT('The Model'!$D$8:$D$12,1/(1+G77)^{1;2;3;4;5})+FCF5*(1+GTERM)/(G77-GTERM)/(1+G77)^5&gt;$B$7,G77,E77)</f>
        <v>0.0899999999993131</v>
      </c>
      <c r="F78" s="33" t="n">
        <f aca="false">IF(SUMPRODUCT('The Model'!$D$8:$D$12,1/(1+G77)^{1;2;3;4;5})+FCF5*(1+GTERM)/(G77-GTERM)/(1+G77)^5&gt;$B$7,F77,G77)</f>
        <v>0.0900000000028783</v>
      </c>
      <c r="G78" s="33" t="n">
        <f aca="false">(E78+F78)/2</f>
        <v>0.0900000000010957</v>
      </c>
      <c r="H78" s="33" t="n">
        <f aca="false">IF(SUMPRODUCT('The Model'!$D$8:$D$12,1/(1+J77)^{1;2;3;4;5})+FCF5*(1+GTERM)/(J77-GTERM)/(1+J77)^5&gt;$B$8,J77,H77)</f>
        <v>0.0786639704362855</v>
      </c>
      <c r="I78" s="33" t="n">
        <f aca="false">IF(SUMPRODUCT('The Model'!$D$8:$D$12,1/(1+J77)^{1;2;3;4;5})+FCF5*(1+GTERM)/(J77-GTERM)/(1+J77)^5&gt;$B$8,I77,J77)</f>
        <v>0.0786639704398507</v>
      </c>
      <c r="J78" s="33" t="n">
        <f aca="false">(H78+I78)/2</f>
        <v>0.0786639704380681</v>
      </c>
      <c r="K78" s="33" t="n">
        <f aca="false">IF(SUMPRODUCT('The Model'!$D$8:$D$12,1/(1+M77)^{1;2;3;4;5})+FCF5*(1+GTERM)/(M77-GTERM)/(1+M77)^5&gt;$B$9,M77,K77)</f>
        <v>0.0839978032102773</v>
      </c>
      <c r="L78" s="33" t="n">
        <f aca="false">IF(SUMPRODUCT('The Model'!$D$8:$D$12,1/(1+M77)^{1;2;3;4;5})+FCF5*(1+GTERM)/(M77-GTERM)/(1+M77)^5&gt;$B$9,L77,M77)</f>
        <v>0.0839978032138426</v>
      </c>
      <c r="M78" s="33" t="n">
        <f aca="false">(K78+L78)/2</f>
        <v>0.0839978032120599</v>
      </c>
    </row>
    <row r="79" customFormat="false" ht="15" hidden="false" customHeight="false" outlineLevel="0" collapsed="false">
      <c r="A79" s="37" t="n">
        <v>40</v>
      </c>
      <c r="B79" s="33" t="n">
        <f aca="false">IF(SUMPRODUCT('The Model'!$D$8:$D$12,1/(1+D78)^{1;2;3;4;5})+FCF5*(1+GTERM)/(D78-GTERM)/(1+D78)^5&gt;$B$6,D78,B78)</f>
        <v>0.0941929248246609</v>
      </c>
      <c r="C79" s="33" t="n">
        <f aca="false">IF(SUMPRODUCT('The Model'!$D$8:$D$12,1/(1+D78)^{1;2;3;4;5})+FCF5*(1+GTERM)/(D78-GTERM)/(1+D78)^5&gt;$B$6,C78,D78)</f>
        <v>0.0941929248264435</v>
      </c>
      <c r="D79" s="33" t="n">
        <f aca="false">(B79+C79)/2</f>
        <v>0.0941929248255522</v>
      </c>
      <c r="E79" s="33" t="n">
        <f aca="false">IF(SUMPRODUCT('The Model'!$D$8:$D$12,1/(1+G78)^{1;2;3;4;5})+FCF5*(1+GTERM)/(G78-GTERM)/(1+G78)^5&gt;$B$7,G78,E78)</f>
        <v>0.0899999999993131</v>
      </c>
      <c r="F79" s="33" t="n">
        <f aca="false">IF(SUMPRODUCT('The Model'!$D$8:$D$12,1/(1+G78)^{1;2;3;4;5})+FCF5*(1+GTERM)/(G78-GTERM)/(1+G78)^5&gt;$B$7,F78,G78)</f>
        <v>0.0900000000010957</v>
      </c>
      <c r="G79" s="33" t="n">
        <f aca="false">(E79+F79)/2</f>
        <v>0.0900000000002044</v>
      </c>
      <c r="H79" s="33" t="n">
        <f aca="false">IF(SUMPRODUCT('The Model'!$D$8:$D$12,1/(1+J78)^{1;2;3;4;5})+FCF5*(1+GTERM)/(J78-GTERM)/(1+J78)^5&gt;$B$8,J78,H78)</f>
        <v>0.0786639704362855</v>
      </c>
      <c r="I79" s="33" t="n">
        <f aca="false">IF(SUMPRODUCT('The Model'!$D$8:$D$12,1/(1+J78)^{1;2;3;4;5})+FCF5*(1+GTERM)/(J78-GTERM)/(1+J78)^5&gt;$B$8,I78,J78)</f>
        <v>0.0786639704380681</v>
      </c>
      <c r="J79" s="33" t="n">
        <f aca="false">(H79+I79)/2</f>
        <v>0.0786639704371768</v>
      </c>
      <c r="K79" s="33" t="n">
        <f aca="false">IF(SUMPRODUCT('The Model'!$D$8:$D$12,1/(1+M78)^{1;2;3;4;5})+FCF5*(1+GTERM)/(M78-GTERM)/(1+M78)^5&gt;$B$9,M78,K78)</f>
        <v>0.0839978032120599</v>
      </c>
      <c r="L79" s="33" t="n">
        <f aca="false">IF(SUMPRODUCT('The Model'!$D$8:$D$12,1/(1+M78)^{1;2;3;4;5})+FCF5*(1+GTERM)/(M78-GTERM)/(1+M78)^5&gt;$B$9,L78,M78)</f>
        <v>0.0839978032138426</v>
      </c>
      <c r="M79" s="33" t="n">
        <f aca="false">(K79+L79)/2</f>
        <v>0.0839978032129513</v>
      </c>
    </row>
    <row r="80" customFormat="false" ht="15" hidden="false" customHeight="false" outlineLevel="0" collapsed="false">
      <c r="A80" s="37" t="n">
        <v>41</v>
      </c>
      <c r="B80" s="33" t="n">
        <f aca="false">IF(SUMPRODUCT('The Model'!$D$8:$D$12,1/(1+D79)^{1;2;3;4;5})+FCF5*(1+GTERM)/(D79-GTERM)/(1+D79)^5&gt;$B$6,D79,B79)</f>
        <v>0.0941929248246609</v>
      </c>
      <c r="C80" s="33" t="n">
        <f aca="false">IF(SUMPRODUCT('The Model'!$D$8:$D$12,1/(1+D79)^{1;2;3;4;5})+FCF5*(1+GTERM)/(D79-GTERM)/(1+D79)^5&gt;$B$6,C79,D79)</f>
        <v>0.0941929248255522</v>
      </c>
      <c r="D80" s="33" t="n">
        <f aca="false">(B80+C80)/2</f>
        <v>0.0941929248251065</v>
      </c>
      <c r="E80" s="33" t="n">
        <f aca="false">IF(SUMPRODUCT('The Model'!$D$8:$D$12,1/(1+G79)^{1;2;3;4;5})+FCF5*(1+GTERM)/(G79-GTERM)/(1+G79)^5&gt;$B$7,G79,E79)</f>
        <v>0.0899999999993131</v>
      </c>
      <c r="F80" s="33" t="n">
        <f aca="false">IF(SUMPRODUCT('The Model'!$D$8:$D$12,1/(1+G79)^{1;2;3;4;5})+FCF5*(1+GTERM)/(G79-GTERM)/(1+G79)^5&gt;$B$7,F79,G79)</f>
        <v>0.0900000000002044</v>
      </c>
      <c r="G80" s="33" t="n">
        <f aca="false">(E80+F80)/2</f>
        <v>0.0899999999997588</v>
      </c>
      <c r="H80" s="33" t="n">
        <f aca="false">IF(SUMPRODUCT('The Model'!$D$8:$D$12,1/(1+J79)^{1;2;3;4;5})+FCF5*(1+GTERM)/(J79-GTERM)/(1+J79)^5&gt;$B$8,J79,H79)</f>
        <v>0.0786639704362855</v>
      </c>
      <c r="I80" s="33" t="n">
        <f aca="false">IF(SUMPRODUCT('The Model'!$D$8:$D$12,1/(1+J79)^{1;2;3;4;5})+FCF5*(1+GTERM)/(J79-GTERM)/(1+J79)^5&gt;$B$8,I79,J79)</f>
        <v>0.0786639704371768</v>
      </c>
      <c r="J80" s="33" t="n">
        <f aca="false">(H80+I80)/2</f>
        <v>0.0786639704367311</v>
      </c>
      <c r="K80" s="33" t="n">
        <f aca="false">IF(SUMPRODUCT('The Model'!$D$8:$D$12,1/(1+M79)^{1;2;3;4;5})+FCF5*(1+GTERM)/(M79-GTERM)/(1+M79)^5&gt;$B$9,M79,K79)</f>
        <v>0.0839978032129513</v>
      </c>
      <c r="L80" s="33" t="n">
        <f aca="false">IF(SUMPRODUCT('The Model'!$D$8:$D$12,1/(1+M79)^{1;2;3;4;5})+FCF5*(1+GTERM)/(M79-GTERM)/(1+M79)^5&gt;$B$9,L79,M79)</f>
        <v>0.0839978032138426</v>
      </c>
      <c r="M80" s="33" t="n">
        <f aca="false">(K80+L80)/2</f>
        <v>0.0839978032133969</v>
      </c>
    </row>
    <row r="81" customFormat="false" ht="15" hidden="false" customHeight="false" outlineLevel="0" collapsed="false">
      <c r="A81" s="37" t="n">
        <v>42</v>
      </c>
      <c r="B81" s="33" t="n">
        <f aca="false">IF(SUMPRODUCT('The Model'!$D$8:$D$12,1/(1+D80)^{1;2;3;4;5})+FCF5*(1+GTERM)/(D80-GTERM)/(1+D80)^5&gt;$B$6,D80,B80)</f>
        <v>0.0941929248246609</v>
      </c>
      <c r="C81" s="33" t="n">
        <f aca="false">IF(SUMPRODUCT('The Model'!$D$8:$D$12,1/(1+D80)^{1;2;3;4;5})+FCF5*(1+GTERM)/(D80-GTERM)/(1+D80)^5&gt;$B$6,C80,D80)</f>
        <v>0.0941929248251065</v>
      </c>
      <c r="D81" s="33" t="n">
        <f aca="false">(B81+C81)/2</f>
        <v>0.0941929248248837</v>
      </c>
      <c r="E81" s="33" t="n">
        <f aca="false">IF(SUMPRODUCT('The Model'!$D$8:$D$12,1/(1+G80)^{1;2;3;4;5})+FCF5*(1+GTERM)/(G80-GTERM)/(1+G80)^5&gt;$B$7,G80,E80)</f>
        <v>0.0899999999997588</v>
      </c>
      <c r="F81" s="33" t="n">
        <f aca="false">IF(SUMPRODUCT('The Model'!$D$8:$D$12,1/(1+G80)^{1;2;3;4;5})+FCF5*(1+GTERM)/(G80-GTERM)/(1+G80)^5&gt;$B$7,F80,G80)</f>
        <v>0.0900000000002044</v>
      </c>
      <c r="G81" s="33" t="n">
        <f aca="false">(E81+F81)/2</f>
        <v>0.0899999999999816</v>
      </c>
      <c r="H81" s="33" t="n">
        <f aca="false">IF(SUMPRODUCT('The Model'!$D$8:$D$12,1/(1+J80)^{1;2;3;4;5})+FCF5*(1+GTERM)/(J80-GTERM)/(1+J80)^5&gt;$B$8,J80,H80)</f>
        <v>0.0786639704367311</v>
      </c>
      <c r="I81" s="33" t="n">
        <f aca="false">IF(SUMPRODUCT('The Model'!$D$8:$D$12,1/(1+J80)^{1;2;3;4;5})+FCF5*(1+GTERM)/(J80-GTERM)/(1+J80)^5&gt;$B$8,I80,J80)</f>
        <v>0.0786639704371768</v>
      </c>
      <c r="J81" s="33" t="n">
        <f aca="false">(H81+I81)/2</f>
        <v>0.0786639704369539</v>
      </c>
      <c r="K81" s="33" t="n">
        <f aca="false">IF(SUMPRODUCT('The Model'!$D$8:$D$12,1/(1+M80)^{1;2;3;4;5})+FCF5*(1+GTERM)/(M80-GTERM)/(1+M80)^5&gt;$B$9,M80,K80)</f>
        <v>0.0839978032129513</v>
      </c>
      <c r="L81" s="33" t="n">
        <f aca="false">IF(SUMPRODUCT('The Model'!$D$8:$D$12,1/(1+M80)^{1;2;3;4;5})+FCF5*(1+GTERM)/(M80-GTERM)/(1+M80)^5&gt;$B$9,L80,M80)</f>
        <v>0.0839978032133969</v>
      </c>
      <c r="M81" s="33" t="n">
        <f aca="false">(K81+L81)/2</f>
        <v>0.0839978032131741</v>
      </c>
    </row>
    <row r="82" customFormat="false" ht="15" hidden="false" customHeight="false" outlineLevel="0" collapsed="false">
      <c r="A82" s="37" t="n">
        <v>43</v>
      </c>
      <c r="B82" s="33" t="n">
        <f aca="false">IF(SUMPRODUCT('The Model'!$D$8:$D$12,1/(1+D81)^{1;2;3;4;5})+FCF5*(1+GTERM)/(D81-GTERM)/(1+D81)^5&gt;$B$6,D81,B81)</f>
        <v>0.0941929248248837</v>
      </c>
      <c r="C82" s="33" t="n">
        <f aca="false">IF(SUMPRODUCT('The Model'!$D$8:$D$12,1/(1+D81)^{1;2;3;4;5})+FCF5*(1+GTERM)/(D81-GTERM)/(1+D81)^5&gt;$B$6,C81,D81)</f>
        <v>0.0941929248251065</v>
      </c>
      <c r="D82" s="33" t="n">
        <f aca="false">(B82+C82)/2</f>
        <v>0.0941929248249951</v>
      </c>
      <c r="E82" s="33" t="n">
        <f aca="false">IF(SUMPRODUCT('The Model'!$D$8:$D$12,1/(1+G81)^{1;2;3;4;5})+FCF5*(1+GTERM)/(G81-GTERM)/(1+G81)^5&gt;$B$7,G81,E81)</f>
        <v>0.0899999999999816</v>
      </c>
      <c r="F82" s="33" t="n">
        <f aca="false">IF(SUMPRODUCT('The Model'!$D$8:$D$12,1/(1+G81)^{1;2;3;4;5})+FCF5*(1+GTERM)/(G81-GTERM)/(1+G81)^5&gt;$B$7,F81,G81)</f>
        <v>0.0900000000002044</v>
      </c>
      <c r="G82" s="33" t="n">
        <f aca="false">(E82+F82)/2</f>
        <v>0.090000000000093</v>
      </c>
      <c r="H82" s="33" t="n">
        <f aca="false">IF(SUMPRODUCT('The Model'!$D$8:$D$12,1/(1+J81)^{1;2;3;4;5})+FCF5*(1+GTERM)/(J81-GTERM)/(1+J81)^5&gt;$B$8,J81,H81)</f>
        <v>0.0786639704369539</v>
      </c>
      <c r="I82" s="33" t="n">
        <f aca="false">IF(SUMPRODUCT('The Model'!$D$8:$D$12,1/(1+J81)^{1;2;3;4;5})+FCF5*(1+GTERM)/(J81-GTERM)/(1+J81)^5&gt;$B$8,I81,J81)</f>
        <v>0.0786639704371768</v>
      </c>
      <c r="J82" s="33" t="n">
        <f aca="false">(H82+I82)/2</f>
        <v>0.0786639704370653</v>
      </c>
      <c r="K82" s="33" t="n">
        <f aca="false">IF(SUMPRODUCT('The Model'!$D$8:$D$12,1/(1+M81)^{1;2;3;4;5})+FCF5*(1+GTERM)/(M81-GTERM)/(1+M81)^5&gt;$B$9,M81,K81)</f>
        <v>0.0839978032129513</v>
      </c>
      <c r="L82" s="33" t="n">
        <f aca="false">IF(SUMPRODUCT('The Model'!$D$8:$D$12,1/(1+M81)^{1;2;3;4;5})+FCF5*(1+GTERM)/(M81-GTERM)/(1+M81)^5&gt;$B$9,L81,M81)</f>
        <v>0.0839978032131741</v>
      </c>
      <c r="M82" s="33" t="n">
        <f aca="false">(K82+L82)/2</f>
        <v>0.0839978032130627</v>
      </c>
    </row>
    <row r="83" customFormat="false" ht="15" hidden="false" customHeight="false" outlineLevel="0" collapsed="false">
      <c r="A83" s="37" t="n">
        <v>44</v>
      </c>
      <c r="B83" s="33" t="n">
        <f aca="false">IF(SUMPRODUCT('The Model'!$D$8:$D$12,1/(1+D82)^{1;2;3;4;5})+FCF5*(1+GTERM)/(D82-GTERM)/(1+D82)^5&gt;$B$6,D82,B82)</f>
        <v>0.0941929248248837</v>
      </c>
      <c r="C83" s="33" t="n">
        <f aca="false">IF(SUMPRODUCT('The Model'!$D$8:$D$12,1/(1+D82)^{1;2;3;4;5})+FCF5*(1+GTERM)/(D82-GTERM)/(1+D82)^5&gt;$B$6,C82,D82)</f>
        <v>0.0941929248249951</v>
      </c>
      <c r="D83" s="33" t="n">
        <f aca="false">(B83+C83)/2</f>
        <v>0.0941929248249394</v>
      </c>
      <c r="E83" s="33" t="n">
        <f aca="false">IF(SUMPRODUCT('The Model'!$D$8:$D$12,1/(1+G82)^{1;2;3;4;5})+FCF5*(1+GTERM)/(G82-GTERM)/(1+G82)^5&gt;$B$7,G82,E82)</f>
        <v>0.0899999999999816</v>
      </c>
      <c r="F83" s="33" t="n">
        <f aca="false">IF(SUMPRODUCT('The Model'!$D$8:$D$12,1/(1+G82)^{1;2;3;4;5})+FCF5*(1+GTERM)/(G82-GTERM)/(1+G82)^5&gt;$B$7,F82,G82)</f>
        <v>0.090000000000093</v>
      </c>
      <c r="G83" s="33" t="n">
        <f aca="false">(E83+F83)/2</f>
        <v>0.0900000000000373</v>
      </c>
      <c r="H83" s="33" t="n">
        <f aca="false">IF(SUMPRODUCT('The Model'!$D$8:$D$12,1/(1+J82)^{1;2;3;4;5})+FCF5*(1+GTERM)/(J82-GTERM)/(1+J82)^5&gt;$B$8,J82,H82)</f>
        <v>0.0786639704370653</v>
      </c>
      <c r="I83" s="33" t="n">
        <f aca="false">IF(SUMPRODUCT('The Model'!$D$8:$D$12,1/(1+J82)^{1;2;3;4;5})+FCF5*(1+GTERM)/(J82-GTERM)/(1+J82)^5&gt;$B$8,I82,J82)</f>
        <v>0.0786639704371768</v>
      </c>
      <c r="J83" s="33" t="n">
        <f aca="false">(H83+I83)/2</f>
        <v>0.078663970437121</v>
      </c>
      <c r="K83" s="33" t="n">
        <f aca="false">IF(SUMPRODUCT('The Model'!$D$8:$D$12,1/(1+M82)^{1;2;3;4;5})+FCF5*(1+GTERM)/(M82-GTERM)/(1+M82)^5&gt;$B$9,M82,K82)</f>
        <v>0.0839978032129513</v>
      </c>
      <c r="L83" s="33" t="n">
        <f aca="false">IF(SUMPRODUCT('The Model'!$D$8:$D$12,1/(1+M82)^{1;2;3;4;5})+FCF5*(1+GTERM)/(M82-GTERM)/(1+M82)^5&gt;$B$9,L82,M82)</f>
        <v>0.0839978032130627</v>
      </c>
      <c r="M83" s="33" t="n">
        <f aca="false">(K83+L83)/2</f>
        <v>0.083997803213007</v>
      </c>
    </row>
    <row r="84" customFormat="false" ht="15" hidden="false" customHeight="false" outlineLevel="0" collapsed="false">
      <c r="A84" s="37" t="n">
        <v>45</v>
      </c>
      <c r="B84" s="33" t="n">
        <f aca="false">IF(SUMPRODUCT('The Model'!$D$8:$D$12,1/(1+D83)^{1;2;3;4;5})+FCF5*(1+GTERM)/(D83-GTERM)/(1+D83)^5&gt;$B$6,D83,B83)</f>
        <v>0.0941929248249394</v>
      </c>
      <c r="C84" s="33" t="n">
        <f aca="false">IF(SUMPRODUCT('The Model'!$D$8:$D$12,1/(1+D83)^{1;2;3;4;5})+FCF5*(1+GTERM)/(D83-GTERM)/(1+D83)^5&gt;$B$6,C83,D83)</f>
        <v>0.0941929248249951</v>
      </c>
      <c r="D84" s="33" t="n">
        <f aca="false">(B84+C84)/2</f>
        <v>0.0941929248249673</v>
      </c>
      <c r="E84" s="33" t="n">
        <f aca="false">IF(SUMPRODUCT('The Model'!$D$8:$D$12,1/(1+G83)^{1;2;3;4;5})+FCF5*(1+GTERM)/(G83-GTERM)/(1+G83)^5&gt;$B$7,G83,E83)</f>
        <v>0.0899999999999816</v>
      </c>
      <c r="F84" s="33" t="n">
        <f aca="false">IF(SUMPRODUCT('The Model'!$D$8:$D$12,1/(1+G83)^{1;2;3;4;5})+FCF5*(1+GTERM)/(G83-GTERM)/(1+G83)^5&gt;$B$7,F83,G83)</f>
        <v>0.0900000000000373</v>
      </c>
      <c r="G84" s="33" t="n">
        <f aca="false">(E84+F84)/2</f>
        <v>0.0900000000000095</v>
      </c>
      <c r="H84" s="33" t="n">
        <f aca="false">IF(SUMPRODUCT('The Model'!$D$8:$D$12,1/(1+J83)^{1;2;3;4;5})+FCF5*(1+GTERM)/(J83-GTERM)/(1+J83)^5&gt;$B$8,J83,H83)</f>
        <v>0.078663970437121</v>
      </c>
      <c r="I84" s="33" t="n">
        <f aca="false">IF(SUMPRODUCT('The Model'!$D$8:$D$12,1/(1+J83)^{1;2;3;4;5})+FCF5*(1+GTERM)/(J83-GTERM)/(1+J83)^5&gt;$B$8,I83,J83)</f>
        <v>0.0786639704371768</v>
      </c>
      <c r="J84" s="33" t="n">
        <f aca="false">(H84+I84)/2</f>
        <v>0.0786639704371489</v>
      </c>
      <c r="K84" s="33" t="n">
        <f aca="false">IF(SUMPRODUCT('The Model'!$D$8:$D$12,1/(1+M83)^{1;2;3;4;5})+FCF5*(1+GTERM)/(M83-GTERM)/(1+M83)^5&gt;$B$9,M83,K83)</f>
        <v>0.0839978032129513</v>
      </c>
      <c r="L84" s="33" t="n">
        <f aca="false">IF(SUMPRODUCT('The Model'!$D$8:$D$12,1/(1+M83)^{1;2;3;4;5})+FCF5*(1+GTERM)/(M83-GTERM)/(1+M83)^5&gt;$B$9,L83,M83)</f>
        <v>0.083997803213007</v>
      </c>
      <c r="M84" s="33" t="n">
        <f aca="false">(K84+L84)/2</f>
        <v>0.0839978032129791</v>
      </c>
    </row>
    <row r="85" customFormat="false" ht="15" hidden="false" customHeight="false" outlineLevel="0" collapsed="false">
      <c r="A85" s="37" t="n">
        <v>46</v>
      </c>
      <c r="B85" s="33" t="n">
        <f aca="false">IF(SUMPRODUCT('The Model'!$D$8:$D$12,1/(1+D84)^{1;2;3;4;5})+FCF5*(1+GTERM)/(D84-GTERM)/(1+D84)^5&gt;$B$6,D84,B84)</f>
        <v>0.0941929248249673</v>
      </c>
      <c r="C85" s="33" t="n">
        <f aca="false">IF(SUMPRODUCT('The Model'!$D$8:$D$12,1/(1+D84)^{1;2;3;4;5})+FCF5*(1+GTERM)/(D84-GTERM)/(1+D84)^5&gt;$B$6,C84,D84)</f>
        <v>0.0941929248249951</v>
      </c>
      <c r="D85" s="33" t="n">
        <f aca="false">(B85+C85)/2</f>
        <v>0.0941929248249812</v>
      </c>
      <c r="E85" s="33" t="n">
        <f aca="false">IF(SUMPRODUCT('The Model'!$D$8:$D$12,1/(1+G84)^{1;2;3;4;5})+FCF5*(1+GTERM)/(G84-GTERM)/(1+G84)^5&gt;$B$7,G84,E84)</f>
        <v>0.0899999999999816</v>
      </c>
      <c r="F85" s="33" t="n">
        <f aca="false">IF(SUMPRODUCT('The Model'!$D$8:$D$12,1/(1+G84)^{1;2;3;4;5})+FCF5*(1+GTERM)/(G84-GTERM)/(1+G84)^5&gt;$B$7,F84,G84)</f>
        <v>0.0900000000000095</v>
      </c>
      <c r="G85" s="33" t="n">
        <f aca="false">(E85+F85)/2</f>
        <v>0.0899999999999955</v>
      </c>
      <c r="H85" s="33" t="n">
        <f aca="false">IF(SUMPRODUCT('The Model'!$D$8:$D$12,1/(1+J84)^{1;2;3;4;5})+FCF5*(1+GTERM)/(J84-GTERM)/(1+J84)^5&gt;$B$8,J84,H84)</f>
        <v>0.078663970437121</v>
      </c>
      <c r="I85" s="33" t="n">
        <f aca="false">IF(SUMPRODUCT('The Model'!$D$8:$D$12,1/(1+J84)^{1;2;3;4;5})+FCF5*(1+GTERM)/(J84-GTERM)/(1+J84)^5&gt;$B$8,I84,J84)</f>
        <v>0.0786639704371489</v>
      </c>
      <c r="J85" s="33" t="n">
        <f aca="false">(H85+I85)/2</f>
        <v>0.078663970437135</v>
      </c>
      <c r="K85" s="33" t="n">
        <f aca="false">IF(SUMPRODUCT('The Model'!$D$8:$D$12,1/(1+M84)^{1;2;3;4;5})+FCF5*(1+GTERM)/(M84-GTERM)/(1+M84)^5&gt;$B$9,M84,K84)</f>
        <v>0.0839978032129791</v>
      </c>
      <c r="L85" s="33" t="n">
        <f aca="false">IF(SUMPRODUCT('The Model'!$D$8:$D$12,1/(1+M84)^{1;2;3;4;5})+FCF5*(1+GTERM)/(M84-GTERM)/(1+M84)^5&gt;$B$9,L84,M84)</f>
        <v>0.083997803213007</v>
      </c>
      <c r="M85" s="33" t="n">
        <f aca="false">(K85+L85)/2</f>
        <v>0.083997803212993</v>
      </c>
    </row>
    <row r="86" customFormat="false" ht="15" hidden="false" customHeight="false" outlineLevel="0" collapsed="false">
      <c r="A86" s="37" t="n">
        <v>47</v>
      </c>
      <c r="B86" s="33" t="n">
        <f aca="false">IF(SUMPRODUCT('The Model'!$D$8:$D$12,1/(1+D85)^{1;2;3;4;5})+FCF5*(1+GTERM)/(D85-GTERM)/(1+D85)^5&gt;$B$6,D85,B85)</f>
        <v>0.0941929248249812</v>
      </c>
      <c r="C86" s="33" t="n">
        <f aca="false">IF(SUMPRODUCT('The Model'!$D$8:$D$12,1/(1+D85)^{1;2;3;4;5})+FCF5*(1+GTERM)/(D85-GTERM)/(1+D85)^5&gt;$B$6,C85,D85)</f>
        <v>0.0941929248249951</v>
      </c>
      <c r="D86" s="33" t="n">
        <f aca="false">(B86+C86)/2</f>
        <v>0.0941929248249881</v>
      </c>
      <c r="E86" s="33" t="n">
        <f aca="false">IF(SUMPRODUCT('The Model'!$D$8:$D$12,1/(1+G85)^{1;2;3;4;5})+FCF5*(1+GTERM)/(G85-GTERM)/(1+G85)^5&gt;$B$7,G85,E85)</f>
        <v>0.0899999999999955</v>
      </c>
      <c r="F86" s="33" t="n">
        <f aca="false">IF(SUMPRODUCT('The Model'!$D$8:$D$12,1/(1+G85)^{1;2;3;4;5})+FCF5*(1+GTERM)/(G85-GTERM)/(1+G85)^5&gt;$B$7,F85,G85)</f>
        <v>0.0900000000000095</v>
      </c>
      <c r="G86" s="33" t="n">
        <f aca="false">(E86+F86)/2</f>
        <v>0.0900000000000025</v>
      </c>
      <c r="H86" s="33" t="n">
        <f aca="false">IF(SUMPRODUCT('The Model'!$D$8:$D$12,1/(1+J85)^{1;2;3;4;5})+FCF5*(1+GTERM)/(J85-GTERM)/(1+J85)^5&gt;$B$8,J85,H85)</f>
        <v>0.078663970437135</v>
      </c>
      <c r="I86" s="33" t="n">
        <f aca="false">IF(SUMPRODUCT('The Model'!$D$8:$D$12,1/(1+J85)^{1;2;3;4;5})+FCF5*(1+GTERM)/(J85-GTERM)/(1+J85)^5&gt;$B$8,I85,J85)</f>
        <v>0.0786639704371489</v>
      </c>
      <c r="J86" s="33" t="n">
        <f aca="false">(H86+I86)/2</f>
        <v>0.0786639704371419</v>
      </c>
      <c r="K86" s="33" t="n">
        <f aca="false">IF(SUMPRODUCT('The Model'!$D$8:$D$12,1/(1+M85)^{1;2;3;4;5})+FCF5*(1+GTERM)/(M85-GTERM)/(1+M85)^5&gt;$B$9,M85,K85)</f>
        <v>0.0839978032129791</v>
      </c>
      <c r="L86" s="33" t="n">
        <f aca="false">IF(SUMPRODUCT('The Model'!$D$8:$D$12,1/(1+M85)^{1;2;3;4;5})+FCF5*(1+GTERM)/(M85-GTERM)/(1+M85)^5&gt;$B$9,L85,M85)</f>
        <v>0.083997803212993</v>
      </c>
      <c r="M86" s="33" t="n">
        <f aca="false">(K86+L86)/2</f>
        <v>0.0839978032129861</v>
      </c>
    </row>
    <row r="87" customFormat="false" ht="15" hidden="false" customHeight="false" outlineLevel="0" collapsed="false">
      <c r="A87" s="37" t="n">
        <v>48</v>
      </c>
      <c r="B87" s="33" t="n">
        <f aca="false">IF(SUMPRODUCT('The Model'!$D$8:$D$12,1/(1+D86)^{1;2;3;4;5})+FCF5*(1+GTERM)/(D86-GTERM)/(1+D86)^5&gt;$B$6,D86,B86)</f>
        <v>0.0941929248249881</v>
      </c>
      <c r="C87" s="33" t="n">
        <f aca="false">IF(SUMPRODUCT('The Model'!$D$8:$D$12,1/(1+D86)^{1;2;3;4;5})+FCF5*(1+GTERM)/(D86-GTERM)/(1+D86)^5&gt;$B$6,C86,D86)</f>
        <v>0.0941929248249951</v>
      </c>
      <c r="D87" s="33" t="n">
        <f aca="false">(B87+C87)/2</f>
        <v>0.0941929248249916</v>
      </c>
      <c r="E87" s="33" t="n">
        <f aca="false">IF(SUMPRODUCT('The Model'!$D$8:$D$12,1/(1+G86)^{1;2;3;4;5})+FCF5*(1+GTERM)/(G86-GTERM)/(1+G86)^5&gt;$B$7,G86,E86)</f>
        <v>0.0899999999999955</v>
      </c>
      <c r="F87" s="33" t="n">
        <f aca="false">IF(SUMPRODUCT('The Model'!$D$8:$D$12,1/(1+G86)^{1;2;3;4;5})+FCF5*(1+GTERM)/(G86-GTERM)/(1+G86)^5&gt;$B$7,F86,G86)</f>
        <v>0.0900000000000025</v>
      </c>
      <c r="G87" s="33" t="n">
        <f aca="false">(E87+F87)/2</f>
        <v>0.089999999999999</v>
      </c>
      <c r="H87" s="33" t="n">
        <f aca="false">IF(SUMPRODUCT('The Model'!$D$8:$D$12,1/(1+J86)^{1;2;3;4;5})+FCF5*(1+GTERM)/(J86-GTERM)/(1+J86)^5&gt;$B$8,J86,H86)</f>
        <v>0.078663970437135</v>
      </c>
      <c r="I87" s="33" t="n">
        <f aca="false">IF(SUMPRODUCT('The Model'!$D$8:$D$12,1/(1+J86)^{1;2;3;4;5})+FCF5*(1+GTERM)/(J86-GTERM)/(1+J86)^5&gt;$B$8,I86,J86)</f>
        <v>0.0786639704371419</v>
      </c>
      <c r="J87" s="33" t="n">
        <f aca="false">(H87+I87)/2</f>
        <v>0.0786639704371385</v>
      </c>
      <c r="K87" s="33" t="n">
        <f aca="false">IF(SUMPRODUCT('The Model'!$D$8:$D$12,1/(1+M86)^{1;2;3;4;5})+FCF5*(1+GTERM)/(M86-GTERM)/(1+M86)^5&gt;$B$9,M86,K86)</f>
        <v>0.0839978032129791</v>
      </c>
      <c r="L87" s="33" t="n">
        <f aca="false">IF(SUMPRODUCT('The Model'!$D$8:$D$12,1/(1+M86)^{1;2;3;4;5})+FCF5*(1+GTERM)/(M86-GTERM)/(1+M86)^5&gt;$B$9,L86,M86)</f>
        <v>0.0839978032129861</v>
      </c>
      <c r="M87" s="33" t="n">
        <f aca="false">(K87+L87)/2</f>
        <v>0.0839978032129826</v>
      </c>
    </row>
    <row r="88" customFormat="false" ht="15" hidden="false" customHeight="false" outlineLevel="0" collapsed="false">
      <c r="A88" s="37" t="n">
        <v>49</v>
      </c>
      <c r="B88" s="33" t="n">
        <f aca="false">IF(SUMPRODUCT('The Model'!$D$8:$D$12,1/(1+D87)^{1;2;3;4;5})+FCF5*(1+GTERM)/(D87-GTERM)/(1+D87)^5&gt;$B$6,D87,B87)</f>
        <v>0.0941929248249916</v>
      </c>
      <c r="C88" s="33" t="n">
        <f aca="false">IF(SUMPRODUCT('The Model'!$D$8:$D$12,1/(1+D87)^{1;2;3;4;5})+FCF5*(1+GTERM)/(D87-GTERM)/(1+D87)^5&gt;$B$6,C87,D87)</f>
        <v>0.0941929248249951</v>
      </c>
      <c r="D88" s="33" t="n">
        <f aca="false">(B88+C88)/2</f>
        <v>0.0941929248249934</v>
      </c>
      <c r="E88" s="33" t="n">
        <f aca="false">IF(SUMPRODUCT('The Model'!$D$8:$D$12,1/(1+G87)^{1;2;3;4;5})+FCF5*(1+GTERM)/(G87-GTERM)/(1+G87)^5&gt;$B$7,G87,E87)</f>
        <v>0.089999999999999</v>
      </c>
      <c r="F88" s="33" t="n">
        <f aca="false">IF(SUMPRODUCT('The Model'!$D$8:$D$12,1/(1+G87)^{1;2;3;4;5})+FCF5*(1+GTERM)/(G87-GTERM)/(1+G87)^5&gt;$B$7,F87,G87)</f>
        <v>0.0900000000000025</v>
      </c>
      <c r="G88" s="33" t="n">
        <f aca="false">(E88+F88)/2</f>
        <v>0.0900000000000008</v>
      </c>
      <c r="H88" s="33" t="n">
        <f aca="false">IF(SUMPRODUCT('The Model'!$D$8:$D$12,1/(1+J87)^{1;2;3;4;5})+FCF5*(1+GTERM)/(J87-GTERM)/(1+J87)^5&gt;$B$8,J87,H87)</f>
        <v>0.0786639704371385</v>
      </c>
      <c r="I88" s="33" t="n">
        <f aca="false">IF(SUMPRODUCT('The Model'!$D$8:$D$12,1/(1+J87)^{1;2;3;4;5})+FCF5*(1+GTERM)/(J87-GTERM)/(1+J87)^5&gt;$B$8,I87,J87)</f>
        <v>0.0786639704371419</v>
      </c>
      <c r="J88" s="33" t="n">
        <f aca="false">(H88+I88)/2</f>
        <v>0.0786639704371402</v>
      </c>
      <c r="K88" s="33" t="n">
        <f aca="false">IF(SUMPRODUCT('The Model'!$D$8:$D$12,1/(1+M87)^{1;2;3;4;5})+FCF5*(1+GTERM)/(M87-GTERM)/(1+M87)^5&gt;$B$9,M87,K87)</f>
        <v>0.0839978032129791</v>
      </c>
      <c r="L88" s="33" t="n">
        <f aca="false">IF(SUMPRODUCT('The Model'!$D$8:$D$12,1/(1+M87)^{1;2;3;4;5})+FCF5*(1+GTERM)/(M87-GTERM)/(1+M87)^5&gt;$B$9,L87,M87)</f>
        <v>0.0839978032129826</v>
      </c>
      <c r="M88" s="33" t="n">
        <f aca="false">(K88+L88)/2</f>
        <v>0.0839978032129808</v>
      </c>
    </row>
    <row r="89" customFormat="false" ht="15" hidden="false" customHeight="false" outlineLevel="0" collapsed="false">
      <c r="A89" s="37" t="n">
        <v>50</v>
      </c>
      <c r="B89" s="33" t="n">
        <f aca="false">IF(SUMPRODUCT('The Model'!$D$8:$D$12,1/(1+D88)^{1;2;3;4;5})+FCF5*(1+GTERM)/(D88-GTERM)/(1+D88)^5&gt;$B$6,D88,B88)</f>
        <v>0.0941929248249934</v>
      </c>
      <c r="C89" s="33" t="n">
        <f aca="false">IF(SUMPRODUCT('The Model'!$D$8:$D$12,1/(1+D88)^{1;2;3;4;5})+FCF5*(1+GTERM)/(D88-GTERM)/(1+D88)^5&gt;$B$6,C88,D88)</f>
        <v>0.0941929248249951</v>
      </c>
      <c r="D89" s="33" t="n">
        <f aca="false">(B89+C89)/2</f>
        <v>0.0941929248249942</v>
      </c>
      <c r="E89" s="33" t="n">
        <f aca="false">IF(SUMPRODUCT('The Model'!$D$8:$D$12,1/(1+G88)^{1;2;3;4;5})+FCF5*(1+GTERM)/(G88-GTERM)/(1+G88)^5&gt;$B$7,G88,E88)</f>
        <v>0.089999999999999</v>
      </c>
      <c r="F89" s="33" t="n">
        <f aca="false">IF(SUMPRODUCT('The Model'!$D$8:$D$12,1/(1+G88)^{1;2;3;4;5})+FCF5*(1+GTERM)/(G88-GTERM)/(1+G88)^5&gt;$B$7,F88,G88)</f>
        <v>0.0900000000000008</v>
      </c>
      <c r="G89" s="33" t="n">
        <f aca="false">(E89+F89)/2</f>
        <v>0.0899999999999999</v>
      </c>
      <c r="H89" s="33" t="n">
        <f aca="false">IF(SUMPRODUCT('The Model'!$D$8:$D$12,1/(1+J88)^{1;2;3;4;5})+FCF5*(1+GTERM)/(J88-GTERM)/(1+J88)^5&gt;$B$8,J88,H88)</f>
        <v>0.0786639704371385</v>
      </c>
      <c r="I89" s="33" t="n">
        <f aca="false">IF(SUMPRODUCT('The Model'!$D$8:$D$12,1/(1+J88)^{1;2;3;4;5})+FCF5*(1+GTERM)/(J88-GTERM)/(1+J88)^5&gt;$B$8,I88,J88)</f>
        <v>0.0786639704371402</v>
      </c>
      <c r="J89" s="33" t="n">
        <f aca="false">(H89+I89)/2</f>
        <v>0.0786639704371393</v>
      </c>
      <c r="K89" s="33" t="n">
        <f aca="false">IF(SUMPRODUCT('The Model'!$D$8:$D$12,1/(1+M88)^{1;2;3;4;5})+FCF5*(1+GTERM)/(M88-GTERM)/(1+M88)^5&gt;$B$9,M88,K88)</f>
        <v>0.0839978032129808</v>
      </c>
      <c r="L89" s="33" t="n">
        <f aca="false">IF(SUMPRODUCT('The Model'!$D$8:$D$12,1/(1+M88)^{1;2;3;4;5})+FCF5*(1+GTERM)/(M88-GTERM)/(1+M88)^5&gt;$B$9,L88,M88)</f>
        <v>0.0839978032129826</v>
      </c>
      <c r="M89" s="33" t="n">
        <f aca="false">(K89+L89)/2</f>
        <v>0.0839978032129817</v>
      </c>
    </row>
    <row r="90" customFormat="false" ht="15" hidden="false" customHeight="false" outlineLevel="0" collapsed="false">
      <c r="A90" s="37" t="n">
        <v>51</v>
      </c>
      <c r="B90" s="33" t="n">
        <f aca="false">IF(SUMPRODUCT('The Model'!$D$8:$D$12,1/(1+D89)^{1;2;3;4;5})+FCF5*(1+GTERM)/(D89-GTERM)/(1+D89)^5&gt;$B$6,D89,B89)</f>
        <v>0.0941929248249934</v>
      </c>
      <c r="C90" s="33" t="n">
        <f aca="false">IF(SUMPRODUCT('The Model'!$D$8:$D$12,1/(1+D89)^{1;2;3;4;5})+FCF5*(1+GTERM)/(D89-GTERM)/(1+D89)^5&gt;$B$6,C89,D89)</f>
        <v>0.0941929248249942</v>
      </c>
      <c r="D90" s="33" t="n">
        <f aca="false">(B90+C90)/2</f>
        <v>0.0941929248249938</v>
      </c>
      <c r="E90" s="33" t="n">
        <f aca="false">IF(SUMPRODUCT('The Model'!$D$8:$D$12,1/(1+G89)^{1;2;3;4;5})+FCF5*(1+GTERM)/(G89-GTERM)/(1+G89)^5&gt;$B$7,G89,E89)</f>
        <v>0.089999999999999</v>
      </c>
      <c r="F90" s="33" t="n">
        <f aca="false">IF(SUMPRODUCT('The Model'!$D$8:$D$12,1/(1+G89)^{1;2;3;4;5})+FCF5*(1+GTERM)/(G89-GTERM)/(1+G89)^5&gt;$B$7,F89,G89)</f>
        <v>0.0899999999999999</v>
      </c>
      <c r="G90" s="33" t="n">
        <f aca="false">(E90+F90)/2</f>
        <v>0.0899999999999994</v>
      </c>
      <c r="H90" s="33" t="n">
        <f aca="false">IF(SUMPRODUCT('The Model'!$D$8:$D$12,1/(1+J89)^{1;2;3;4;5})+FCF5*(1+GTERM)/(J89-GTERM)/(1+J89)^5&gt;$B$8,J89,H89)</f>
        <v>0.0786639704371393</v>
      </c>
      <c r="I90" s="33" t="n">
        <f aca="false">IF(SUMPRODUCT('The Model'!$D$8:$D$12,1/(1+J89)^{1;2;3;4;5})+FCF5*(1+GTERM)/(J89-GTERM)/(1+J89)^5&gt;$B$8,I89,J89)</f>
        <v>0.0786639704371402</v>
      </c>
      <c r="J90" s="33" t="n">
        <f aca="false">(H90+I90)/2</f>
        <v>0.0786639704371398</v>
      </c>
      <c r="K90" s="33" t="n">
        <f aca="false">IF(SUMPRODUCT('The Model'!$D$8:$D$12,1/(1+M89)^{1;2;3;4;5})+FCF5*(1+GTERM)/(M89-GTERM)/(1+M89)^5&gt;$B$9,M89,K89)</f>
        <v>0.0839978032129817</v>
      </c>
      <c r="L90" s="33" t="n">
        <f aca="false">IF(SUMPRODUCT('The Model'!$D$8:$D$12,1/(1+M89)^{1;2;3;4;5})+FCF5*(1+GTERM)/(M89-GTERM)/(1+M89)^5&gt;$B$9,L89,M89)</f>
        <v>0.0839978032129826</v>
      </c>
      <c r="M90" s="33" t="n">
        <f aca="false">(K90+L90)/2</f>
        <v>0.0839978032129821</v>
      </c>
    </row>
    <row r="91" customFormat="false" ht="15" hidden="false" customHeight="false" outlineLevel="0" collapsed="false">
      <c r="A91" s="37" t="n">
        <v>52</v>
      </c>
      <c r="B91" s="33" t="n">
        <f aca="false">IF(SUMPRODUCT('The Model'!$D$8:$D$12,1/(1+D90)^{1;2;3;4;5})+FCF5*(1+GTERM)/(D90-GTERM)/(1+D90)^5&gt;$B$6,D90,B90)</f>
        <v>0.0941929248249938</v>
      </c>
      <c r="C91" s="33" t="n">
        <f aca="false">IF(SUMPRODUCT('The Model'!$D$8:$D$12,1/(1+D90)^{1;2;3;4;5})+FCF5*(1+GTERM)/(D90-GTERM)/(1+D90)^5&gt;$B$6,C90,D90)</f>
        <v>0.0941929248249942</v>
      </c>
      <c r="D91" s="33" t="n">
        <f aca="false">(B91+C91)/2</f>
        <v>0.094192924824994</v>
      </c>
      <c r="E91" s="33" t="n">
        <f aca="false">IF(SUMPRODUCT('The Model'!$D$8:$D$12,1/(1+G90)^{1;2;3;4;5})+FCF5*(1+GTERM)/(G90-GTERM)/(1+G90)^5&gt;$B$7,G90,E90)</f>
        <v>0.0899999999999994</v>
      </c>
      <c r="F91" s="33" t="n">
        <f aca="false">IF(SUMPRODUCT('The Model'!$D$8:$D$12,1/(1+G90)^{1;2;3;4;5})+FCF5*(1+GTERM)/(G90-GTERM)/(1+G90)^5&gt;$B$7,F90,G90)</f>
        <v>0.0899999999999999</v>
      </c>
      <c r="G91" s="33" t="n">
        <f aca="false">(E91+F91)/2</f>
        <v>0.0899999999999997</v>
      </c>
      <c r="H91" s="33" t="n">
        <f aca="false">IF(SUMPRODUCT('The Model'!$D$8:$D$12,1/(1+J90)^{1;2;3;4;5})+FCF5*(1+GTERM)/(J90-GTERM)/(1+J90)^5&gt;$B$8,J90,H90)</f>
        <v>0.0786639704371398</v>
      </c>
      <c r="I91" s="33" t="n">
        <f aca="false">IF(SUMPRODUCT('The Model'!$D$8:$D$12,1/(1+J90)^{1;2;3;4;5})+FCF5*(1+GTERM)/(J90-GTERM)/(1+J90)^5&gt;$B$8,I90,J90)</f>
        <v>0.0786639704371402</v>
      </c>
      <c r="J91" s="33" t="n">
        <f aca="false">(H91+I91)/2</f>
        <v>0.07866397043714</v>
      </c>
      <c r="K91" s="33" t="n">
        <f aca="false">IF(SUMPRODUCT('The Model'!$D$8:$D$12,1/(1+M90)^{1;2;3;4;5})+FCF5*(1+GTERM)/(M90-GTERM)/(1+M90)^5&gt;$B$9,M90,K90)</f>
        <v>0.0839978032129821</v>
      </c>
      <c r="L91" s="33" t="n">
        <f aca="false">IF(SUMPRODUCT('The Model'!$D$8:$D$12,1/(1+M90)^{1;2;3;4;5})+FCF5*(1+GTERM)/(M90-GTERM)/(1+M90)^5&gt;$B$9,L90,M90)</f>
        <v>0.0839978032129826</v>
      </c>
      <c r="M91" s="33" t="n">
        <f aca="false">(K91+L91)/2</f>
        <v>0.0839978032129824</v>
      </c>
    </row>
    <row r="92" customFormat="false" ht="15" hidden="false" customHeight="false" outlineLevel="0" collapsed="false">
      <c r="A92" s="37" t="n">
        <v>53</v>
      </c>
      <c r="B92" s="33" t="n">
        <f aca="false">IF(SUMPRODUCT('The Model'!$D$8:$D$12,1/(1+D91)^{1;2;3;4;5})+FCF5*(1+GTERM)/(D91-GTERM)/(1+D91)^5&gt;$B$6,D91,B91)</f>
        <v>0.0941929248249938</v>
      </c>
      <c r="C92" s="33" t="n">
        <f aca="false">IF(SUMPRODUCT('The Model'!$D$8:$D$12,1/(1+D91)^{1;2;3;4;5})+FCF5*(1+GTERM)/(D91-GTERM)/(1+D91)^5&gt;$B$6,C91,D91)</f>
        <v>0.094192924824994</v>
      </c>
      <c r="D92" s="33" t="n">
        <f aca="false">(B92+C92)/2</f>
        <v>0.0941929248249939</v>
      </c>
      <c r="E92" s="33" t="n">
        <f aca="false">IF(SUMPRODUCT('The Model'!$D$8:$D$12,1/(1+G91)^{1;2;3;4;5})+FCF5*(1+GTERM)/(G91-GTERM)/(1+G91)^5&gt;$B$7,G91,E91)</f>
        <v>0.0899999999999997</v>
      </c>
      <c r="F92" s="33" t="n">
        <f aca="false">IF(SUMPRODUCT('The Model'!$D$8:$D$12,1/(1+G91)^{1;2;3;4;5})+FCF5*(1+GTERM)/(G91-GTERM)/(1+G91)^5&gt;$B$7,F91,G91)</f>
        <v>0.0899999999999999</v>
      </c>
      <c r="G92" s="33" t="n">
        <f aca="false">(E92+F92)/2</f>
        <v>0.0899999999999998</v>
      </c>
      <c r="H92" s="33" t="n">
        <f aca="false">IF(SUMPRODUCT('The Model'!$D$8:$D$12,1/(1+J91)^{1;2;3;4;5})+FCF5*(1+GTERM)/(J91-GTERM)/(1+J91)^5&gt;$B$8,J91,H91)</f>
        <v>0.0786639704371398</v>
      </c>
      <c r="I92" s="33" t="n">
        <f aca="false">IF(SUMPRODUCT('The Model'!$D$8:$D$12,1/(1+J91)^{1;2;3;4;5})+FCF5*(1+GTERM)/(J91-GTERM)/(1+J91)^5&gt;$B$8,I91,J91)</f>
        <v>0.07866397043714</v>
      </c>
      <c r="J92" s="33" t="n">
        <f aca="false">(H92+I92)/2</f>
        <v>0.0786639704371399</v>
      </c>
      <c r="K92" s="33" t="n">
        <f aca="false">IF(SUMPRODUCT('The Model'!$D$8:$D$12,1/(1+M91)^{1;2;3;4;5})+FCF5*(1+GTERM)/(M91-GTERM)/(1+M91)^5&gt;$B$9,M91,K91)</f>
        <v>0.0839978032129821</v>
      </c>
      <c r="L92" s="33" t="n">
        <f aca="false">IF(SUMPRODUCT('The Model'!$D$8:$D$12,1/(1+M91)^{1;2;3;4;5})+FCF5*(1+GTERM)/(M91-GTERM)/(1+M91)^5&gt;$B$9,L91,M91)</f>
        <v>0.0839978032129824</v>
      </c>
      <c r="M92" s="33" t="n">
        <f aca="false">(K92+L92)/2</f>
        <v>0.0839978032129823</v>
      </c>
    </row>
    <row r="93" customFormat="false" ht="15" hidden="false" customHeight="false" outlineLevel="0" collapsed="false">
      <c r="A93" s="37" t="n">
        <v>54</v>
      </c>
      <c r="B93" s="33" t="n">
        <f aca="false">IF(SUMPRODUCT('The Model'!$D$8:$D$12,1/(1+D92)^{1;2;3;4;5})+FCF5*(1+GTERM)/(D92-GTERM)/(1+D92)^5&gt;$B$6,D92,B92)</f>
        <v>0.0941929248249939</v>
      </c>
      <c r="C93" s="33" t="n">
        <f aca="false">IF(SUMPRODUCT('The Model'!$D$8:$D$12,1/(1+D92)^{1;2;3;4;5})+FCF5*(1+GTERM)/(D92-GTERM)/(1+D92)^5&gt;$B$6,C92,D92)</f>
        <v>0.094192924824994</v>
      </c>
      <c r="D93" s="33" t="n">
        <f aca="false">(B93+C93)/2</f>
        <v>0.094192924824994</v>
      </c>
      <c r="E93" s="33" t="n">
        <f aca="false">IF(SUMPRODUCT('The Model'!$D$8:$D$12,1/(1+G92)^{1;2;3;4;5})+FCF5*(1+GTERM)/(G92-GTERM)/(1+G92)^5&gt;$B$7,G92,E92)</f>
        <v>0.0899999999999997</v>
      </c>
      <c r="F93" s="33" t="n">
        <f aca="false">IF(SUMPRODUCT('The Model'!$D$8:$D$12,1/(1+G92)^{1;2;3;4;5})+FCF5*(1+GTERM)/(G92-GTERM)/(1+G92)^5&gt;$B$7,F92,G92)</f>
        <v>0.0899999999999998</v>
      </c>
      <c r="G93" s="33" t="n">
        <f aca="false">(E93+F93)/2</f>
        <v>0.0899999999999997</v>
      </c>
      <c r="H93" s="33" t="n">
        <f aca="false">IF(SUMPRODUCT('The Model'!$D$8:$D$12,1/(1+J92)^{1;2;3;4;5})+FCF5*(1+GTERM)/(J92-GTERM)/(1+J92)^5&gt;$B$8,J92,H92)</f>
        <v>0.0786639704371398</v>
      </c>
      <c r="I93" s="33" t="n">
        <f aca="false">IF(SUMPRODUCT('The Model'!$D$8:$D$12,1/(1+J92)^{1;2;3;4;5})+FCF5*(1+GTERM)/(J92-GTERM)/(1+J92)^5&gt;$B$8,I92,J92)</f>
        <v>0.0786639704371399</v>
      </c>
      <c r="J93" s="33" t="n">
        <f aca="false">(H93+I93)/2</f>
        <v>0.0786639704371398</v>
      </c>
      <c r="K93" s="33" t="n">
        <f aca="false">IF(SUMPRODUCT('The Model'!$D$8:$D$12,1/(1+M92)^{1;2;3;4;5})+FCF5*(1+GTERM)/(M92-GTERM)/(1+M92)^5&gt;$B$9,M92,K92)</f>
        <v>0.0839978032129823</v>
      </c>
      <c r="L93" s="33" t="n">
        <f aca="false">IF(SUMPRODUCT('The Model'!$D$8:$D$12,1/(1+M92)^{1;2;3;4;5})+FCF5*(1+GTERM)/(M92-GTERM)/(1+M92)^5&gt;$B$9,L92,M92)</f>
        <v>0.0839978032129824</v>
      </c>
      <c r="M93" s="33" t="n">
        <f aca="false">(K93+L93)/2</f>
        <v>0.0839978032129823</v>
      </c>
    </row>
    <row r="94" customFormat="false" ht="15" hidden="false" customHeight="false" outlineLevel="0" collapsed="false">
      <c r="A94" s="37" t="n">
        <v>55</v>
      </c>
      <c r="B94" s="33" t="n">
        <f aca="false">IF(SUMPRODUCT('The Model'!$D$8:$D$12,1/(1+D93)^{1;2;3;4;5})+FCF5*(1+GTERM)/(D93-GTERM)/(1+D93)^5&gt;$B$6,D93,B93)</f>
        <v>0.094192924824994</v>
      </c>
      <c r="C94" s="33" t="n">
        <f aca="false">IF(SUMPRODUCT('The Model'!$D$8:$D$12,1/(1+D93)^{1;2;3;4;5})+FCF5*(1+GTERM)/(D93-GTERM)/(1+D93)^5&gt;$B$6,C93,D93)</f>
        <v>0.094192924824994</v>
      </c>
      <c r="D94" s="33" t="n">
        <f aca="false">(B94+C94)/2</f>
        <v>0.094192924824994</v>
      </c>
      <c r="E94" s="33" t="n">
        <f aca="false">IF(SUMPRODUCT('The Model'!$D$8:$D$12,1/(1+G93)^{1;2;3;4;5})+FCF5*(1+GTERM)/(G93-GTERM)/(1+G93)^5&gt;$B$7,G93,E93)</f>
        <v>0.0899999999999997</v>
      </c>
      <c r="F94" s="33" t="n">
        <f aca="false">IF(SUMPRODUCT('The Model'!$D$8:$D$12,1/(1+G93)^{1;2;3;4;5})+FCF5*(1+GTERM)/(G93-GTERM)/(1+G93)^5&gt;$B$7,F93,G93)</f>
        <v>0.0899999999999998</v>
      </c>
      <c r="G94" s="33" t="n">
        <f aca="false">(E94+F94)/2</f>
        <v>0.0899999999999998</v>
      </c>
      <c r="H94" s="33" t="n">
        <f aca="false">IF(SUMPRODUCT('The Model'!$D$8:$D$12,1/(1+J93)^{1;2;3;4;5})+FCF5*(1+GTERM)/(J93-GTERM)/(1+J93)^5&gt;$B$8,J93,H93)</f>
        <v>0.0786639704371398</v>
      </c>
      <c r="I94" s="33" t="n">
        <f aca="false">IF(SUMPRODUCT('The Model'!$D$8:$D$12,1/(1+J93)^{1;2;3;4;5})+FCF5*(1+GTERM)/(J93-GTERM)/(1+J93)^5&gt;$B$8,I93,J93)</f>
        <v>0.0786639704371399</v>
      </c>
      <c r="J94" s="33" t="n">
        <f aca="false">(H94+I94)/2</f>
        <v>0.0786639704371398</v>
      </c>
      <c r="K94" s="33" t="n">
        <f aca="false">IF(SUMPRODUCT('The Model'!$D$8:$D$12,1/(1+M93)^{1;2;3;4;5})+FCF5*(1+GTERM)/(M93-GTERM)/(1+M93)^5&gt;$B$9,M93,K93)</f>
        <v>0.0839978032129823</v>
      </c>
      <c r="L94" s="33" t="n">
        <f aca="false">IF(SUMPRODUCT('The Model'!$D$8:$D$12,1/(1+M93)^{1;2;3;4;5})+FCF5*(1+GTERM)/(M93-GTERM)/(1+M93)^5&gt;$B$9,L93,M93)</f>
        <v>0.0839978032129824</v>
      </c>
      <c r="M94" s="33" t="n">
        <f aca="false">(K94+L94)/2</f>
        <v>0.0839978032129823</v>
      </c>
    </row>
    <row r="95" customFormat="false" ht="15" hidden="false" customHeight="false" outlineLevel="0" collapsed="false">
      <c r="A95" s="37" t="n">
        <v>56</v>
      </c>
      <c r="B95" s="33" t="n">
        <f aca="false">IF(SUMPRODUCT('The Model'!$D$8:$D$12,1/(1+D94)^{1;2;3;4;5})+FCF5*(1+GTERM)/(D94-GTERM)/(1+D94)^5&gt;$B$6,D94,B94)</f>
        <v>0.094192924824994</v>
      </c>
      <c r="C95" s="33" t="n">
        <f aca="false">IF(SUMPRODUCT('The Model'!$D$8:$D$12,1/(1+D94)^{1;2;3;4;5})+FCF5*(1+GTERM)/(D94-GTERM)/(1+D94)^5&gt;$B$6,C94,D94)</f>
        <v>0.094192924824994</v>
      </c>
      <c r="D95" s="33" t="n">
        <f aca="false">(B95+C95)/2</f>
        <v>0.094192924824994</v>
      </c>
      <c r="E95" s="33" t="n">
        <f aca="false">IF(SUMPRODUCT('The Model'!$D$8:$D$12,1/(1+G94)^{1;2;3;4;5})+FCF5*(1+GTERM)/(G94-GTERM)/(1+G94)^5&gt;$B$7,G94,E94)</f>
        <v>0.0899999999999998</v>
      </c>
      <c r="F95" s="33" t="n">
        <f aca="false">IF(SUMPRODUCT('The Model'!$D$8:$D$12,1/(1+G94)^{1;2;3;4;5})+FCF5*(1+GTERM)/(G94-GTERM)/(1+G94)^5&gt;$B$7,F94,G94)</f>
        <v>0.0899999999999998</v>
      </c>
      <c r="G95" s="33" t="n">
        <f aca="false">(E95+F95)/2</f>
        <v>0.0899999999999998</v>
      </c>
      <c r="H95" s="33" t="n">
        <f aca="false">IF(SUMPRODUCT('The Model'!$D$8:$D$12,1/(1+J94)^{1;2;3;4;5})+FCF5*(1+GTERM)/(J94-GTERM)/(1+J94)^5&gt;$B$8,J94,H94)</f>
        <v>0.0786639704371398</v>
      </c>
      <c r="I95" s="33" t="n">
        <f aca="false">IF(SUMPRODUCT('The Model'!$D$8:$D$12,1/(1+J94)^{1;2;3;4;5})+FCF5*(1+GTERM)/(J94-GTERM)/(1+J94)^5&gt;$B$8,I94,J94)</f>
        <v>0.0786639704371398</v>
      </c>
      <c r="J95" s="33" t="n">
        <f aca="false">(H95+I95)/2</f>
        <v>0.0786639704371398</v>
      </c>
      <c r="K95" s="33" t="n">
        <f aca="false">IF(SUMPRODUCT('The Model'!$D$8:$D$12,1/(1+M94)^{1;2;3;4;5})+FCF5*(1+GTERM)/(M94-GTERM)/(1+M94)^5&gt;$B$9,M94,K94)</f>
        <v>0.0839978032129823</v>
      </c>
      <c r="L95" s="33" t="n">
        <f aca="false">IF(SUMPRODUCT('The Model'!$D$8:$D$12,1/(1+M94)^{1;2;3;4;5})+FCF5*(1+GTERM)/(M94-GTERM)/(1+M94)^5&gt;$B$9,L94,M94)</f>
        <v>0.0839978032129823</v>
      </c>
      <c r="M95" s="33" t="n">
        <f aca="false">(K95+L95)/2</f>
        <v>0.0839978032129823</v>
      </c>
    </row>
    <row r="96" customFormat="false" ht="15" hidden="false" customHeight="false" outlineLevel="0" collapsed="false">
      <c r="A96" s="37" t="n">
        <v>57</v>
      </c>
      <c r="B96" s="33" t="n">
        <f aca="false">IF(SUMPRODUCT('The Model'!$D$8:$D$12,1/(1+D95)^{1;2;3;4;5})+FCF5*(1+GTERM)/(D95-GTERM)/(1+D95)^5&gt;$B$6,D95,B95)</f>
        <v>0.094192924824994</v>
      </c>
      <c r="C96" s="33" t="n">
        <f aca="false">IF(SUMPRODUCT('The Model'!$D$8:$D$12,1/(1+D95)^{1;2;3;4;5})+FCF5*(1+GTERM)/(D95-GTERM)/(1+D95)^5&gt;$B$6,C95,D95)</f>
        <v>0.094192924824994</v>
      </c>
      <c r="D96" s="33" t="n">
        <f aca="false">(B96+C96)/2</f>
        <v>0.094192924824994</v>
      </c>
      <c r="E96" s="33" t="n">
        <f aca="false">IF(SUMPRODUCT('The Model'!$D$8:$D$12,1/(1+G95)^{1;2;3;4;5})+FCF5*(1+GTERM)/(G95-GTERM)/(1+G95)^5&gt;$B$7,G95,E95)</f>
        <v>0.0899999999999998</v>
      </c>
      <c r="F96" s="33" t="n">
        <f aca="false">IF(SUMPRODUCT('The Model'!$D$8:$D$12,1/(1+G95)^{1;2;3;4;5})+FCF5*(1+GTERM)/(G95-GTERM)/(1+G95)^5&gt;$B$7,F95,G95)</f>
        <v>0.0899999999999998</v>
      </c>
      <c r="G96" s="33" t="n">
        <f aca="false">(E96+F96)/2</f>
        <v>0.0899999999999998</v>
      </c>
      <c r="H96" s="33" t="n">
        <f aca="false">IF(SUMPRODUCT('The Model'!$D$8:$D$12,1/(1+J95)^{1;2;3;4;5})+FCF5*(1+GTERM)/(J95-GTERM)/(1+J95)^5&gt;$B$8,J95,H95)</f>
        <v>0.0786639704371398</v>
      </c>
      <c r="I96" s="33" t="n">
        <f aca="false">IF(SUMPRODUCT('The Model'!$D$8:$D$12,1/(1+J95)^{1;2;3;4;5})+FCF5*(1+GTERM)/(J95-GTERM)/(1+J95)^5&gt;$B$8,I95,J95)</f>
        <v>0.0786639704371398</v>
      </c>
      <c r="J96" s="33" t="n">
        <f aca="false">(H96+I96)/2</f>
        <v>0.0786639704371398</v>
      </c>
      <c r="K96" s="33" t="n">
        <f aca="false">IF(SUMPRODUCT('The Model'!$D$8:$D$12,1/(1+M95)^{1;2;3;4;5})+FCF5*(1+GTERM)/(M95-GTERM)/(1+M95)^5&gt;$B$9,M95,K95)</f>
        <v>0.0839978032129823</v>
      </c>
      <c r="L96" s="33" t="n">
        <f aca="false">IF(SUMPRODUCT('The Model'!$D$8:$D$12,1/(1+M95)^{1;2;3;4;5})+FCF5*(1+GTERM)/(M95-GTERM)/(1+M95)^5&gt;$B$9,L95,M95)</f>
        <v>0.0839978032129823</v>
      </c>
      <c r="M96" s="33" t="n">
        <f aca="false">(K96+L96)/2</f>
        <v>0.0839978032129823</v>
      </c>
    </row>
    <row r="97" customFormat="false" ht="15" hidden="false" customHeight="false" outlineLevel="0" collapsed="false">
      <c r="A97" s="37" t="n">
        <v>58</v>
      </c>
      <c r="B97" s="33" t="n">
        <f aca="false">IF(SUMPRODUCT('The Model'!$D$8:$D$12,1/(1+D96)^{1;2;3;4;5})+FCF5*(1+GTERM)/(D96-GTERM)/(1+D96)^5&gt;$B$6,D96,B96)</f>
        <v>0.094192924824994</v>
      </c>
      <c r="C97" s="33" t="n">
        <f aca="false">IF(SUMPRODUCT('The Model'!$D$8:$D$12,1/(1+D96)^{1;2;3;4;5})+FCF5*(1+GTERM)/(D96-GTERM)/(1+D96)^5&gt;$B$6,C96,D96)</f>
        <v>0.094192924824994</v>
      </c>
      <c r="D97" s="33" t="n">
        <f aca="false">(B97+C97)/2</f>
        <v>0.094192924824994</v>
      </c>
      <c r="E97" s="33" t="n">
        <f aca="false">IF(SUMPRODUCT('The Model'!$D$8:$D$12,1/(1+G96)^{1;2;3;4;5})+FCF5*(1+GTERM)/(G96-GTERM)/(1+G96)^5&gt;$B$7,G96,E96)</f>
        <v>0.0899999999999998</v>
      </c>
      <c r="F97" s="33" t="n">
        <f aca="false">IF(SUMPRODUCT('The Model'!$D$8:$D$12,1/(1+G96)^{1;2;3;4;5})+FCF5*(1+GTERM)/(G96-GTERM)/(1+G96)^5&gt;$B$7,F96,G96)</f>
        <v>0.0899999999999998</v>
      </c>
      <c r="G97" s="33" t="n">
        <f aca="false">(E97+F97)/2</f>
        <v>0.0899999999999998</v>
      </c>
      <c r="H97" s="33" t="n">
        <f aca="false">IF(SUMPRODUCT('The Model'!$D$8:$D$12,1/(1+J96)^{1;2;3;4;5})+FCF5*(1+GTERM)/(J96-GTERM)/(1+J96)^5&gt;$B$8,J96,H96)</f>
        <v>0.0786639704371398</v>
      </c>
      <c r="I97" s="33" t="n">
        <f aca="false">IF(SUMPRODUCT('The Model'!$D$8:$D$12,1/(1+J96)^{1;2;3;4;5})+FCF5*(1+GTERM)/(J96-GTERM)/(1+J96)^5&gt;$B$8,I96,J96)</f>
        <v>0.0786639704371398</v>
      </c>
      <c r="J97" s="33" t="n">
        <f aca="false">(H97+I97)/2</f>
        <v>0.0786639704371398</v>
      </c>
      <c r="K97" s="33" t="n">
        <f aca="false">IF(SUMPRODUCT('The Model'!$D$8:$D$12,1/(1+M96)^{1;2;3;4;5})+FCF5*(1+GTERM)/(M96-GTERM)/(1+M96)^5&gt;$B$9,M96,K96)</f>
        <v>0.0839978032129823</v>
      </c>
      <c r="L97" s="33" t="n">
        <f aca="false">IF(SUMPRODUCT('The Model'!$D$8:$D$12,1/(1+M96)^{1;2;3;4;5})+FCF5*(1+GTERM)/(M96-GTERM)/(1+M96)^5&gt;$B$9,L96,M96)</f>
        <v>0.0839978032129823</v>
      </c>
      <c r="M97" s="33" t="n">
        <f aca="false">(K97+L97)/2</f>
        <v>0.0839978032129823</v>
      </c>
    </row>
    <row r="98" customFormat="false" ht="15" hidden="false" customHeight="false" outlineLevel="0" collapsed="false">
      <c r="A98" s="37" t="n">
        <v>59</v>
      </c>
      <c r="B98" s="33" t="n">
        <f aca="false">IF(SUMPRODUCT('The Model'!$D$8:$D$12,1/(1+D97)^{1;2;3;4;5})+FCF5*(1+GTERM)/(D97-GTERM)/(1+D97)^5&gt;$B$6,D97,B97)</f>
        <v>0.094192924824994</v>
      </c>
      <c r="C98" s="33" t="n">
        <f aca="false">IF(SUMPRODUCT('The Model'!$D$8:$D$12,1/(1+D97)^{1;2;3;4;5})+FCF5*(1+GTERM)/(D97-GTERM)/(1+D97)^5&gt;$B$6,C97,D97)</f>
        <v>0.094192924824994</v>
      </c>
      <c r="D98" s="33" t="n">
        <f aca="false">(B98+C98)/2</f>
        <v>0.094192924824994</v>
      </c>
      <c r="E98" s="33" t="n">
        <f aca="false">IF(SUMPRODUCT('The Model'!$D$8:$D$12,1/(1+G97)^{1;2;3;4;5})+FCF5*(1+GTERM)/(G97-GTERM)/(1+G97)^5&gt;$B$7,G97,E97)</f>
        <v>0.0899999999999998</v>
      </c>
      <c r="F98" s="33" t="n">
        <f aca="false">IF(SUMPRODUCT('The Model'!$D$8:$D$12,1/(1+G97)^{1;2;3;4;5})+FCF5*(1+GTERM)/(G97-GTERM)/(1+G97)^5&gt;$B$7,F97,G97)</f>
        <v>0.0899999999999998</v>
      </c>
      <c r="G98" s="33" t="n">
        <f aca="false">(E98+F98)/2</f>
        <v>0.0899999999999998</v>
      </c>
      <c r="H98" s="33" t="n">
        <f aca="false">IF(SUMPRODUCT('The Model'!$D$8:$D$12,1/(1+J97)^{1;2;3;4;5})+FCF5*(1+GTERM)/(J97-GTERM)/(1+J97)^5&gt;$B$8,J97,H97)</f>
        <v>0.0786639704371398</v>
      </c>
      <c r="I98" s="33" t="n">
        <f aca="false">IF(SUMPRODUCT('The Model'!$D$8:$D$12,1/(1+J97)^{1;2;3;4;5})+FCF5*(1+GTERM)/(J97-GTERM)/(1+J97)^5&gt;$B$8,I97,J97)</f>
        <v>0.0786639704371398</v>
      </c>
      <c r="J98" s="33" t="n">
        <f aca="false">(H98+I98)/2</f>
        <v>0.0786639704371398</v>
      </c>
      <c r="K98" s="33" t="n">
        <f aca="false">IF(SUMPRODUCT('The Model'!$D$8:$D$12,1/(1+M97)^{1;2;3;4;5})+FCF5*(1+GTERM)/(M97-GTERM)/(1+M97)^5&gt;$B$9,M97,K97)</f>
        <v>0.0839978032129823</v>
      </c>
      <c r="L98" s="33" t="n">
        <f aca="false">IF(SUMPRODUCT('The Model'!$D$8:$D$12,1/(1+M97)^{1;2;3;4;5})+FCF5*(1+GTERM)/(M97-GTERM)/(1+M97)^5&gt;$B$9,L97,M97)</f>
        <v>0.0839978032129823</v>
      </c>
      <c r="M98" s="33" t="n">
        <f aca="false">(K98+L98)/2</f>
        <v>0.0839978032129823</v>
      </c>
    </row>
    <row r="99" customFormat="false" ht="15" hidden="false" customHeight="false" outlineLevel="0" collapsed="false">
      <c r="A99" s="37" t="n">
        <v>60</v>
      </c>
      <c r="B99" s="33" t="n">
        <f aca="false">IF(SUMPRODUCT('The Model'!$D$8:$D$12,1/(1+D98)^{1;2;3;4;5})+FCF5*(1+GTERM)/(D98-GTERM)/(1+D98)^5&gt;$B$6,D98,B98)</f>
        <v>0.094192924824994</v>
      </c>
      <c r="C99" s="33" t="n">
        <f aca="false">IF(SUMPRODUCT('The Model'!$D$8:$D$12,1/(1+D98)^{1;2;3;4;5})+FCF5*(1+GTERM)/(D98-GTERM)/(1+D98)^5&gt;$B$6,C98,D98)</f>
        <v>0.094192924824994</v>
      </c>
      <c r="D99" s="33" t="n">
        <f aca="false">(B99+C99)/2</f>
        <v>0.094192924824994</v>
      </c>
      <c r="E99" s="33" t="n">
        <f aca="false">IF(SUMPRODUCT('The Model'!$D$8:$D$12,1/(1+G98)^{1;2;3;4;5})+FCF5*(1+GTERM)/(G98-GTERM)/(1+G98)^5&gt;$B$7,G98,E98)</f>
        <v>0.0899999999999998</v>
      </c>
      <c r="F99" s="33" t="n">
        <f aca="false">IF(SUMPRODUCT('The Model'!$D$8:$D$12,1/(1+G98)^{1;2;3;4;5})+FCF5*(1+GTERM)/(G98-GTERM)/(1+G98)^5&gt;$B$7,F98,G98)</f>
        <v>0.0899999999999998</v>
      </c>
      <c r="G99" s="33" t="n">
        <f aca="false">(E99+F99)/2</f>
        <v>0.0899999999999998</v>
      </c>
      <c r="H99" s="33" t="n">
        <f aca="false">IF(SUMPRODUCT('The Model'!$D$8:$D$12,1/(1+J98)^{1;2;3;4;5})+FCF5*(1+GTERM)/(J98-GTERM)/(1+J98)^5&gt;$B$8,J98,H98)</f>
        <v>0.0786639704371398</v>
      </c>
      <c r="I99" s="33" t="n">
        <f aca="false">IF(SUMPRODUCT('The Model'!$D$8:$D$12,1/(1+J98)^{1;2;3;4;5})+FCF5*(1+GTERM)/(J98-GTERM)/(1+J98)^5&gt;$B$8,I98,J98)</f>
        <v>0.0786639704371398</v>
      </c>
      <c r="J99" s="33" t="n">
        <f aca="false">(H99+I99)/2</f>
        <v>0.0786639704371398</v>
      </c>
      <c r="K99" s="33" t="n">
        <f aca="false">IF(SUMPRODUCT('The Model'!$D$8:$D$12,1/(1+M98)^{1;2;3;4;5})+FCF5*(1+GTERM)/(M98-GTERM)/(1+M98)^5&gt;$B$9,M98,K98)</f>
        <v>0.0839978032129823</v>
      </c>
      <c r="L99" s="33" t="n">
        <f aca="false">IF(SUMPRODUCT('The Model'!$D$8:$D$12,1/(1+M98)^{1;2;3;4;5})+FCF5*(1+GTERM)/(M98-GTERM)/(1+M98)^5&gt;$B$9,L98,M98)</f>
        <v>0.0839978032129823</v>
      </c>
      <c r="M99" s="33" t="n">
        <f aca="false">(K99+L99)/2</f>
        <v>0.0839978032129823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58"/>
    <col collapsed="false" customWidth="true" hidden="false" outlineLevel="0" max="4" min="3" style="0" width="18"/>
    <col collapsed="false" customWidth="true" hidden="false" outlineLevel="0" max="5" min="5" style="0" width="14"/>
    <col collapsed="false" customWidth="true" hidden="false" outlineLevel="0" max="6" min="6" style="0" width="11"/>
    <col collapsed="false" customWidth="true" hidden="false" outlineLevel="0" max="7" min="7" style="0" width="60"/>
  </cols>
  <sheetData>
    <row r="1" customFormat="false" ht="24" hidden="false" customHeight="true" outlineLevel="0" collapsed="false">
      <c r="A1" s="1" t="s">
        <v>134</v>
      </c>
    </row>
    <row r="2" customFormat="false" ht="15" hidden="false" customHeight="false" outlineLevel="0" collapsed="false">
      <c r="A2" s="2" t="s">
        <v>135</v>
      </c>
    </row>
    <row r="3" customFormat="false" ht="15" hidden="false" customHeight="false" outlineLevel="0" collapsed="false">
      <c r="A3" s="3"/>
      <c r="B3" s="3"/>
      <c r="C3" s="3"/>
      <c r="D3" s="3"/>
      <c r="E3" s="3"/>
      <c r="F3" s="3"/>
    </row>
    <row r="5" customFormat="false" ht="30" hidden="false" customHeight="true" outlineLevel="0" collapsed="false">
      <c r="A5" s="14" t="s">
        <v>136</v>
      </c>
      <c r="B5" s="15" t="s">
        <v>137</v>
      </c>
      <c r="C5" s="15" t="s">
        <v>138</v>
      </c>
      <c r="D5" s="15" t="s">
        <v>139</v>
      </c>
      <c r="E5" s="15" t="s">
        <v>140</v>
      </c>
      <c r="F5" s="15" t="s">
        <v>141</v>
      </c>
    </row>
    <row r="6" customFormat="false" ht="15" hidden="false" customHeight="false" outlineLevel="0" collapsed="false">
      <c r="A6" s="7" t="s">
        <v>142</v>
      </c>
      <c r="B6" s="7" t="s">
        <v>143</v>
      </c>
      <c r="C6" s="38" t="n">
        <v>0.0144</v>
      </c>
      <c r="D6" s="30" t="n">
        <f aca="false">ROUND('Backing Out'!D11,4)</f>
        <v>0.0144</v>
      </c>
      <c r="E6" s="30" t="n">
        <f aca="false">D6-C6</f>
        <v>0</v>
      </c>
      <c r="F6" s="39" t="str">
        <f aca="false">IF(ABS(D6-C6)&lt;=0.00005,"PASS","FAIL")</f>
        <v>PASS</v>
      </c>
    </row>
    <row r="7" customFormat="false" ht="15" hidden="false" customHeight="false" outlineLevel="0" collapsed="false">
      <c r="A7" s="7" t="s">
        <v>142</v>
      </c>
      <c r="B7" s="7" t="s">
        <v>144</v>
      </c>
      <c r="C7" s="38" t="n">
        <v>0.02</v>
      </c>
      <c r="D7" s="30" t="n">
        <f aca="false">ROUND('Backing Out'!D12,4)</f>
        <v>0.02</v>
      </c>
      <c r="E7" s="30" t="n">
        <f aca="false">D7-C7</f>
        <v>0</v>
      </c>
      <c r="F7" s="39" t="str">
        <f aca="false">IF(ABS(D7-C7)&lt;=0.00005,"PASS","FAIL")</f>
        <v>PASS</v>
      </c>
    </row>
    <row r="8" customFormat="false" ht="15" hidden="false" customHeight="false" outlineLevel="0" collapsed="false">
      <c r="A8" s="7" t="s">
        <v>142</v>
      </c>
      <c r="B8" s="7" t="s">
        <v>145</v>
      </c>
      <c r="C8" s="38" t="n">
        <v>0.0341</v>
      </c>
      <c r="D8" s="30" t="n">
        <f aca="false">ROUND('Backing Out'!D13,4)</f>
        <v>0.0341</v>
      </c>
      <c r="E8" s="30" t="n">
        <f aca="false">D8-C8</f>
        <v>0</v>
      </c>
      <c r="F8" s="39" t="str">
        <f aca="false">IF(ABS(D8-C8)&lt;=0.00005,"PASS","FAIL")</f>
        <v>PASS</v>
      </c>
    </row>
    <row r="9" customFormat="false" ht="15" hidden="false" customHeight="false" outlineLevel="0" collapsed="false">
      <c r="A9" s="7" t="s">
        <v>142</v>
      </c>
      <c r="B9" s="7" t="s">
        <v>146</v>
      </c>
      <c r="C9" s="38" t="n">
        <v>0.0196</v>
      </c>
      <c r="D9" s="30" t="n">
        <f aca="false">ROUND('Backing Out'!B17,4)</f>
        <v>0.0196</v>
      </c>
      <c r="E9" s="30" t="n">
        <f aca="false">D9-C9</f>
        <v>0</v>
      </c>
      <c r="F9" s="39" t="str">
        <f aca="false">IF(ABS(D9-C9)&lt;=0.00005,"PASS","FAIL")</f>
        <v>PASS</v>
      </c>
    </row>
    <row r="10" customFormat="false" ht="15" hidden="false" customHeight="false" outlineLevel="0" collapsed="false">
      <c r="A10" s="7" t="s">
        <v>147</v>
      </c>
      <c r="B10" s="7" t="s">
        <v>148</v>
      </c>
      <c r="C10" s="40" t="n">
        <v>18480000</v>
      </c>
      <c r="D10" s="20" t="n">
        <f aca="false">'Backing Out'!B15</f>
        <v>18480000</v>
      </c>
      <c r="E10" s="20" t="n">
        <f aca="false">D10-C10</f>
        <v>0</v>
      </c>
      <c r="F10" s="39" t="str">
        <f aca="false">IF(ABS(D10-C10)&lt;=1,"PASS","FAIL")</f>
        <v>PASS</v>
      </c>
    </row>
    <row r="11" customFormat="false" ht="15" hidden="false" customHeight="false" outlineLevel="0" collapsed="false">
      <c r="A11" s="7" t="s">
        <v>147</v>
      </c>
      <c r="B11" s="7" t="s">
        <v>78</v>
      </c>
      <c r="C11" s="41" t="n">
        <v>0.268</v>
      </c>
      <c r="D11" s="31" t="n">
        <f aca="false">ROUND('Backing Out'!B16,3)</f>
        <v>0.268</v>
      </c>
      <c r="E11" s="31" t="n">
        <f aca="false">D11-C11</f>
        <v>0</v>
      </c>
      <c r="F11" s="39" t="str">
        <f aca="false">IF(ABS(D11-C11)&lt;=0.0005,"PASS","FAIL")</f>
        <v>PASS</v>
      </c>
    </row>
    <row r="12" customFormat="false" ht="15" hidden="false" customHeight="false" outlineLevel="0" collapsed="false">
      <c r="A12" s="7" t="s">
        <v>149</v>
      </c>
      <c r="B12" s="7" t="s">
        <v>150</v>
      </c>
      <c r="C12" s="40" t="n">
        <v>76160000</v>
      </c>
      <c r="D12" s="20" t="n">
        <f aca="false">'The Seller''s Bridge'!B7</f>
        <v>76160000</v>
      </c>
      <c r="E12" s="20" t="n">
        <f aca="false">D12-C12</f>
        <v>0</v>
      </c>
      <c r="F12" s="39" t="str">
        <f aca="false">IF(ABS(D12-C12)&lt;=1,"PASS","FAIL")</f>
        <v>PASS</v>
      </c>
    </row>
    <row r="13" customFormat="false" ht="15" hidden="false" customHeight="false" outlineLevel="0" collapsed="false">
      <c r="A13" s="7" t="s">
        <v>149</v>
      </c>
      <c r="B13" s="7" t="s">
        <v>151</v>
      </c>
      <c r="C13" s="40" t="n">
        <v>-1523200</v>
      </c>
      <c r="D13" s="20" t="n">
        <f aca="false">'The Seller''s Bridge'!B8</f>
        <v>-1523200</v>
      </c>
      <c r="E13" s="20" t="n">
        <f aca="false">D13-C13</f>
        <v>0</v>
      </c>
      <c r="F13" s="39" t="str">
        <f aca="false">IF(ABS(D13-C13)&lt;=1,"PASS","FAIL")</f>
        <v>PASS</v>
      </c>
    </row>
    <row r="14" customFormat="false" ht="15" hidden="false" customHeight="false" outlineLevel="0" collapsed="false">
      <c r="A14" s="7" t="s">
        <v>149</v>
      </c>
      <c r="B14" s="7" t="s">
        <v>98</v>
      </c>
      <c r="C14" s="40" t="n">
        <v>52636800</v>
      </c>
      <c r="D14" s="20" t="n">
        <f aca="false">'The Seller''s Bridge'!B10</f>
        <v>52636800</v>
      </c>
      <c r="E14" s="20" t="n">
        <f aca="false">D14-C14</f>
        <v>0</v>
      </c>
      <c r="F14" s="39" t="str">
        <f aca="false">IF(ABS(D14-C14)&lt;=1,"PASS","FAIL")</f>
        <v>PASS</v>
      </c>
    </row>
    <row r="15" customFormat="false" ht="15" hidden="false" customHeight="false" outlineLevel="0" collapsed="false">
      <c r="A15" s="7" t="s">
        <v>149</v>
      </c>
      <c r="B15" s="7" t="s">
        <v>152</v>
      </c>
      <c r="C15" s="40" t="n">
        <v>-10527360</v>
      </c>
      <c r="D15" s="20" t="n">
        <f aca="false">'The Seller''s Bridge'!B11</f>
        <v>-10527360</v>
      </c>
      <c r="E15" s="20" t="n">
        <f aca="false">D15-C15</f>
        <v>0</v>
      </c>
      <c r="F15" s="39" t="str">
        <f aca="false">IF(ABS(D15-C15)&lt;=1,"PASS","FAIL")</f>
        <v>PASS</v>
      </c>
    </row>
    <row r="16" customFormat="false" ht="15" hidden="false" customHeight="false" outlineLevel="0" collapsed="false">
      <c r="A16" s="7" t="s">
        <v>149</v>
      </c>
      <c r="B16" s="7" t="s">
        <v>100</v>
      </c>
      <c r="C16" s="40" t="n">
        <v>64109440</v>
      </c>
      <c r="D16" s="20" t="n">
        <f aca="false">'The Seller''s Bridge'!B12</f>
        <v>64109440</v>
      </c>
      <c r="E16" s="20" t="n">
        <f aca="false">D16-C16</f>
        <v>0</v>
      </c>
      <c r="F16" s="39" t="str">
        <f aca="false">IF(ABS(D16-C16)&lt;=1,"PASS","FAIL")</f>
        <v>PASS</v>
      </c>
    </row>
    <row r="17" customFormat="false" ht="15" hidden="false" customHeight="false" outlineLevel="0" collapsed="false">
      <c r="A17" s="7" t="s">
        <v>149</v>
      </c>
      <c r="B17" s="7" t="s">
        <v>153</v>
      </c>
      <c r="C17" s="40" t="n">
        <v>12050560</v>
      </c>
      <c r="D17" s="20" t="n">
        <f aca="false">'The Seller''s Bridge'!B13</f>
        <v>12050560</v>
      </c>
      <c r="E17" s="20" t="n">
        <f aca="false">D17-C17</f>
        <v>0</v>
      </c>
      <c r="F17" s="39" t="str">
        <f aca="false">IF(ABS(D17-C17)&lt;=1,"PASS","FAIL")</f>
        <v>PASS</v>
      </c>
    </row>
    <row r="18" customFormat="false" ht="15" hidden="false" customHeight="false" outlineLevel="0" collapsed="false">
      <c r="A18" s="7" t="s">
        <v>149</v>
      </c>
      <c r="B18" s="7" t="s">
        <v>102</v>
      </c>
      <c r="C18" s="41" t="n">
        <v>0.158</v>
      </c>
      <c r="D18" s="31" t="n">
        <f aca="false">ROUND('The Seller''s Bridge'!B14,3)</f>
        <v>0.158</v>
      </c>
      <c r="E18" s="31" t="n">
        <f aca="false">D18-C18</f>
        <v>0</v>
      </c>
      <c r="F18" s="39" t="str">
        <f aca="false">IF(ABS(D18-C18)&lt;=0.0005,"PASS","FAIL")</f>
        <v>PASS</v>
      </c>
    </row>
    <row r="19" customFormat="false" ht="15" hidden="false" customHeight="false" outlineLevel="0" collapsed="false">
      <c r="A19" s="7" t="s">
        <v>149</v>
      </c>
      <c r="B19" s="7" t="s">
        <v>154</v>
      </c>
      <c r="C19" s="42" t="n">
        <v>8.97</v>
      </c>
      <c r="D19" s="26" t="n">
        <f aca="false">ROUND('The Seller''s Bridge'!B16,2)</f>
        <v>8.97</v>
      </c>
      <c r="E19" s="26" t="n">
        <f aca="false">D19-C19</f>
        <v>0</v>
      </c>
      <c r="F19" s="39" t="str">
        <f aca="false">IF(ABS(D19-C19)&lt;=0.005,"PASS","FAIL")</f>
        <v>PASS</v>
      </c>
    </row>
    <row r="20" customFormat="false" ht="15" hidden="false" customHeight="false" outlineLevel="0" collapsed="false">
      <c r="A20" s="7" t="n">
        <v>13</v>
      </c>
      <c r="B20" s="7" t="s">
        <v>155</v>
      </c>
      <c r="C20" s="40" t="n">
        <v>48995894</v>
      </c>
      <c r="D20" s="20" t="n">
        <f aca="false">ROUND('Backing Out'!B31,0)</f>
        <v>48995894</v>
      </c>
      <c r="E20" s="20" t="n">
        <f aca="false">D20-C20</f>
        <v>0</v>
      </c>
      <c r="F20" s="39" t="str">
        <f aca="false">IF(ABS(D20-C20)&lt;=1,"PASS","FAIL")</f>
        <v>PASS</v>
      </c>
    </row>
    <row r="21" customFormat="false" ht="15" hidden="false" customHeight="false" outlineLevel="0" collapsed="false">
      <c r="A21" s="7" t="n">
        <v>13</v>
      </c>
      <c r="B21" s="7" t="s">
        <v>156</v>
      </c>
      <c r="C21" s="40" t="n">
        <v>75386256</v>
      </c>
      <c r="D21" s="20" t="n">
        <f aca="false">ROUND('Backing Out'!B32,0)</f>
        <v>75386256</v>
      </c>
      <c r="E21" s="20" t="n">
        <f aca="false">D21-C21</f>
        <v>0</v>
      </c>
      <c r="F21" s="39" t="str">
        <f aca="false">IF(ABS(D21-C21)&lt;=1,"PASS","FAIL")</f>
        <v>PASS</v>
      </c>
    </row>
    <row r="22" customFormat="false" ht="15" hidden="false" customHeight="false" outlineLevel="0" collapsed="false">
      <c r="A22" s="7" t="n">
        <v>13</v>
      </c>
      <c r="B22" s="7" t="s">
        <v>157</v>
      </c>
      <c r="C22" s="43" t="n">
        <v>1.538624</v>
      </c>
      <c r="D22" s="33" t="n">
        <f aca="false">ROUND('Backing Out'!B33,6)</f>
        <v>1.538624</v>
      </c>
      <c r="E22" s="33" t="n">
        <f aca="false">D22-C22</f>
        <v>0</v>
      </c>
      <c r="F22" s="39" t="str">
        <f aca="false">IF(ABS(D22-C22)&lt;=0.0000005,"PASS","FAIL")</f>
        <v>PASS</v>
      </c>
    </row>
    <row r="23" customFormat="false" ht="15" hidden="false" customHeight="false" outlineLevel="0" collapsed="false">
      <c r="A23" s="7" t="n">
        <v>13</v>
      </c>
      <c r="B23" s="7" t="s">
        <v>158</v>
      </c>
      <c r="C23" s="40" t="n">
        <v>67475894</v>
      </c>
      <c r="D23" s="20" t="n">
        <f aca="false">ROUND('Backing Out'!C31,0)</f>
        <v>67475894</v>
      </c>
      <c r="E23" s="20" t="n">
        <f aca="false">D23-C23</f>
        <v>0</v>
      </c>
      <c r="F23" s="39" t="str">
        <f aca="false">IF(ABS(D23-C23)&lt;=1,"PASS","FAIL")</f>
        <v>PASS</v>
      </c>
    </row>
    <row r="24" customFormat="false" ht="15" hidden="false" customHeight="false" outlineLevel="0" collapsed="false">
      <c r="A24" s="7" t="n">
        <v>13</v>
      </c>
      <c r="B24" s="7" t="s">
        <v>159</v>
      </c>
      <c r="C24" s="40" t="n">
        <v>103820027</v>
      </c>
      <c r="D24" s="20" t="n">
        <f aca="false">ROUND('Backing Out'!C32,0)</f>
        <v>103820026</v>
      </c>
      <c r="E24" s="20" t="n">
        <f aca="false">D24-C24</f>
        <v>-1</v>
      </c>
      <c r="F24" s="39" t="str">
        <f aca="false">IF(ABS(D24-C24)&lt;=1,"PASS","FAIL")</f>
        <v>PASS</v>
      </c>
    </row>
    <row r="25" customFormat="false" ht="15" hidden="false" customHeight="false" outlineLevel="0" collapsed="false">
      <c r="A25" s="7" t="n">
        <v>13</v>
      </c>
      <c r="B25" s="7" t="s">
        <v>160</v>
      </c>
      <c r="C25" s="42" t="n">
        <v>8.2</v>
      </c>
      <c r="D25" s="26" t="n">
        <f aca="false">MEDIAN(PEERS)</f>
        <v>8.2</v>
      </c>
      <c r="E25" s="26" t="n">
        <f aca="false">D25-C25</f>
        <v>0</v>
      </c>
      <c r="F25" s="39" t="str">
        <f aca="false">IF(ABS(D25-C25)&lt;=0.000000001,"PASS","FAIL")</f>
        <v>PASS</v>
      </c>
      <c r="G25" s="37" t="s">
        <v>161</v>
      </c>
    </row>
    <row r="26" customFormat="false" ht="15" hidden="false" customHeight="false" outlineLevel="0" collapsed="false">
      <c r="A26" s="7" t="n">
        <v>13</v>
      </c>
      <c r="B26" s="7" t="s">
        <v>162</v>
      </c>
      <c r="C26" s="44" t="n">
        <v>0</v>
      </c>
      <c r="D26" s="45" t="n">
        <f aca="false">'Other Solves'!C7-WACC</f>
        <v>0</v>
      </c>
      <c r="E26" s="45" t="n">
        <f aca="false">D26-C26</f>
        <v>0</v>
      </c>
      <c r="F26" s="39" t="str">
        <f aca="false">IF(ABS(D26-C26)&lt;=0.000000001,"PASS","FAIL")</f>
        <v>PASS</v>
      </c>
      <c r="G26" s="37" t="s">
        <v>163</v>
      </c>
    </row>
    <row r="27" customFormat="false" ht="15" hidden="false" customHeight="false" outlineLevel="0" collapsed="false">
      <c r="A27" s="7" t="n">
        <v>13</v>
      </c>
      <c r="B27" s="7" t="s">
        <v>164</v>
      </c>
      <c r="C27" s="40" t="n">
        <v>0</v>
      </c>
      <c r="D27" s="20" t="n">
        <f aca="false">ABS('Other Solves'!D6-'Other Solves'!B6)+ABS('Other Solves'!D8-'Other Solves'!B8)+ABS('Other Solves'!D9-'Other Solves'!B9)</f>
        <v>5.81145286560059E-007</v>
      </c>
      <c r="E27" s="20" t="n">
        <f aca="false">D27-C27</f>
        <v>5.81145286560059E-007</v>
      </c>
      <c r="F27" s="39" t="str">
        <f aca="false">IF(ABS(D27-C27)&lt;=0.001,"PASS","FAIL")</f>
        <v>PASS</v>
      </c>
      <c r="G27" s="37" t="s">
        <v>163</v>
      </c>
    </row>
    <row r="28" customFormat="false" ht="15" hidden="false" customHeight="false" outlineLevel="0" collapsed="false">
      <c r="A28" s="7" t="n">
        <v>13</v>
      </c>
      <c r="B28" s="7" t="s">
        <v>165</v>
      </c>
      <c r="C28" s="38" t="n">
        <v>0.195</v>
      </c>
      <c r="D28" s="30" t="n">
        <f aca="false">'Other Solves'!C15</f>
        <v>0.198921329366821</v>
      </c>
      <c r="E28" s="30" t="n">
        <f aca="false">D28-C28</f>
        <v>0.00392132936682083</v>
      </c>
      <c r="F28" s="39" t="str">
        <f aca="false">IF(ABS(D28-C28)&lt;=0.005,"PASS","FAIL")</f>
        <v>PASS</v>
      </c>
      <c r="G28" s="37" t="s">
        <v>166</v>
      </c>
    </row>
    <row r="29" customFormat="false" ht="15" hidden="false" customHeight="false" outlineLevel="0" collapsed="false">
      <c r="A29" s="7" t="n">
        <v>13</v>
      </c>
      <c r="B29" s="7" t="s">
        <v>167</v>
      </c>
      <c r="C29" s="43" t="n">
        <v>0</v>
      </c>
      <c r="D29" s="33" t="n">
        <f aca="false">'Other Solves'!C14-MARGIN</f>
        <v>0</v>
      </c>
      <c r="E29" s="33" t="n">
        <f aca="false">D29-C29</f>
        <v>0</v>
      </c>
      <c r="F29" s="39" t="str">
        <f aca="false">IF(ABS(D29-C29)&lt;=0.000000000001,"PASS","FAIL")</f>
        <v>PASS</v>
      </c>
      <c r="G29" s="37" t="s">
        <v>163</v>
      </c>
    </row>
    <row r="30" customFormat="false" ht="15" hidden="false" customHeight="false" outlineLevel="0" collapsed="false">
      <c r="A30" s="7" t="n">
        <v>13</v>
      </c>
      <c r="B30" s="7" t="s">
        <v>168</v>
      </c>
      <c r="C30" s="40" t="n">
        <v>0</v>
      </c>
      <c r="D30" s="20" t="n">
        <f aca="false">ABS('Other Solves'!D13-'Other Solves'!B13)+ABS('Other Solves'!D15-'Other Solves'!B15)+ABS('Other Solves'!D16-'Other Solves'!B16)</f>
        <v>0</v>
      </c>
      <c r="E30" s="20" t="n">
        <f aca="false">D30-C30</f>
        <v>0</v>
      </c>
      <c r="F30" s="39" t="str">
        <f aca="false">IF(ABS(D30-C30)&lt;=0.001,"PASS","FAIL")</f>
        <v>PASS</v>
      </c>
      <c r="G30" s="37" t="s">
        <v>163</v>
      </c>
    </row>
    <row r="31" customFormat="false" ht="15" hidden="false" customHeight="false" outlineLevel="0" collapsed="false">
      <c r="A31" s="7" t="n">
        <v>16</v>
      </c>
      <c r="B31" s="7" t="s">
        <v>169</v>
      </c>
      <c r="C31" s="41" t="n">
        <v>0.18</v>
      </c>
      <c r="D31" s="31" t="n">
        <f aca="false">'The Seller''s Bridge'!B21</f>
        <v>0.181333333333333</v>
      </c>
      <c r="E31" s="31" t="n">
        <f aca="false">D31-C31</f>
        <v>0.00133333333333335</v>
      </c>
      <c r="F31" s="39" t="str">
        <f aca="false">IF(ABS(D31-C31)&lt;=0.005,"PASS","FAIL")</f>
        <v>PASS</v>
      </c>
      <c r="G31" s="37" t="s">
        <v>170</v>
      </c>
    </row>
    <row r="32" customFormat="false" ht="15" hidden="false" customHeight="false" outlineLevel="0" collapsed="false">
      <c r="A32" s="7" t="n">
        <v>16</v>
      </c>
      <c r="B32" s="7" t="s">
        <v>171</v>
      </c>
      <c r="C32" s="40" t="n">
        <v>784000</v>
      </c>
      <c r="D32" s="20" t="n">
        <f aca="false">'The Seller''s Bridge'!B22</f>
        <v>784000</v>
      </c>
      <c r="E32" s="20" t="n">
        <f aca="false">D32-C32</f>
        <v>0</v>
      </c>
      <c r="F32" s="39" t="str">
        <f aca="false">IF(ABS(D32-C32)&lt;=0.000001,"PASS","FAIL")</f>
        <v>PASS</v>
      </c>
      <c r="G32" s="37" t="s">
        <v>172</v>
      </c>
    </row>
    <row r="33" customFormat="false" ht="15" hidden="false" customHeight="false" outlineLevel="0" collapsed="false">
      <c r="A33" s="7" t="n">
        <v>16</v>
      </c>
      <c r="B33" s="7" t="s">
        <v>173</v>
      </c>
      <c r="C33" s="40" t="n">
        <v>7616000</v>
      </c>
      <c r="D33" s="20" t="n">
        <f aca="false">'The Seller''s Bridge'!B24</f>
        <v>7616000</v>
      </c>
      <c r="E33" s="20" t="n">
        <f aca="false">D33-C33</f>
        <v>0</v>
      </c>
      <c r="F33" s="39" t="str">
        <f aca="false">IF(ABS(D33-C33)&lt;=0.000001,"PASS","FAIL")</f>
        <v>PASS</v>
      </c>
      <c r="G33" s="37" t="s">
        <v>174</v>
      </c>
    </row>
    <row r="34" customFormat="false" ht="15" hidden="false" customHeight="false" outlineLevel="0" collapsed="false">
      <c r="A34" s="7" t="n">
        <v>16</v>
      </c>
      <c r="B34" s="7" t="s">
        <v>175</v>
      </c>
      <c r="C34" s="40" t="n">
        <v>420000</v>
      </c>
      <c r="D34" s="20" t="n">
        <f aca="false">'The Seller''s Bridge'!B25</f>
        <v>420000</v>
      </c>
      <c r="E34" s="20" t="n">
        <f aca="false">D34-C34</f>
        <v>0</v>
      </c>
      <c r="F34" s="39" t="str">
        <f aca="false">IF(ABS(D34-C34)&lt;=0.000001,"PASS","FAIL")</f>
        <v>PASS</v>
      </c>
      <c r="G34" s="37" t="s">
        <v>176</v>
      </c>
    </row>
    <row r="35" customFormat="false" ht="15" hidden="false" customHeight="false" outlineLevel="0" collapsed="false">
      <c r="A35" s="7" t="n">
        <v>16</v>
      </c>
      <c r="B35" s="7" t="s">
        <v>177</v>
      </c>
      <c r="C35" s="40" t="n">
        <v>0</v>
      </c>
      <c r="D35" s="20" t="n">
        <f aca="false">'The Seller''s Bridge'!B12-('The Seller''s Bridge'!B7+'The Seller''s Bridge'!B8-('The Seller''s Bridge'!B7+'The Seller''s Bridge'!B8-TAXBASE)*CGT)</f>
        <v>0</v>
      </c>
      <c r="E35" s="20" t="n">
        <f aca="false">D35-C35</f>
        <v>0</v>
      </c>
      <c r="F35" s="39" t="str">
        <f aca="false">IF(ABS(D35-C35)&lt;=0.000001,"PASS","FAIL")</f>
        <v>PASS</v>
      </c>
      <c r="G35" s="37" t="s">
        <v>163</v>
      </c>
    </row>
    <row r="37" customFormat="false" ht="15" hidden="false" customHeight="false" outlineLevel="0" collapsed="false">
      <c r="B37" s="12" t="s">
        <v>178</v>
      </c>
      <c r="D37" s="12" t="str">
        <f aca="false">COUNTIF(F6:F35,"PASS")&amp;" of "&amp;30</f>
        <v>30 of 30</v>
      </c>
      <c r="F37" s="12" t="str">
        <f aca="false">IF(COUNTIF(F6:F35,"PASS")=30,"ALL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2026-08-28T18:06:38Z</dcterms:created>
  <dc:creator>openpyxl</dc:creator>
  <dc:description/>
  <dc:language>en-US</dc:language>
  <cp:lastModifiedBy/>
  <dcterms:modified xsi:type="dcterms:W3CDTF">2026-09-24T01:10:50Z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