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Multiples" sheetId="3" state="visible" r:id="rId5"/>
    <sheet name="The Premium" sheetId="4" state="visible" r:id="rId6"/>
    <sheet name="The Sets, Tested" sheetId="5" state="visible" r:id="rId7"/>
    <sheet name="What a Multiple Contains" sheetId="6" state="visible" r:id="rId8"/>
    <sheet name="Checks" sheetId="7" state="visible" r:id="rId9"/>
  </sheets>
  <definedNames>
    <definedName function="false" hidden="false" name="CAPEX0" vbProcedure="false">Inputs!$B$11</definedName>
    <definedName function="false" hidden="false" name="DA0" vbProcedure="false">Inputs!$B$9</definedName>
    <definedName function="false" hidden="false" name="DWC0" vbProcedure="false">Inputs!$B$12</definedName>
    <definedName function="false" hidden="false" name="EBITDA0" vbProcedure="false">Inputs!$B$15</definedName>
    <definedName function="false" hidden="false" name="GR" vbProcedure="false">Inputs!$B$22:$B$26</definedName>
    <definedName function="false" hidden="false" name="GTERM" vbProcedure="false">Inputs!$B$20</definedName>
    <definedName function="false" hidden="false" name="MARGIN" vbProcedure="false">Inputs!$B$8</definedName>
    <definedName function="false" hidden="false" name="NETDEBT" vbProcedure="false">Inputs!$B$13</definedName>
    <definedName function="false" hidden="false" name="REV0" vbProcedure="false">Inputs!$B$7</definedName>
    <definedName function="false" hidden="false" name="SHARES" vbProcedure="false">Inputs!$B$14</definedName>
    <definedName function="false" hidden="false" name="TAXR" vbProcedure="false">Inputs!$B$10</definedName>
    <definedName function="false" hidden="false" name="WACC" vbProcedure="false">Inputs!$B$19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<sst xmlns="http://schemas.openxmlformats.org/spreadsheetml/2006/main" count="301" uniqueCount="218">
  <si>
    <t xml:space="preserve">Workbook 3 - Multiples and the Premium</t>
  </si>
  <si>
    <t xml:space="preserve">Companion to Business Valuation by Julian R. Sterling</t>
  </si>
  <si>
    <t xml:space="preserve">What this workbook does</t>
  </si>
  <si>
    <t xml:space="preserve">The comparable set and the transaction set with their medians, and then the chapter the book is proudest of: the control premium converted from a percentage into the annual pre-tax cash flow it silently demands.</t>
  </si>
  <si>
    <t xml:space="preserve">The test</t>
  </si>
  <si>
    <t xml:space="preserve">A 26.8 per cent premium on this company requires 1,724,800 of recurring pre-tax synergies every year, for ever - 20.53 per cent of the target's entire EBITDA. If the buyer cannot name where that comes from, they are not paying for control. They are paying more.</t>
  </si>
  <si>
    <t xml:space="preserve">The book</t>
  </si>
  <si>
    <t xml:space="preserve">Business Valuation, by Julian R. Sterling. All four workbooks: julianrsterling.com/bizval</t>
  </si>
  <si>
    <t xml:space="preserve">Revised 24 September 2026. The page always promised the quartiles, the effect of dropping any one name and a sixth peer you could type in: they are now there (sheet The Sets, Tested, and column D of Multiples). Also new: what a multiple contains (Chapter 10: 52.38 per cent conversion, 7.63x at steady state, the same prices on free cash flow, EBIT and revenue, historic against forward), what a reported deal multiple hides (Chapter 11), and on The Premium sheet the three-year delay and the attribution of a third of the premium (Chapter 12). 71 checks.</t>
  </si>
  <si>
    <t xml:space="preserve">Inputs</t>
  </si>
  <si>
    <t xml:space="preserve">Yellow cells only. Everything else is a formula.</t>
  </si>
  <si>
    <t xml:space="preserve">Cawdrey Instruments</t>
  </si>
  <si>
    <t xml:space="preserve">Revenue</t>
  </si>
  <si>
    <t xml:space="preserve">EBITDA margin</t>
  </si>
  <si>
    <t xml:space="preserve">Depreciation and amortisation</t>
  </si>
  <si>
    <t xml:space="preserve">Corporate tax rate</t>
  </si>
  <si>
    <t xml:space="preserve">Capital expenditure</t>
  </si>
  <si>
    <t xml:space="preserve">Increase in working capital</t>
  </si>
  <si>
    <t xml:space="preserve">Net debt</t>
  </si>
  <si>
    <t xml:space="preserve">Shares in issue</t>
  </si>
  <si>
    <t xml:space="preserve">EBITDA</t>
  </si>
  <si>
    <t xml:space="preserve">The plan and the discount rate</t>
  </si>
  <si>
    <t xml:space="preserve">Cost of capital</t>
  </si>
  <si>
    <t xml:space="preserve">Terminal growth</t>
  </si>
  <si>
    <t xml:space="preserve">Year</t>
  </si>
  <si>
    <t xml:space="preserve">Revenue growth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</si>
  <si>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</si>
  <si>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</si>
  <si>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</si>
  <si>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</si>
  <si>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</si>
  <si>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The comparable set, the transaction set, and the premium</t>
  </si>
  <si>
    <t xml:space="preserve">Chapters 9 to 12.</t>
  </si>
  <si>
    <t xml:space="preserve">Trading comparables</t>
  </si>
  <si>
    <t xml:space="preserve">Peer</t>
  </si>
  <si>
    <t xml:space="preserve">EV/EBITDA</t>
  </si>
  <si>
    <t xml:space="preserve">Your own (optional)</t>
  </si>
  <si>
    <t xml:space="preserve">Peer A</t>
  </si>
  <si>
    <t xml:space="preserve">Peer F</t>
  </si>
  <si>
    <t xml:space="preserve">Peer B</t>
  </si>
  <si>
    <t xml:space="preserve">Peer G</t>
  </si>
  <si>
    <t xml:space="preserve">Peer C</t>
  </si>
  <si>
    <t xml:space="preserve">Peer D</t>
  </si>
  <si>
    <t xml:space="preserve">Peer E</t>
  </si>
  <si>
    <t xml:space="preserve">Median</t>
  </si>
  <si>
    <t xml:space="preserve">Mean</t>
  </si>
  <si>
    <t xml:space="preserve">Enterprise value</t>
  </si>
  <si>
    <t xml:space="preserve">Precedent transactions</t>
  </si>
  <si>
    <t xml:space="preserve">Deal</t>
  </si>
  <si>
    <t xml:space="preserve">Deal 1</t>
  </si>
  <si>
    <t xml:space="preserve">Deal 6</t>
  </si>
  <si>
    <t xml:space="preserve">Deal 2</t>
  </si>
  <si>
    <t xml:space="preserve">Deal 7</t>
  </si>
  <si>
    <t xml:space="preserve">Deal 3</t>
  </si>
  <si>
    <t xml:space="preserve">Deal 4</t>
  </si>
  <si>
    <t xml:space="preserve">Deal 5</t>
  </si>
  <si>
    <t xml:space="preserve">Type a sixth or seventh peer or deal in column D and every median, quartile and value in the workbook moves. Leave them empty for the book's sets.</t>
  </si>
  <si>
    <t xml:space="preserve">The control premium, decomposed</t>
  </si>
  <si>
    <t xml:space="preserve">Chapter 12. Never accept a premium as a percentage. Convert it into the cash flow it demands.</t>
  </si>
  <si>
    <t xml:space="preserve">The premium</t>
  </si>
  <si>
    <t xml:space="preserve">  as a percentage of the traded value</t>
  </si>
  <si>
    <t xml:space="preserve">  as a multiple of the target's entire EBITDA</t>
  </si>
  <si>
    <t xml:space="preserve">What it demands, every year, for ever</t>
  </si>
  <si>
    <t xml:space="preserve">Required perpetual after-tax cash flow</t>
  </si>
  <si>
    <t xml:space="preserve">Required pre-tax synergies</t>
  </si>
  <si>
    <t xml:space="preserve">  as a share of the target's EBITDA</t>
  </si>
  <si>
    <t xml:space="preserve">  as a share of the target's revenue</t>
  </si>
  <si>
    <t xml:space="preserve">The test: the premium is justified if and only if the buyer can name, and cost, more than a fifth of the target's EBITDA in recurring synergies.</t>
  </si>
  <si>
    <t xml:space="preserve">The same test at other premiums</t>
  </si>
  <si>
    <t xml:space="preserve">Premium</t>
  </si>
  <si>
    <t xml:space="preserve">In currency</t>
  </si>
  <si>
    <t xml:space="preserve">Pre-tax synergies</t>
  </si>
  <si>
    <t xml:space="preserve">Share of EBITDA</t>
  </si>
  <si>
    <t xml:space="preserve">Set it against the company being bought</t>
  </si>
  <si>
    <t xml:space="preserve">Total cost base: revenue less EBITDA</t>
  </si>
  <si>
    <t xml:space="preserve">  the synergy as a share of it</t>
  </si>
  <si>
    <t xml:space="preserve">Revenue needed to produce it at the current margin</t>
  </si>
  <si>
    <t xml:space="preserve">Timing: the synergies arrive late</t>
  </si>
  <si>
    <t xml:space="preserve">Years before the stream starts</t>
  </si>
  <si>
    <t xml:space="preserve">Present value of the premium's stream</t>
  </si>
  <si>
    <t xml:space="preserve">  value destroyed by the wait</t>
  </si>
  <si>
    <t xml:space="preserve">  share of the premium</t>
  </si>
  <si>
    <t xml:space="preserve">After-tax flow needed to justify the premium after the wait</t>
  </si>
  <si>
    <t xml:space="preserve">  before tax</t>
  </si>
  <si>
    <t xml:space="preserve">  share of EBITDA</t>
  </si>
  <si>
    <t xml:space="preserve">Attribution: part of the premium is not synergy</t>
  </si>
  <si>
    <t xml:space="preserve">Share put down to competitive tension and a recovered minority discount</t>
  </si>
  <si>
    <t xml:space="preserve">  amount</t>
  </si>
  <si>
    <t xml:space="preserve">Synergy burden left, before tax</t>
  </si>
  <si>
    <t xml:space="preserve">Every 1,000,000 attributed elsewhere: after tax</t>
  </si>
  <si>
    <t xml:space="preserve">The sets, tested (Chapters 9, 11 and 14)</t>
  </si>
  <si>
    <t xml:space="preserve">Dispersion, mean against median, quartiles, and the effect of dropping any one name. Column H lists the set as used.</t>
  </si>
  <si>
    <t xml:space="preserve">Lowest</t>
  </si>
  <si>
    <t xml:space="preserve">Highest</t>
  </si>
  <si>
    <t xml:space="preserve">  top above bottom</t>
  </si>
  <si>
    <t xml:space="preserve">Enterprise value at the lowest</t>
  </si>
  <si>
    <t xml:space="preserve">Enterprise value at the highest</t>
  </si>
  <si>
    <t xml:space="preserve">The range inside this one method</t>
  </si>
  <si>
    <t xml:space="preserve">  as a multiple of annual EBITDA</t>
  </si>
  <si>
    <t xml:space="preserve">Enterprise value at the mean</t>
  </si>
  <si>
    <t xml:space="preserve">  mean less median, in value</t>
  </si>
  <si>
    <t xml:space="preserve">Lower quartile</t>
  </si>
  <si>
    <t xml:space="preserve">Upper quartile</t>
  </si>
  <si>
    <t xml:space="preserve">Enterprise value at the lower quartile</t>
  </si>
  <si>
    <t xml:space="preserve">Enterprise value at the upper quartile</t>
  </si>
  <si>
    <t xml:space="preserve">Equity value at the median</t>
  </si>
  <si>
    <t xml:space="preserve">  per share</t>
  </si>
  <si>
    <t xml:space="preserve">Drop one name</t>
  </si>
  <si>
    <t xml:space="preserve">Median without it</t>
  </si>
  <si>
    <t xml:space="preserve">Change</t>
  </si>
  <si>
    <t xml:space="preserve">The trading set alone spans the same 18,480,000 as the celebrated gap between the methods; the deal set spans 26,880,000. The bar on a football-field chart is usually the quartiles: a fact about five other companies, not about this one.</t>
  </si>
  <si>
    <t xml:space="preserve">What the reported deal multiple hides (Chapter 11)</t>
  </si>
  <si>
    <t xml:space="preserve">Disclosure: an equity price read as enterprise value</t>
  </si>
  <si>
    <t xml:space="preserve">  understatement, turns</t>
  </si>
  <si>
    <t xml:space="preserve">Contingent share of the consideration, never paid</t>
  </si>
  <si>
    <t xml:space="preserve">  the multiple actually paid</t>
  </si>
  <si>
    <t xml:space="preserve">  what is left of the premium over the trading median</t>
  </si>
  <si>
    <t xml:space="preserve">What a multiple actually contains (Chapter 10)</t>
  </si>
  <si>
    <t xml:space="preserve">An EBITDA multiple is conversion divided by the spread between the discount rate and growth. Four ingredients, no fifth.</t>
  </si>
  <si>
    <t xml:space="preserve">One less the tax rate</t>
  </si>
  <si>
    <t xml:space="preserve">Reinvestment burden: (capex + working capital - D&amp;A x tax) / EBITDA</t>
  </si>
  <si>
    <t xml:space="preserve">Cash conversion</t>
  </si>
  <si>
    <t xml:space="preserve">Free cash flow today</t>
  </si>
  <si>
    <t xml:space="preserve">Value if already at terminal growth</t>
  </si>
  <si>
    <t xml:space="preserve">  as a multiple of EBITDA</t>
  </si>
  <si>
    <t xml:space="preserve">The discounted cash flow, for comparison</t>
  </si>
  <si>
    <t xml:space="preserve">Free cash flow</t>
  </si>
  <si>
    <t xml:space="preserve">Discounted</t>
  </si>
  <si>
    <t xml:space="preserve">Enterprise value, discounted cash flow</t>
  </si>
  <si>
    <t xml:space="preserve">  as a multiple</t>
  </si>
  <si>
    <t xml:space="preserve">The difference, in turns: the value of the five faster years</t>
  </si>
  <si>
    <t xml:space="preserve">  in value</t>
  </si>
  <si>
    <t xml:space="preserve">The same three prices, on other measures</t>
  </si>
  <si>
    <t xml:space="preserve">Method</t>
  </si>
  <si>
    <t xml:space="preserve">EBIT</t>
  </si>
  <si>
    <t xml:space="preserve">Discounted cash flow</t>
  </si>
  <si>
    <t xml:space="preserve">Unlevered earnings: EBIT after tax</t>
  </si>
  <si>
    <t xml:space="preserve">Historic and forward</t>
  </si>
  <si>
    <t xml:space="preserve">Year-one EBITDA</t>
  </si>
  <si>
    <t xml:space="preserve">The comparables value on forward EBITDA</t>
  </si>
  <si>
    <t xml:space="preserve">A historic multiple applied to forward EBITDA</t>
  </si>
  <si>
    <t xml:space="preserve">  value created by the slip</t>
  </si>
  <si>
    <t xml:space="preserve">  distance from the discounted cash flow</t>
  </si>
  <si>
    <t xml:space="preserve">Three companies, one multiple</t>
  </si>
  <si>
    <t xml:space="preserve">Business</t>
  </si>
  <si>
    <t xml:space="preserve">r less g</t>
  </si>
  <si>
    <t xml:space="preserve">Multiple</t>
  </si>
  <si>
    <t xml:space="preserve">A</t>
  </si>
  <si>
    <t xml:space="preserve">B</t>
  </si>
  <si>
    <t xml:space="preserve">C</t>
  </si>
  <si>
    <t xml:space="preserve">Checks against the printed book</t>
  </si>
  <si>
    <t xml:space="preserve">Every line reproduces a figure printed in Chapters 9 to 12.</t>
  </si>
  <si>
    <t xml:space="preserve">Ch.</t>
  </si>
  <si>
    <t xml:space="preserve">Figure as printed in the book</t>
  </si>
  <si>
    <t xml:space="preserve">Printed</t>
  </si>
  <si>
    <t xml:space="preserve">Workbook</t>
  </si>
  <si>
    <t xml:space="preserve">Difference</t>
  </si>
  <si>
    <t xml:space="preserve">Result</t>
  </si>
  <si>
    <t xml:space="preserve">9</t>
  </si>
  <si>
    <t xml:space="preserve">Median trading multiple</t>
  </si>
  <si>
    <t xml:space="preserve">Enterprise value, trading comparables</t>
  </si>
  <si>
    <t xml:space="preserve">11</t>
  </si>
  <si>
    <t xml:space="preserve">Median transaction multiple</t>
  </si>
  <si>
    <t xml:space="preserve">Enterprise value, precedent transactions</t>
  </si>
  <si>
    <t xml:space="preserve">12</t>
  </si>
  <si>
    <t xml:space="preserve">The control premium</t>
  </si>
  <si>
    <t xml:space="preserve">  as a percentage</t>
  </si>
  <si>
    <t xml:space="preserve">  as a multiple of the target's EBITDA</t>
  </si>
  <si>
    <t xml:space="preserve">Required after-tax cash flow</t>
  </si>
  <si>
    <t xml:space="preserve">Top peer above the bottom</t>
  </si>
  <si>
    <t xml:space="preserve">Value at the lowest peer</t>
  </si>
  <si>
    <t xml:space="preserve">Value at the highest peer</t>
  </si>
  <si>
    <t xml:space="preserve">The range inside the trading set</t>
  </si>
  <si>
    <t xml:space="preserve">Mean trading multiple</t>
  </si>
  <si>
    <t xml:space="preserve">Value at the mean</t>
  </si>
  <si>
    <t xml:space="preserve">  mean less median</t>
  </si>
  <si>
    <t xml:space="preserve">Value at the lower quartile</t>
  </si>
  <si>
    <t xml:space="preserve">Value at the upper quartile</t>
  </si>
  <si>
    <t xml:space="preserve">Equity value, trading comparables</t>
  </si>
  <si>
    <t xml:space="preserve">Top deal above the bottom</t>
  </si>
  <si>
    <t xml:space="preserve">Value at the lowest deal</t>
  </si>
  <si>
    <t xml:space="preserve">Value at the highest deal</t>
  </si>
  <si>
    <t xml:space="preserve">The range inside the deal set</t>
  </si>
  <si>
    <t xml:space="preserve">Mean deal multiple</t>
  </si>
  <si>
    <t xml:space="preserve">Per share, precedent transactions</t>
  </si>
  <si>
    <t xml:space="preserve">Equity read as enterprise value</t>
  </si>
  <si>
    <t xml:space="preserve">  understatement</t>
  </si>
  <si>
    <t xml:space="preserve">A fifth contingent: multiple paid</t>
  </si>
  <si>
    <t xml:space="preserve">  premium left</t>
  </si>
  <si>
    <t xml:space="preserve">Reinvestment burden</t>
  </si>
  <si>
    <t xml:space="preserve">Value at terminal growth today</t>
  </si>
  <si>
    <t xml:space="preserve">Difference from the DCF, turns</t>
  </si>
  <si>
    <t xml:space="preserve">DCF value rebuilt here</t>
  </si>
  <si>
    <t xml:space="preserve">Trading comparables on free cash flow</t>
  </si>
  <si>
    <t xml:space="preserve">DCF on free cash flow</t>
  </si>
  <si>
    <t xml:space="preserve">Precedents on free cash flow</t>
  </si>
  <si>
    <t xml:space="preserve">Trading comparables on EBIT</t>
  </si>
  <si>
    <t xml:space="preserve">DCF on EBIT</t>
  </si>
  <si>
    <t xml:space="preserve">Precedents on EBIT</t>
  </si>
  <si>
    <t xml:space="preserve">Trading comparables on revenue</t>
  </si>
  <si>
    <t xml:space="preserve">DCF on revenue</t>
  </si>
  <si>
    <t xml:space="preserve">Precedents on revenue</t>
  </si>
  <si>
    <t xml:space="preserve">Unlevered earnings</t>
  </si>
  <si>
    <t xml:space="preserve">Comparables on forward EBITDA</t>
  </si>
  <si>
    <t xml:space="preserve">Historic multiple on forward EBITDA</t>
  </si>
  <si>
    <t xml:space="preserve">  distance from the DCF</t>
  </si>
  <si>
    <t xml:space="preserve">Three companies: all at 8.20x</t>
  </si>
  <si>
    <t xml:space="preserve">Total cost base</t>
  </si>
  <si>
    <t xml:space="preserve">  synergy share</t>
  </si>
  <si>
    <t xml:space="preserve">Revenue needed</t>
  </si>
  <si>
    <t xml:space="preserve">Three years late: present value of the stream</t>
  </si>
  <si>
    <t xml:space="preserve">  destroyed</t>
  </si>
  <si>
    <t xml:space="preserve">  share</t>
  </si>
  <si>
    <t xml:space="preserve">  after-tax flow needed</t>
  </si>
  <si>
    <t xml:space="preserve">A third attributed elsewhere</t>
  </si>
  <si>
    <t xml:space="preserve">  synergy burden left</t>
  </si>
  <si>
    <t xml:space="preserve">Per 1,000,000 attributed: after tax</t>
  </si>
  <si>
    <t xml:space="preserve">Checks passing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</si>
</sst>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;\-#,##0"/>
    <numFmt numFmtId="166" formatCode="0.00%;\-0.00%"/>
    <numFmt numFmtId="167" formatCode="0.0%;\-0.0%"/>
    <numFmt numFmtId="168" formatCode="#,##0"/>
    <numFmt numFmtId="169" formatCode="0.00\x"/>
    <numFmt numFmtId="170" formatCode="0.0\x"/>
    <numFmt numFmtId="171" formatCode="0"/>
    <numFmt numFmtId="172" formatCode="0.0%"/>
    <numFmt numFmtId="173" formatCode="#,##0.00;\-#,##0.00"/>
    <numFmt numFmtId="174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Calibri"/>
      <family val="0"/>
      <charset val="1"/>
    </font>
    <font>
      <i val="true"/>
      <sz val="10"/>
      <color rgb="FF5A6A70"/>
      <name val="Calibri"/>
      <family val="0"/>
      <charset val="1"/>
    </font>
    <font>
      <b val="true"/>
      <sz val="12"/>
      <color rgb="FF1F4E5F"/>
      <name val="Calibri"/>
      <family val="0"/>
      <charset val="1"/>
    </font>
    <font>
      <sz val="11"/>
      <color rgb="FF1A1A1A"/>
      <name val="Calibri"/>
      <family val="0"/>
      <charset val="1"/>
    </font>
    <font>
      <b val="true"/>
      <sz val="11"/>
      <color rgb="FF0B4FA0"/>
      <name val="Calibri"/>
      <family val="0"/>
      <charset val="1"/>
    </font>
    <font>
      <b val="true"/>
      <sz val="11"/>
      <color rgb="FF1A1A1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9"/>
      <color rgb="FF5A6A70"/>
      <name val="Calibri"/>
      <family val="0"/>
      <charset val="1"/>
    </font>
    <font>
      <i val="true"/>
      <sz val="9"/>
      <color rgb="FF5A6A70"/>
      <name val="Calibri"/>
      <family val="0"/>
      <charset val="1"/>
    </font>
    <font>
      <b val="true"/>
      <sz val="11"/>
      <color rgb="FF1E7A3C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D8"/>
        <bgColor rgb="FFFFFFFF"/>
      </patternFill>
    </fill>
    <fill>
      <patternFill patternType="solid">
        <fgColor rgb="FF1F4E5F"/>
        <bgColor rgb="FF0B4FA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4E5F"/>
      </bottom>
      <diagonal/>
    </border>
    <border diagonalUp="false" diagonalDown="false">
      <left/>
      <right/>
      <top/>
      <bottom style="thin">
        <color rgb="FFBFC8CC"/>
      </bottom>
      <diagonal/>
    </border>
    <border diagonalUp="false" diagonalDown="false">
      <left style="thin">
        <color rgb="FFBFC8CC"/>
      </left>
      <right style="thin">
        <color rgb="FFBFC8CC"/>
      </right>
      <top style="thin">
        <color rgb="FFBFC8CC"/>
      </top>
      <bottom style="thin">
        <color rgb="FFBFC8CC"/>
      </bottom>
      <diagonal/>
    </border>
    <border diagonalUp="false" diagonalDown="false">
      <left style="thin">
        <color rgb="FFBFC8D0"/>
      </left>
      <right style="thin">
        <color rgb="FFBFC8D0"/>
      </right>
      <top style="thin">
        <color rgb="FFBFC8D0"/>
      </top>
      <bottom style="thin">
        <color rgb="FFBFC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3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8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3C"/>
      <rgbColor rgb="FF000080"/>
      <rgbColor rgb="FF808000"/>
      <rgbColor rgb="FF800080"/>
      <rgbColor rgb="FF008080"/>
      <rgbColor rgb="FFBFC8CC"/>
      <rgbColor rgb="FF808080"/>
      <rgbColor rgb="FF9999FF"/>
      <rgbColor rgb="FF993366"/>
      <rgbColor rgb="FFFFF6D8"/>
      <rgbColor rgb="FFCCFFFF"/>
      <rgbColor rgb="FF660066"/>
      <rgbColor rgb="FFFF8080"/>
      <rgbColor rgb="FF0B4FA0"/>
      <rgbColor rgb="FFBFC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70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0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5" customFormat="false" ht="15" hidden="false" customHeight="false" outlineLevel="0" collapsed="false">
      <c r="A5" s="4" t="s">
        <v>2</v>
      </c>
    </row>
    <row r="7" customFormat="false" ht="45" hidden="false" customHeight="true" outlineLevel="0" collapsed="false">
      <c r="A7" s="5" t="s">
        <v>3</v>
      </c>
    </row>
    <row r="9" customFormat="false" ht="15" hidden="false" customHeight="false" outlineLevel="0" collapsed="false">
      <c r="A9" s="4" t="s">
        <v>4</v>
      </c>
    </row>
    <row r="11" customFormat="false" ht="45" hidden="false" customHeight="true" outlineLevel="0" collapsed="false">
      <c r="A11" s="5" t="s">
        <v>5</v>
      </c>
    </row>
    <row r="13" customFormat="false" ht="15" hidden="false" customHeight="false" outlineLevel="0" collapsed="false">
      <c r="A13" s="4" t="s">
        <v>6</v>
      </c>
    </row>
    <row r="15" customFormat="false" ht="15" hidden="false" customHeight="true" outlineLevel="0" collapsed="false">
      <c r="A15" s="5" t="s">
        <v>7</v>
      </c>
    </row>
    <row r="17" customFormat="false" ht="90" hidden="false" customHeight="true" outlineLevel="0" collapsed="false">
      <c r="A17" s="5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5" min="3" style="0" width="14"/>
    <col collapsed="false" customWidth="true" hidden="false" outlineLevel="0" max="6" min="6" style="0" width="4"/>
    <col collapsed="false" customWidth="true" hidden="false" outlineLevel="0" max="7" min="7" style="0" width="46"/>
  </cols>
  <sheetData>
    <row r="1" customFormat="false" ht="24" hidden="false" customHeight="true" outlineLevel="0" collapsed="false">
      <c r="A1" s="1" t="s">
        <v>9</v>
      </c>
    </row>
    <row r="2" customFormat="false" ht="15" hidden="false" customHeight="false" outlineLevel="0" collapsed="false">
      <c r="A2" s="2" t="s">
        <v>10</v>
      </c>
    </row>
    <row r="3" customFormat="false" ht="15" hidden="false" customHeight="false" outlineLevel="0" collapsed="false">
      <c r="A3" s="3"/>
      <c r="B3" s="3"/>
      <c r="C3" s="3"/>
      <c r="D3" s="3"/>
      <c r="E3" s="3"/>
    </row>
    <row r="5" customFormat="false" ht="15" hidden="false" customHeight="false" outlineLevel="0" collapsed="false">
      <c r="A5" s="4" t="s">
        <v>11</v>
      </c>
      <c r="B5" s="6"/>
      <c r="C5" s="6"/>
      <c r="D5" s="6"/>
      <c r="E5" s="6"/>
    </row>
    <row r="7" customFormat="false" ht="15" hidden="false" customHeight="false" outlineLevel="0" collapsed="false">
      <c r="A7" s="7" t="s">
        <v>12</v>
      </c>
      <c r="B7" s="8" t="n">
        <v>48000000</v>
      </c>
    </row>
    <row r="8" customFormat="false" ht="15" hidden="false" customHeight="false" outlineLevel="0" collapsed="false">
      <c r="A8" s="7" t="s">
        <v>13</v>
      </c>
      <c r="B8" s="9" t="n">
        <v>0.175</v>
      </c>
    </row>
    <row r="9" customFormat="false" ht="15" hidden="false" customHeight="false" outlineLevel="0" collapsed="false">
      <c r="A9" s="7" t="s">
        <v>14</v>
      </c>
      <c r="B9" s="8" t="n">
        <v>1600000</v>
      </c>
    </row>
    <row r="10" customFormat="false" ht="15" hidden="false" customHeight="false" outlineLevel="0" collapsed="false">
      <c r="A10" s="7" t="s">
        <v>15</v>
      </c>
      <c r="B10" s="10" t="n">
        <v>0.25</v>
      </c>
    </row>
    <row r="11" customFormat="false" ht="15" hidden="false" customHeight="false" outlineLevel="0" collapsed="false">
      <c r="A11" s="7" t="s">
        <v>16</v>
      </c>
      <c r="B11" s="8" t="n">
        <v>1900000</v>
      </c>
    </row>
    <row r="12" customFormat="false" ht="15" hidden="false" customHeight="false" outlineLevel="0" collapsed="false">
      <c r="A12" s="7" t="s">
        <v>17</v>
      </c>
      <c r="B12" s="8" t="n">
        <v>400000</v>
      </c>
    </row>
    <row r="13" customFormat="false" ht="15" hidden="false" customHeight="false" outlineLevel="0" collapsed="false">
      <c r="A13" s="7" t="s">
        <v>18</v>
      </c>
      <c r="B13" s="8" t="n">
        <v>11200000</v>
      </c>
    </row>
    <row r="14" customFormat="false" ht="15" hidden="false" customHeight="false" outlineLevel="0" collapsed="false">
      <c r="A14" s="7" t="s">
        <v>19</v>
      </c>
      <c r="B14" s="11" t="n">
        <v>4000000</v>
      </c>
    </row>
    <row r="15" customFormat="false" ht="15" hidden="false" customHeight="false" outlineLevel="0" collapsed="false">
      <c r="A15" s="12" t="s">
        <v>20</v>
      </c>
      <c r="B15" s="13" t="n">
        <f aca="false">REV0*MARGIN</f>
        <v>8400000</v>
      </c>
    </row>
    <row r="17" customFormat="false" ht="15" hidden="false" customHeight="false" outlineLevel="0" collapsed="false">
      <c r="A17" s="4" t="s">
        <v>21</v>
      </c>
      <c r="B17" s="6"/>
      <c r="C17" s="6"/>
      <c r="D17" s="6"/>
      <c r="E17" s="6"/>
    </row>
    <row r="19" customFormat="false" ht="15" hidden="false" customHeight="false" outlineLevel="0" collapsed="false">
      <c r="A19" s="7" t="s">
        <v>22</v>
      </c>
      <c r="B19" s="10" t="n">
        <v>0.09</v>
      </c>
    </row>
    <row r="20" customFormat="false" ht="15" hidden="false" customHeight="false" outlineLevel="0" collapsed="false">
      <c r="A20" s="7" t="s">
        <v>23</v>
      </c>
      <c r="B20" s="10" t="n">
        <v>0.02</v>
      </c>
    </row>
    <row r="21" customFormat="false" ht="30" hidden="false" customHeight="true" outlineLevel="0" collapsed="false">
      <c r="A21" s="14" t="s">
        <v>24</v>
      </c>
      <c r="B21" s="15" t="s">
        <v>25</v>
      </c>
      <c r="C21" s="15"/>
      <c r="D21" s="15"/>
      <c r="E21" s="15"/>
    </row>
    <row r="22" customFormat="false" ht="15" hidden="false" customHeight="false" outlineLevel="0" collapsed="false">
      <c r="A22" s="7" t="s">
        <v>26</v>
      </c>
      <c r="B22" s="10" t="n">
        <v>0.06</v>
      </c>
    </row>
    <row r="23" customFormat="false" ht="15" hidden="false" customHeight="false" outlineLevel="0" collapsed="false">
      <c r="A23" s="7" t="s">
        <v>27</v>
      </c>
      <c r="B23" s="10" t="n">
        <v>0.055</v>
      </c>
    </row>
    <row r="24" customFormat="false" ht="15" hidden="false" customHeight="false" outlineLevel="0" collapsed="false">
      <c r="A24" s="7" t="s">
        <v>28</v>
      </c>
      <c r="B24" s="10" t="n">
        <v>0.05</v>
      </c>
    </row>
    <row r="25" customFormat="false" ht="15" hidden="false" customHeight="false" outlineLevel="0" collapsed="false">
      <c r="A25" s="7" t="s">
        <v>29</v>
      </c>
      <c r="B25" s="10" t="n">
        <v>0.045</v>
      </c>
    </row>
    <row r="26" customFormat="false" ht="15" hidden="false" customHeight="false" outlineLevel="0" collapsed="false">
      <c r="A26" s="7" t="s">
        <v>30</v>
      </c>
      <c r="B26" s="10" t="n">
        <v>0.04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4"/>
    <col collapsed="false" customWidth="true" hidden="false" outlineLevel="0" max="6" min="6" style="0" width="48"/>
  </cols>
  <sheetData>
    <row r="1" customFormat="false" ht="24" hidden="false" customHeight="tru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3" customFormat="false" ht="15" hidden="false" customHeight="false" outlineLevel="0" collapsed="false">
      <c r="A3" s="3"/>
      <c r="B3" s="3"/>
      <c r="C3" s="3"/>
      <c r="D3" s="3"/>
    </row>
    <row r="5" customFormat="false" ht="15" hidden="false" customHeight="false" outlineLevel="0" collapsed="false">
      <c r="A5" s="4" t="s">
        <v>33</v>
      </c>
      <c r="B5" s="6"/>
      <c r="C5" s="6"/>
      <c r="D5" s="6"/>
    </row>
    <row r="7" customFormat="false" ht="30" hidden="false" customHeight="true" outlineLevel="0" collapsed="false">
      <c r="A7" s="14" t="s">
        <v>34</v>
      </c>
      <c r="B7" s="15" t="s">
        <v>35</v>
      </c>
      <c r="C7" s="16" t="s">
        <v>36</v>
      </c>
      <c r="D7" s="16" t="s">
        <v>35</v>
      </c>
    </row>
    <row r="8" customFormat="false" ht="15" hidden="false" customHeight="false" outlineLevel="0" collapsed="false">
      <c r="A8" s="7" t="s">
        <v>37</v>
      </c>
      <c r="B8" s="17" t="n">
        <v>7.4</v>
      </c>
      <c r="C8" s="7" t="s">
        <v>38</v>
      </c>
      <c r="D8" s="18"/>
    </row>
    <row r="9" customFormat="false" ht="15" hidden="false" customHeight="false" outlineLevel="0" collapsed="false">
      <c r="A9" s="7" t="s">
        <v>39</v>
      </c>
      <c r="B9" s="17" t="n">
        <v>8</v>
      </c>
      <c r="C9" s="7" t="s">
        <v>40</v>
      </c>
      <c r="D9" s="18"/>
    </row>
    <row r="10" customFormat="false" ht="15" hidden="false" customHeight="false" outlineLevel="0" collapsed="false">
      <c r="A10" s="7" t="s">
        <v>41</v>
      </c>
      <c r="B10" s="17" t="n">
        <v>8.2</v>
      </c>
    </row>
    <row r="11" customFormat="false" ht="15" hidden="false" customHeight="false" outlineLevel="0" collapsed="false">
      <c r="A11" s="7" t="s">
        <v>42</v>
      </c>
      <c r="B11" s="17" t="n">
        <v>8.9</v>
      </c>
    </row>
    <row r="12" customFormat="false" ht="15" hidden="false" customHeight="false" outlineLevel="0" collapsed="false">
      <c r="A12" s="7" t="s">
        <v>43</v>
      </c>
      <c r="B12" s="17" t="n">
        <v>9.6</v>
      </c>
    </row>
    <row r="13" customFormat="false" ht="15" hidden="false" customHeight="false" outlineLevel="0" collapsed="false">
      <c r="A13" s="12" t="s">
        <v>44</v>
      </c>
      <c r="B13" s="19" t="n">
        <f aca="false">MEDIAN(B8:B12,D8:D9)</f>
        <v>8.2</v>
      </c>
    </row>
    <row r="14" customFormat="false" ht="15" hidden="false" customHeight="false" outlineLevel="0" collapsed="false">
      <c r="A14" s="7" t="s">
        <v>45</v>
      </c>
      <c r="B14" s="20" t="n">
        <f aca="false">AVERAGE(B8:B12,D8:D9)</f>
        <v>8.42</v>
      </c>
    </row>
    <row r="15" customFormat="false" ht="15" hidden="false" customHeight="false" outlineLevel="0" collapsed="false">
      <c r="A15" s="12" t="s">
        <v>46</v>
      </c>
      <c r="B15" s="13" t="n">
        <f aca="false">B13*EBITDA0</f>
        <v>68880000</v>
      </c>
    </row>
    <row r="17" customFormat="false" ht="15" hidden="false" customHeight="false" outlineLevel="0" collapsed="false">
      <c r="A17" s="4" t="s">
        <v>47</v>
      </c>
      <c r="B17" s="6"/>
      <c r="C17" s="6"/>
      <c r="D17" s="6"/>
    </row>
    <row r="19" customFormat="false" ht="30" hidden="false" customHeight="true" outlineLevel="0" collapsed="false">
      <c r="A19" s="14" t="s">
        <v>48</v>
      </c>
      <c r="B19" s="15" t="s">
        <v>35</v>
      </c>
      <c r="C19" s="16" t="s">
        <v>36</v>
      </c>
      <c r="D19" s="16" t="s">
        <v>35</v>
      </c>
    </row>
    <row r="20" customFormat="false" ht="15" hidden="false" customHeight="false" outlineLevel="0" collapsed="false">
      <c r="A20" s="7" t="s">
        <v>49</v>
      </c>
      <c r="B20" s="17" t="n">
        <v>9.1</v>
      </c>
      <c r="C20" s="7" t="s">
        <v>50</v>
      </c>
      <c r="D20" s="18"/>
    </row>
    <row r="21" customFormat="false" ht="15" hidden="false" customHeight="false" outlineLevel="0" collapsed="false">
      <c r="A21" s="7" t="s">
        <v>51</v>
      </c>
      <c r="B21" s="17" t="n">
        <v>10</v>
      </c>
      <c r="C21" s="7" t="s">
        <v>52</v>
      </c>
      <c r="D21" s="18"/>
    </row>
    <row r="22" customFormat="false" ht="15" hidden="false" customHeight="false" outlineLevel="0" collapsed="false">
      <c r="A22" s="7" t="s">
        <v>53</v>
      </c>
      <c r="B22" s="17" t="n">
        <v>10.4</v>
      </c>
    </row>
    <row r="23" customFormat="false" ht="15" hidden="false" customHeight="false" outlineLevel="0" collapsed="false">
      <c r="A23" s="7" t="s">
        <v>54</v>
      </c>
      <c r="B23" s="17" t="n">
        <v>11.2</v>
      </c>
    </row>
    <row r="24" customFormat="false" ht="15" hidden="false" customHeight="false" outlineLevel="0" collapsed="false">
      <c r="A24" s="7" t="s">
        <v>55</v>
      </c>
      <c r="B24" s="17" t="n">
        <v>12.3</v>
      </c>
    </row>
    <row r="25" customFormat="false" ht="15" hidden="false" customHeight="false" outlineLevel="0" collapsed="false">
      <c r="A25" s="12" t="s">
        <v>44</v>
      </c>
      <c r="B25" s="19" t="n">
        <f aca="false">MEDIAN(B20:B24,D20:D21)</f>
        <v>10.4</v>
      </c>
    </row>
    <row r="26" customFormat="false" ht="15" hidden="false" customHeight="false" outlineLevel="0" collapsed="false">
      <c r="A26" s="12" t="s">
        <v>46</v>
      </c>
      <c r="B26" s="13" t="n">
        <f aca="false">B25*EBITDA0</f>
        <v>87360000</v>
      </c>
    </row>
    <row r="28" customFormat="false" ht="15" hidden="false" customHeight="false" outlineLevel="0" collapsed="false">
      <c r="A28" s="21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4" min="3" style="0" width="16"/>
    <col collapsed="false" customWidth="true" hidden="false" outlineLevel="0" max="5" min="5" style="0" width="4"/>
    <col collapsed="false" customWidth="true" hidden="false" outlineLevel="0" max="6" min="6" style="0" width="46"/>
  </cols>
  <sheetData>
    <row r="1" customFormat="false" ht="24" hidden="false" customHeight="true" outlineLevel="0" collapsed="false">
      <c r="A1" s="1" t="s">
        <v>57</v>
      </c>
    </row>
    <row r="2" customFormat="false" ht="15" hidden="false" customHeight="false" outlineLevel="0" collapsed="false">
      <c r="A2" s="2" t="s">
        <v>58</v>
      </c>
    </row>
    <row r="3" customFormat="false" ht="15" hidden="false" customHeight="false" outlineLevel="0" collapsed="false">
      <c r="A3" s="3"/>
      <c r="B3" s="3"/>
      <c r="C3" s="3"/>
      <c r="D3" s="3"/>
    </row>
    <row r="5" customFormat="false" ht="15" hidden="false" customHeight="false" outlineLevel="0" collapsed="false">
      <c r="A5" s="7" t="s">
        <v>47</v>
      </c>
      <c r="B5" s="22" t="n">
        <f aca="false">Multiples!B26</f>
        <v>87360000</v>
      </c>
    </row>
    <row r="6" customFormat="false" ht="15" hidden="false" customHeight="false" outlineLevel="0" collapsed="false">
      <c r="A6" s="7" t="s">
        <v>33</v>
      </c>
      <c r="B6" s="22" t="n">
        <f aca="false">Multiples!B15</f>
        <v>68880000</v>
      </c>
    </row>
    <row r="7" customFormat="false" ht="15" hidden="false" customHeight="false" outlineLevel="0" collapsed="false">
      <c r="A7" s="12" t="s">
        <v>59</v>
      </c>
      <c r="B7" s="13" t="n">
        <f aca="false">Multiples!B26-Multiples!B15</f>
        <v>18480000</v>
      </c>
    </row>
    <row r="8" customFormat="false" ht="15" hidden="false" customHeight="false" outlineLevel="0" collapsed="false">
      <c r="A8" s="7" t="s">
        <v>60</v>
      </c>
      <c r="B8" s="23" t="n">
        <f aca="false">B7/Multiples!B15</f>
        <v>0.268292682926829</v>
      </c>
    </row>
    <row r="9" customFormat="false" ht="15" hidden="false" customHeight="false" outlineLevel="0" collapsed="false">
      <c r="A9" s="12" t="s">
        <v>61</v>
      </c>
      <c r="B9" s="19" t="n">
        <f aca="false">B7/EBITDA0</f>
        <v>2.2</v>
      </c>
    </row>
    <row r="11" customFormat="false" ht="15" hidden="false" customHeight="false" outlineLevel="0" collapsed="false">
      <c r="A11" s="4" t="s">
        <v>62</v>
      </c>
      <c r="B11" s="6"/>
      <c r="C11" s="6"/>
      <c r="D11" s="6"/>
    </row>
    <row r="13" customFormat="false" ht="15" hidden="false" customHeight="false" outlineLevel="0" collapsed="false">
      <c r="A13" s="12" t="s">
        <v>63</v>
      </c>
      <c r="B13" s="13" t="n">
        <f aca="false">B7*(WACC-GTERM)</f>
        <v>1293600</v>
      </c>
    </row>
    <row r="14" customFormat="false" ht="15" hidden="false" customHeight="false" outlineLevel="0" collapsed="false">
      <c r="A14" s="12" t="s">
        <v>64</v>
      </c>
      <c r="B14" s="13" t="n">
        <f aca="false">B13/(1-TAXR)</f>
        <v>1724800</v>
      </c>
    </row>
    <row r="15" customFormat="false" ht="15" hidden="false" customHeight="false" outlineLevel="0" collapsed="false">
      <c r="A15" s="12" t="s">
        <v>65</v>
      </c>
      <c r="B15" s="24" t="n">
        <f aca="false">B14/EBITDA0</f>
        <v>0.205333333333333</v>
      </c>
    </row>
    <row r="16" customFormat="false" ht="15" hidden="false" customHeight="false" outlineLevel="0" collapsed="false">
      <c r="A16" s="7" t="s">
        <v>66</v>
      </c>
      <c r="B16" s="25" t="n">
        <f aca="false">B14/REV0</f>
        <v>0.0359333333333333</v>
      </c>
    </row>
    <row r="18" customFormat="false" ht="15" hidden="false" customHeight="false" outlineLevel="0" collapsed="false">
      <c r="A18" s="26" t="s">
        <v>67</v>
      </c>
    </row>
    <row r="20" customFormat="false" ht="15" hidden="false" customHeight="false" outlineLevel="0" collapsed="false">
      <c r="A20" s="4" t="s">
        <v>68</v>
      </c>
      <c r="B20" s="6"/>
      <c r="C20" s="6"/>
      <c r="D20" s="6"/>
    </row>
    <row r="22" customFormat="false" ht="30" hidden="false" customHeight="true" outlineLevel="0" collapsed="false">
      <c r="A22" s="14" t="s">
        <v>69</v>
      </c>
      <c r="B22" s="15" t="s">
        <v>70</v>
      </c>
      <c r="C22" s="15" t="s">
        <v>71</v>
      </c>
      <c r="D22" s="15" t="s">
        <v>72</v>
      </c>
    </row>
    <row r="23" customFormat="false" ht="15" hidden="false" customHeight="false" outlineLevel="0" collapsed="false">
      <c r="A23" s="10" t="n">
        <v>0.1</v>
      </c>
      <c r="B23" s="22" t="n">
        <f aca="false">A23*Multiples!B15</f>
        <v>6888000</v>
      </c>
      <c r="C23" s="22" t="n">
        <f aca="false">B23*(WACC-GTERM)/(1-TAXR)</f>
        <v>642880</v>
      </c>
      <c r="D23" s="23" t="n">
        <f aca="false">C23/EBITDA0</f>
        <v>0.0765333333333333</v>
      </c>
    </row>
    <row r="24" customFormat="false" ht="15" hidden="false" customHeight="false" outlineLevel="0" collapsed="false">
      <c r="A24" s="10" t="n">
        <v>0.2</v>
      </c>
      <c r="B24" s="22" t="n">
        <f aca="false">A24*Multiples!B15</f>
        <v>13776000</v>
      </c>
      <c r="C24" s="22" t="n">
        <f aca="false">B24*(WACC-GTERM)/(1-TAXR)</f>
        <v>1285760</v>
      </c>
      <c r="D24" s="23" t="n">
        <f aca="false">C24/EBITDA0</f>
        <v>0.153066666666667</v>
      </c>
    </row>
    <row r="25" customFormat="false" ht="15" hidden="false" customHeight="false" outlineLevel="0" collapsed="false">
      <c r="A25" s="10" t="n">
        <v>0.268</v>
      </c>
      <c r="B25" s="22" t="n">
        <f aca="false">A25*Multiples!B15</f>
        <v>18459840</v>
      </c>
      <c r="C25" s="22" t="n">
        <f aca="false">B25*(WACC-GTERM)/(1-TAXR)</f>
        <v>1722918.4</v>
      </c>
      <c r="D25" s="23" t="n">
        <f aca="false">C25/EBITDA0</f>
        <v>0.205109333333333</v>
      </c>
    </row>
    <row r="26" customFormat="false" ht="15" hidden="false" customHeight="false" outlineLevel="0" collapsed="false">
      <c r="A26" s="10" t="n">
        <v>0.35</v>
      </c>
      <c r="B26" s="22" t="n">
        <f aca="false">A26*Multiples!B15</f>
        <v>24108000</v>
      </c>
      <c r="C26" s="22" t="n">
        <f aca="false">B26*(WACC-GTERM)/(1-TAXR)</f>
        <v>2250080</v>
      </c>
      <c r="D26" s="23" t="n">
        <f aca="false">C26/EBITDA0</f>
        <v>0.267866666666667</v>
      </c>
    </row>
    <row r="27" customFormat="false" ht="15" hidden="false" customHeight="false" outlineLevel="0" collapsed="false">
      <c r="A27" s="10" t="n">
        <v>0.5</v>
      </c>
      <c r="B27" s="22" t="n">
        <f aca="false">A27*Multiples!B15</f>
        <v>34440000</v>
      </c>
      <c r="C27" s="22" t="n">
        <f aca="false">B27*(WACC-GTERM)/(1-TAXR)</f>
        <v>3214400</v>
      </c>
      <c r="D27" s="23" t="n">
        <f aca="false">C27/EBITDA0</f>
        <v>0.382666666666667</v>
      </c>
    </row>
    <row r="29" customFormat="false" ht="15" hidden="false" customHeight="false" outlineLevel="0" collapsed="false">
      <c r="A29" s="27" t="s">
        <v>73</v>
      </c>
    </row>
    <row r="30" customFormat="false" ht="15" hidden="false" customHeight="false" outlineLevel="0" collapsed="false">
      <c r="A30" s="7" t="s">
        <v>74</v>
      </c>
      <c r="B30" s="22" t="n">
        <f aca="false">REV0-EBITDA0</f>
        <v>39600000</v>
      </c>
    </row>
    <row r="31" customFormat="false" ht="15" hidden="false" customHeight="false" outlineLevel="0" collapsed="false">
      <c r="A31" s="7" t="s">
        <v>75</v>
      </c>
      <c r="B31" s="25" t="n">
        <f aca="false">B14/B30</f>
        <v>0.0435555555555556</v>
      </c>
    </row>
    <row r="32" customFormat="false" ht="15" hidden="false" customHeight="false" outlineLevel="0" collapsed="false">
      <c r="A32" s="7" t="s">
        <v>76</v>
      </c>
      <c r="B32" s="22" t="n">
        <f aca="false">B14/MARGIN</f>
        <v>9856000</v>
      </c>
    </row>
    <row r="34" customFormat="false" ht="15" hidden="false" customHeight="false" outlineLevel="0" collapsed="false">
      <c r="A34" s="27" t="s">
        <v>77</v>
      </c>
    </row>
    <row r="35" customFormat="false" ht="15" hidden="false" customHeight="false" outlineLevel="0" collapsed="false">
      <c r="A35" s="7" t="s">
        <v>78</v>
      </c>
      <c r="B35" s="28" t="n">
        <v>3</v>
      </c>
    </row>
    <row r="36" customFormat="false" ht="15" hidden="false" customHeight="false" outlineLevel="0" collapsed="false">
      <c r="A36" s="7" t="s">
        <v>79</v>
      </c>
      <c r="B36" s="22" t="n">
        <f aca="false">B7/(1+WACC)^B35</f>
        <v>14269950.7115285</v>
      </c>
    </row>
    <row r="37" customFormat="false" ht="15" hidden="false" customHeight="false" outlineLevel="0" collapsed="false">
      <c r="A37" s="12" t="s">
        <v>80</v>
      </c>
      <c r="B37" s="13" t="n">
        <f aca="false">B7-B36</f>
        <v>4210049.28847154</v>
      </c>
    </row>
    <row r="38" customFormat="false" ht="15" hidden="false" customHeight="false" outlineLevel="0" collapsed="false">
      <c r="A38" s="7" t="s">
        <v>81</v>
      </c>
      <c r="B38" s="23" t="n">
        <f aca="false">B37/B7</f>
        <v>0.227816519938936</v>
      </c>
    </row>
    <row r="39" customFormat="false" ht="15" hidden="false" customHeight="false" outlineLevel="0" collapsed="false">
      <c r="A39" s="7" t="s">
        <v>82</v>
      </c>
      <c r="B39" s="22" t="n">
        <f aca="false">B13*(1+WACC)^B35</f>
        <v>1675249.5144</v>
      </c>
    </row>
    <row r="40" customFormat="false" ht="15" hidden="false" customHeight="false" outlineLevel="0" collapsed="false">
      <c r="A40" s="12" t="s">
        <v>83</v>
      </c>
      <c r="B40" s="13" t="n">
        <f aca="false">B39/(1-TAXR)</f>
        <v>2233666.0192</v>
      </c>
    </row>
    <row r="41" customFormat="false" ht="15" hidden="false" customHeight="false" outlineLevel="0" collapsed="false">
      <c r="A41" s="7" t="s">
        <v>84</v>
      </c>
      <c r="B41" s="25" t="n">
        <f aca="false">B40/EBITDA0</f>
        <v>0.265912621333333</v>
      </c>
    </row>
    <row r="43" customFormat="false" ht="15" hidden="false" customHeight="false" outlineLevel="0" collapsed="false">
      <c r="A43" s="27" t="s">
        <v>85</v>
      </c>
    </row>
    <row r="44" customFormat="false" ht="15" hidden="false" customHeight="false" outlineLevel="0" collapsed="false">
      <c r="A44" s="7" t="s">
        <v>86</v>
      </c>
      <c r="B44" s="29" t="n">
        <v>0.333333333333333</v>
      </c>
    </row>
    <row r="45" customFormat="false" ht="15" hidden="false" customHeight="false" outlineLevel="0" collapsed="false">
      <c r="A45" s="7" t="s">
        <v>87</v>
      </c>
      <c r="B45" s="22" t="n">
        <f aca="false">B7*B44</f>
        <v>6160000</v>
      </c>
    </row>
    <row r="46" customFormat="false" ht="15" hidden="false" customHeight="false" outlineLevel="0" collapsed="false">
      <c r="A46" s="12" t="s">
        <v>88</v>
      </c>
      <c r="B46" s="13" t="n">
        <f aca="false">(B7-B45)*(WACC-GTERM)/(1-TAXR)</f>
        <v>1149866.66666667</v>
      </c>
    </row>
    <row r="47" customFormat="false" ht="15" hidden="false" customHeight="false" outlineLevel="0" collapsed="false">
      <c r="A47" s="7" t="s">
        <v>84</v>
      </c>
      <c r="B47" s="25" t="n">
        <f aca="false">B46/EBITDA0</f>
        <v>0.136888888888889</v>
      </c>
    </row>
    <row r="48" customFormat="false" ht="15" hidden="false" customHeight="false" outlineLevel="0" collapsed="false">
      <c r="A48" s="7" t="s">
        <v>89</v>
      </c>
      <c r="B48" s="22" t="n">
        <f aca="false">1000000*(WACC-GTERM)</f>
        <v>70000</v>
      </c>
    </row>
    <row r="49" customFormat="false" ht="15" hidden="false" customHeight="false" outlineLevel="0" collapsed="false">
      <c r="A49" s="7" t="s">
        <v>83</v>
      </c>
      <c r="B49" s="22" t="n">
        <f aca="false">B48/(1-TAXR)</f>
        <v>93333.3333333333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7" min="5" style="0" width="4"/>
    <col collapsed="false" customWidth="true" hidden="false" outlineLevel="0" max="8" min="8" style="0" width="12"/>
  </cols>
  <sheetData>
    <row r="1" customFormat="false" ht="15" hidden="false" customHeight="false" outlineLevel="0" collapsed="false">
      <c r="A1" s="27" t="s">
        <v>90</v>
      </c>
    </row>
    <row r="2" customFormat="false" ht="15" hidden="false" customHeight="false" outlineLevel="0" collapsed="false">
      <c r="A2" s="21" t="s">
        <v>91</v>
      </c>
    </row>
    <row r="4" customFormat="false" ht="15" hidden="false" customHeight="false" outlineLevel="0" collapsed="false">
      <c r="A4" s="27" t="s">
        <v>33</v>
      </c>
      <c r="H4" s="30" t="n">
        <f aca="false">IF(Multiples!B8="","",Multiples!B8)</f>
        <v>7.4</v>
      </c>
    </row>
    <row r="5" customFormat="false" ht="15" hidden="false" customHeight="false" outlineLevel="0" collapsed="false">
      <c r="A5" s="7" t="s">
        <v>92</v>
      </c>
      <c r="B5" s="20" t="n">
        <f aca="false">MIN($H$4:$H$10)</f>
        <v>7.4</v>
      </c>
      <c r="H5" s="30" t="n">
        <f aca="false">IF(Multiples!B9="","",Multiples!B9)</f>
        <v>8</v>
      </c>
    </row>
    <row r="6" customFormat="false" ht="15" hidden="false" customHeight="false" outlineLevel="0" collapsed="false">
      <c r="A6" s="7" t="s">
        <v>93</v>
      </c>
      <c r="B6" s="20" t="n">
        <f aca="false">MAX($H$4:$H$10)</f>
        <v>9.6</v>
      </c>
      <c r="H6" s="30" t="n">
        <f aca="false">IF(Multiples!B10="","",Multiples!B10)</f>
        <v>8.2</v>
      </c>
    </row>
    <row r="7" customFormat="false" ht="15" hidden="false" customHeight="false" outlineLevel="0" collapsed="false">
      <c r="A7" s="7" t="s">
        <v>94</v>
      </c>
      <c r="B7" s="23" t="n">
        <f aca="false">B6/B5-1</f>
        <v>0.297297297297297</v>
      </c>
      <c r="H7" s="30" t="n">
        <f aca="false">IF(Multiples!B11="","",Multiples!B11)</f>
        <v>8.9</v>
      </c>
    </row>
    <row r="8" customFormat="false" ht="15" hidden="false" customHeight="false" outlineLevel="0" collapsed="false">
      <c r="A8" s="7" t="s">
        <v>95</v>
      </c>
      <c r="B8" s="22" t="n">
        <f aca="false">B5*EBITDA0</f>
        <v>62160000</v>
      </c>
      <c r="H8" s="30" t="n">
        <f aca="false">IF(Multiples!B12="","",Multiples!B12)</f>
        <v>9.6</v>
      </c>
    </row>
    <row r="9" customFormat="false" ht="15" hidden="false" customHeight="false" outlineLevel="0" collapsed="false">
      <c r="A9" s="7" t="s">
        <v>96</v>
      </c>
      <c r="B9" s="22" t="n">
        <f aca="false">B6*EBITDA0</f>
        <v>80640000</v>
      </c>
      <c r="H9" s="30" t="str">
        <f aca="false">IF(Multiples!D8="","",Multiples!D8)</f>
        <v/>
      </c>
    </row>
    <row r="10" customFormat="false" ht="15" hidden="false" customHeight="false" outlineLevel="0" collapsed="false">
      <c r="A10" s="12" t="s">
        <v>97</v>
      </c>
      <c r="B10" s="13" t="n">
        <f aca="false">B9-B8</f>
        <v>18480000</v>
      </c>
      <c r="H10" s="30" t="str">
        <f aca="false">IF(Multiples!D9="","",Multiples!D9)</f>
        <v/>
      </c>
    </row>
    <row r="11" customFormat="false" ht="15" hidden="false" customHeight="false" outlineLevel="0" collapsed="false">
      <c r="A11" s="7" t="s">
        <v>98</v>
      </c>
      <c r="B11" s="20" t="n">
        <f aca="false">B10/EBITDA0</f>
        <v>2.2</v>
      </c>
    </row>
    <row r="12" customFormat="false" ht="15" hidden="false" customHeight="false" outlineLevel="0" collapsed="false">
      <c r="A12" s="7" t="s">
        <v>44</v>
      </c>
      <c r="B12" s="20" t="n">
        <f aca="false">Multiples!B13</f>
        <v>8.2</v>
      </c>
    </row>
    <row r="13" customFormat="false" ht="15" hidden="false" customHeight="false" outlineLevel="0" collapsed="false">
      <c r="A13" s="7" t="s">
        <v>45</v>
      </c>
      <c r="B13" s="20" t="n">
        <f aca="false">AVERAGE($H$4:$H$10)</f>
        <v>8.42</v>
      </c>
    </row>
    <row r="14" customFormat="false" ht="15" hidden="false" customHeight="false" outlineLevel="0" collapsed="false">
      <c r="A14" s="7" t="s">
        <v>99</v>
      </c>
      <c r="B14" s="22" t="n">
        <f aca="false">B13*EBITDA0</f>
        <v>70728000</v>
      </c>
    </row>
    <row r="15" customFormat="false" ht="15" hidden="false" customHeight="false" outlineLevel="0" collapsed="false">
      <c r="A15" s="7" t="s">
        <v>100</v>
      </c>
      <c r="B15" s="22" t="n">
        <f aca="false">B14-B12*EBITDA0</f>
        <v>1848000</v>
      </c>
    </row>
    <row r="16" customFormat="false" ht="15" hidden="false" customHeight="false" outlineLevel="0" collapsed="false">
      <c r="A16" s="7" t="s">
        <v>101</v>
      </c>
      <c r="B16" s="20" t="n">
        <f aca="false">QUARTILE($H$4:$H$10,1)</f>
        <v>8</v>
      </c>
    </row>
    <row r="17" customFormat="false" ht="15" hidden="false" customHeight="false" outlineLevel="0" collapsed="false">
      <c r="A17" s="7" t="s">
        <v>102</v>
      </c>
      <c r="B17" s="20" t="n">
        <f aca="false">QUARTILE($H$4:$H$10,3)</f>
        <v>8.9</v>
      </c>
    </row>
    <row r="18" customFormat="false" ht="15" hidden="false" customHeight="false" outlineLevel="0" collapsed="false">
      <c r="A18" s="7" t="s">
        <v>103</v>
      </c>
      <c r="B18" s="22" t="n">
        <f aca="false">B16*EBITDA0</f>
        <v>67200000</v>
      </c>
    </row>
    <row r="19" customFormat="false" ht="15" hidden="false" customHeight="false" outlineLevel="0" collapsed="false">
      <c r="A19" s="7" t="s">
        <v>104</v>
      </c>
      <c r="B19" s="22" t="n">
        <f aca="false">B17*EBITDA0</f>
        <v>74760000</v>
      </c>
    </row>
    <row r="20" customFormat="false" ht="15" hidden="false" customHeight="false" outlineLevel="0" collapsed="false">
      <c r="A20" s="7" t="s">
        <v>105</v>
      </c>
      <c r="B20" s="22" t="n">
        <f aca="false">B12*EBITDA0-NETDEBT</f>
        <v>57680000</v>
      </c>
    </row>
    <row r="21" customFormat="false" ht="15" hidden="false" customHeight="false" outlineLevel="0" collapsed="false">
      <c r="A21" s="7" t="s">
        <v>106</v>
      </c>
      <c r="B21" s="31" t="n">
        <f aca="false">B20/SHARES</f>
        <v>14.42</v>
      </c>
    </row>
    <row r="23" customFormat="false" ht="15" hidden="false" customHeight="false" outlineLevel="0" collapsed="false">
      <c r="A23" s="16" t="s">
        <v>107</v>
      </c>
      <c r="B23" s="16" t="s">
        <v>108</v>
      </c>
      <c r="C23" s="16" t="s">
        <v>46</v>
      </c>
      <c r="D23" s="16" t="s">
        <v>109</v>
      </c>
    </row>
    <row r="24" customFormat="false" ht="15" hidden="false" customHeight="false" outlineLevel="0" collapsed="false">
      <c r="A24" s="7" t="s">
        <v>37</v>
      </c>
      <c r="B24" s="20" t="n">
        <f aca="false">MEDIAN(Multiples!B9,Multiples!B10,Multiples!B11,Multiples!B12,Multiples!D8:D9)</f>
        <v>8.55</v>
      </c>
      <c r="C24" s="22" t="n">
        <f aca="false">B24*EBITDA0</f>
        <v>71820000</v>
      </c>
      <c r="D24" s="22" t="n">
        <f aca="false">C24-B12*EBITDA0</f>
        <v>2940000</v>
      </c>
    </row>
    <row r="25" customFormat="false" ht="15" hidden="false" customHeight="false" outlineLevel="0" collapsed="false">
      <c r="A25" s="7" t="s">
        <v>39</v>
      </c>
      <c r="B25" s="20" t="n">
        <f aca="false">MEDIAN(Multiples!B8,Multiples!B10,Multiples!B11,Multiples!B12,Multiples!D8:D9)</f>
        <v>8.55</v>
      </c>
      <c r="C25" s="22" t="n">
        <f aca="false">B25*EBITDA0</f>
        <v>71820000</v>
      </c>
      <c r="D25" s="22" t="n">
        <f aca="false">C25-B12*EBITDA0</f>
        <v>2940000</v>
      </c>
    </row>
    <row r="26" customFormat="false" ht="15" hidden="false" customHeight="false" outlineLevel="0" collapsed="false">
      <c r="A26" s="7" t="s">
        <v>41</v>
      </c>
      <c r="B26" s="20" t="n">
        <f aca="false">MEDIAN(Multiples!B8,Multiples!B9,Multiples!B11,Multiples!B12,Multiples!D8:D9)</f>
        <v>8.45</v>
      </c>
      <c r="C26" s="22" t="n">
        <f aca="false">B26*EBITDA0</f>
        <v>70980000</v>
      </c>
      <c r="D26" s="22" t="n">
        <f aca="false">C26-B12*EBITDA0</f>
        <v>2100000</v>
      </c>
    </row>
    <row r="27" customFormat="false" ht="15" hidden="false" customHeight="false" outlineLevel="0" collapsed="false">
      <c r="A27" s="7" t="s">
        <v>42</v>
      </c>
      <c r="B27" s="20" t="n">
        <f aca="false">MEDIAN(Multiples!B8,Multiples!B9,Multiples!B10,Multiples!B12,Multiples!D8:D9)</f>
        <v>8.1</v>
      </c>
      <c r="C27" s="22" t="n">
        <f aca="false">B27*EBITDA0</f>
        <v>68040000</v>
      </c>
      <c r="D27" s="22" t="n">
        <f aca="false">C27-B12*EBITDA0</f>
        <v>-840000</v>
      </c>
    </row>
    <row r="28" customFormat="false" ht="15" hidden="false" customHeight="false" outlineLevel="0" collapsed="false">
      <c r="A28" s="7" t="s">
        <v>43</v>
      </c>
      <c r="B28" s="20" t="n">
        <f aca="false">MEDIAN(Multiples!B8,Multiples!B9,Multiples!B10,Multiples!B11,Multiples!D8:D9)</f>
        <v>8.1</v>
      </c>
      <c r="C28" s="22" t="n">
        <f aca="false">B28*EBITDA0</f>
        <v>68040000</v>
      </c>
      <c r="D28" s="22" t="n">
        <f aca="false">C28-B12*EBITDA0</f>
        <v>-840000</v>
      </c>
    </row>
    <row r="31" customFormat="false" ht="15" hidden="false" customHeight="false" outlineLevel="0" collapsed="false">
      <c r="A31" s="27" t="s">
        <v>47</v>
      </c>
      <c r="H31" s="30" t="n">
        <f aca="false">IF(Multiples!B20="","",Multiples!B20)</f>
        <v>9.1</v>
      </c>
    </row>
    <row r="32" customFormat="false" ht="15" hidden="false" customHeight="false" outlineLevel="0" collapsed="false">
      <c r="A32" s="7" t="s">
        <v>92</v>
      </c>
      <c r="B32" s="20" t="n">
        <f aca="false">MIN($H$31:$H$37)</f>
        <v>9.1</v>
      </c>
      <c r="H32" s="30" t="n">
        <f aca="false">IF(Multiples!B21="","",Multiples!B21)</f>
        <v>10</v>
      </c>
    </row>
    <row r="33" customFormat="false" ht="15" hidden="false" customHeight="false" outlineLevel="0" collapsed="false">
      <c r="A33" s="7" t="s">
        <v>93</v>
      </c>
      <c r="B33" s="20" t="n">
        <f aca="false">MAX($H$31:$H$37)</f>
        <v>12.3</v>
      </c>
      <c r="H33" s="30" t="n">
        <f aca="false">IF(Multiples!B22="","",Multiples!B22)</f>
        <v>10.4</v>
      </c>
    </row>
    <row r="34" customFormat="false" ht="15" hidden="false" customHeight="false" outlineLevel="0" collapsed="false">
      <c r="A34" s="7" t="s">
        <v>94</v>
      </c>
      <c r="B34" s="23" t="n">
        <f aca="false">B33/B32-1</f>
        <v>0.351648351648352</v>
      </c>
      <c r="H34" s="30" t="n">
        <f aca="false">IF(Multiples!B23="","",Multiples!B23)</f>
        <v>11.2</v>
      </c>
    </row>
    <row r="35" customFormat="false" ht="15" hidden="false" customHeight="false" outlineLevel="0" collapsed="false">
      <c r="A35" s="7" t="s">
        <v>95</v>
      </c>
      <c r="B35" s="22" t="n">
        <f aca="false">B32*EBITDA0</f>
        <v>76440000</v>
      </c>
      <c r="H35" s="30" t="n">
        <f aca="false">IF(Multiples!B24="","",Multiples!B24)</f>
        <v>12.3</v>
      </c>
    </row>
    <row r="36" customFormat="false" ht="15" hidden="false" customHeight="false" outlineLevel="0" collapsed="false">
      <c r="A36" s="7" t="s">
        <v>96</v>
      </c>
      <c r="B36" s="22" t="n">
        <f aca="false">B33*EBITDA0</f>
        <v>103320000</v>
      </c>
      <c r="H36" s="30" t="str">
        <f aca="false">IF(Multiples!D20="","",Multiples!D20)</f>
        <v/>
      </c>
    </row>
    <row r="37" customFormat="false" ht="15" hidden="false" customHeight="false" outlineLevel="0" collapsed="false">
      <c r="A37" s="12" t="s">
        <v>97</v>
      </c>
      <c r="B37" s="13" t="n">
        <f aca="false">B36-B35</f>
        <v>26880000</v>
      </c>
      <c r="H37" s="30" t="str">
        <f aca="false">IF(Multiples!D21="","",Multiples!D21)</f>
        <v/>
      </c>
    </row>
    <row r="38" customFormat="false" ht="15" hidden="false" customHeight="false" outlineLevel="0" collapsed="false">
      <c r="A38" s="7" t="s">
        <v>98</v>
      </c>
      <c r="B38" s="20" t="n">
        <f aca="false">B37/EBITDA0</f>
        <v>3.2</v>
      </c>
    </row>
    <row r="39" customFormat="false" ht="15" hidden="false" customHeight="false" outlineLevel="0" collapsed="false">
      <c r="A39" s="7" t="s">
        <v>44</v>
      </c>
      <c r="B39" s="20" t="n">
        <f aca="false">Multiples!B25</f>
        <v>10.4</v>
      </c>
    </row>
    <row r="40" customFormat="false" ht="15" hidden="false" customHeight="false" outlineLevel="0" collapsed="false">
      <c r="A40" s="7" t="s">
        <v>45</v>
      </c>
      <c r="B40" s="20" t="n">
        <f aca="false">AVERAGE($H$31:$H$37)</f>
        <v>10.6</v>
      </c>
    </row>
    <row r="41" customFormat="false" ht="15" hidden="false" customHeight="false" outlineLevel="0" collapsed="false">
      <c r="A41" s="7" t="s">
        <v>99</v>
      </c>
      <c r="B41" s="22" t="n">
        <f aca="false">B40*EBITDA0</f>
        <v>89040000</v>
      </c>
    </row>
    <row r="42" customFormat="false" ht="15" hidden="false" customHeight="false" outlineLevel="0" collapsed="false">
      <c r="A42" s="7" t="s">
        <v>100</v>
      </c>
      <c r="B42" s="22" t="n">
        <f aca="false">B41-B39*EBITDA0</f>
        <v>1680000</v>
      </c>
    </row>
    <row r="43" customFormat="false" ht="15" hidden="false" customHeight="false" outlineLevel="0" collapsed="false">
      <c r="A43" s="7" t="s">
        <v>101</v>
      </c>
      <c r="B43" s="20" t="n">
        <f aca="false">QUARTILE($H$31:$H$37,1)</f>
        <v>10</v>
      </c>
    </row>
    <row r="44" customFormat="false" ht="15" hidden="false" customHeight="false" outlineLevel="0" collapsed="false">
      <c r="A44" s="7" t="s">
        <v>102</v>
      </c>
      <c r="B44" s="20" t="n">
        <f aca="false">QUARTILE($H$31:$H$37,3)</f>
        <v>11.2</v>
      </c>
    </row>
    <row r="45" customFormat="false" ht="15" hidden="false" customHeight="false" outlineLevel="0" collapsed="false">
      <c r="A45" s="7" t="s">
        <v>103</v>
      </c>
      <c r="B45" s="22" t="n">
        <f aca="false">B43*EBITDA0</f>
        <v>84000000</v>
      </c>
    </row>
    <row r="46" customFormat="false" ht="15" hidden="false" customHeight="false" outlineLevel="0" collapsed="false">
      <c r="A46" s="7" t="s">
        <v>104</v>
      </c>
      <c r="B46" s="22" t="n">
        <f aca="false">B44*EBITDA0</f>
        <v>94080000</v>
      </c>
    </row>
    <row r="47" customFormat="false" ht="15" hidden="false" customHeight="false" outlineLevel="0" collapsed="false">
      <c r="A47" s="7" t="s">
        <v>105</v>
      </c>
      <c r="B47" s="22" t="n">
        <f aca="false">B39*EBITDA0-NETDEBT</f>
        <v>76160000</v>
      </c>
    </row>
    <row r="48" customFormat="false" ht="15" hidden="false" customHeight="false" outlineLevel="0" collapsed="false">
      <c r="A48" s="7" t="s">
        <v>106</v>
      </c>
      <c r="B48" s="31" t="n">
        <f aca="false">B47/SHARES</f>
        <v>19.04</v>
      </c>
    </row>
    <row r="50" customFormat="false" ht="15" hidden="false" customHeight="false" outlineLevel="0" collapsed="false">
      <c r="A50" s="16" t="s">
        <v>107</v>
      </c>
      <c r="B50" s="16" t="s">
        <v>108</v>
      </c>
      <c r="C50" s="16" t="s">
        <v>46</v>
      </c>
      <c r="D50" s="16" t="s">
        <v>109</v>
      </c>
    </row>
    <row r="51" customFormat="false" ht="15" hidden="false" customHeight="false" outlineLevel="0" collapsed="false">
      <c r="A51" s="7" t="s">
        <v>49</v>
      </c>
      <c r="B51" s="20" t="n">
        <f aca="false">MEDIAN(Multiples!B21,Multiples!B22,Multiples!B23,Multiples!B24,Multiples!D20:D21)</f>
        <v>10.8</v>
      </c>
      <c r="C51" s="22" t="n">
        <f aca="false">B51*EBITDA0</f>
        <v>90720000</v>
      </c>
      <c r="D51" s="22" t="n">
        <f aca="false">C51-B39*EBITDA0</f>
        <v>3360000</v>
      </c>
    </row>
    <row r="52" customFormat="false" ht="15" hidden="false" customHeight="false" outlineLevel="0" collapsed="false">
      <c r="A52" s="7" t="s">
        <v>51</v>
      </c>
      <c r="B52" s="20" t="n">
        <f aca="false">MEDIAN(Multiples!B20,Multiples!B22,Multiples!B23,Multiples!B24,Multiples!D20:D21)</f>
        <v>10.8</v>
      </c>
      <c r="C52" s="22" t="n">
        <f aca="false">B52*EBITDA0</f>
        <v>90720000</v>
      </c>
      <c r="D52" s="22" t="n">
        <f aca="false">C52-B39*EBITDA0</f>
        <v>3360000</v>
      </c>
    </row>
    <row r="53" customFormat="false" ht="15" hidden="false" customHeight="false" outlineLevel="0" collapsed="false">
      <c r="A53" s="7" t="s">
        <v>53</v>
      </c>
      <c r="B53" s="20" t="n">
        <f aca="false">MEDIAN(Multiples!B20,Multiples!B21,Multiples!B23,Multiples!B24,Multiples!D20:D21)</f>
        <v>10.6</v>
      </c>
      <c r="C53" s="22" t="n">
        <f aca="false">B53*EBITDA0</f>
        <v>89040000</v>
      </c>
      <c r="D53" s="22" t="n">
        <f aca="false">C53-B39*EBITDA0</f>
        <v>1680000</v>
      </c>
    </row>
    <row r="54" customFormat="false" ht="15" hidden="false" customHeight="false" outlineLevel="0" collapsed="false">
      <c r="A54" s="7" t="s">
        <v>54</v>
      </c>
      <c r="B54" s="20" t="n">
        <f aca="false">MEDIAN(Multiples!B20,Multiples!B21,Multiples!B22,Multiples!B24,Multiples!D20:D21)</f>
        <v>10.2</v>
      </c>
      <c r="C54" s="22" t="n">
        <f aca="false">B54*EBITDA0</f>
        <v>85680000</v>
      </c>
      <c r="D54" s="22" t="n">
        <f aca="false">C54-B39*EBITDA0</f>
        <v>-1680000</v>
      </c>
    </row>
    <row r="55" customFormat="false" ht="15" hidden="false" customHeight="false" outlineLevel="0" collapsed="false">
      <c r="A55" s="7" t="s">
        <v>55</v>
      </c>
      <c r="B55" s="20" t="n">
        <f aca="false">MEDIAN(Multiples!B20,Multiples!B21,Multiples!B22,Multiples!B23,Multiples!D20:D21)</f>
        <v>10.2</v>
      </c>
      <c r="C55" s="22" t="n">
        <f aca="false">B55*EBITDA0</f>
        <v>85680000</v>
      </c>
      <c r="D55" s="22" t="n">
        <f aca="false">C55-B39*EBITDA0</f>
        <v>-1680000</v>
      </c>
    </row>
    <row r="57" customFormat="false" ht="15" hidden="false" customHeight="false" outlineLevel="0" collapsed="false">
      <c r="A57" s="21" t="s">
        <v>110</v>
      </c>
    </row>
    <row r="59" customFormat="false" ht="15" hidden="false" customHeight="false" outlineLevel="0" collapsed="false">
      <c r="A59" s="27" t="s">
        <v>111</v>
      </c>
    </row>
    <row r="60" customFormat="false" ht="15" hidden="false" customHeight="false" outlineLevel="0" collapsed="false">
      <c r="A60" s="7" t="s">
        <v>112</v>
      </c>
      <c r="B60" s="20" t="n">
        <f aca="false">(B39*EBITDA0-NETDEBT)/EBITDA0</f>
        <v>9.06666666666667</v>
      </c>
    </row>
    <row r="61" customFormat="false" ht="15" hidden="false" customHeight="false" outlineLevel="0" collapsed="false">
      <c r="A61" s="7" t="s">
        <v>113</v>
      </c>
      <c r="B61" s="20" t="n">
        <f aca="false">B39-B60</f>
        <v>1.33333333333333</v>
      </c>
    </row>
    <row r="62" customFormat="false" ht="15" hidden="false" customHeight="false" outlineLevel="0" collapsed="false">
      <c r="A62" s="7" t="s">
        <v>114</v>
      </c>
      <c r="B62" s="32" t="n">
        <v>0.2</v>
      </c>
    </row>
    <row r="63" customFormat="false" ht="15" hidden="false" customHeight="false" outlineLevel="0" collapsed="false">
      <c r="A63" s="12" t="s">
        <v>115</v>
      </c>
      <c r="B63" s="19" t="n">
        <f aca="false">B39*(1-B62)</f>
        <v>8.32</v>
      </c>
    </row>
    <row r="64" customFormat="false" ht="15" hidden="false" customHeight="false" outlineLevel="0" collapsed="false">
      <c r="A64" s="7" t="s">
        <v>116</v>
      </c>
      <c r="B64" s="20" t="n">
        <f aca="false">B63-B12</f>
        <v>0.120000000000001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6" min="3" style="0" width="14"/>
  </cols>
  <sheetData>
    <row r="1" customFormat="false" ht="15" hidden="false" customHeight="false" outlineLevel="0" collapsed="false">
      <c r="A1" s="27" t="s">
        <v>117</v>
      </c>
    </row>
    <row r="2" customFormat="false" ht="15" hidden="false" customHeight="false" outlineLevel="0" collapsed="false">
      <c r="A2" s="21" t="s">
        <v>118</v>
      </c>
    </row>
    <row r="4" customFormat="false" ht="15" hidden="false" customHeight="false" outlineLevel="0" collapsed="false">
      <c r="A4" s="7" t="s">
        <v>119</v>
      </c>
      <c r="B4" s="25" t="n">
        <f aca="false">1-TAXR</f>
        <v>0.75</v>
      </c>
    </row>
    <row r="5" customFormat="false" ht="15" hidden="false" customHeight="false" outlineLevel="0" collapsed="false">
      <c r="A5" s="7" t="s">
        <v>120</v>
      </c>
      <c r="B5" s="25" t="n">
        <f aca="false">(CAPEX0+DWC0-DA0*TAXR)/EBITDA0</f>
        <v>0.226190476190476</v>
      </c>
    </row>
    <row r="6" customFormat="false" ht="15" hidden="false" customHeight="false" outlineLevel="0" collapsed="false">
      <c r="A6" s="12" t="s">
        <v>121</v>
      </c>
      <c r="B6" s="24" t="n">
        <f aca="false">B4-B5</f>
        <v>0.523809523809524</v>
      </c>
    </row>
    <row r="7" customFormat="false" ht="15" hidden="false" customHeight="false" outlineLevel="0" collapsed="false">
      <c r="A7" s="7" t="s">
        <v>122</v>
      </c>
      <c r="B7" s="22" t="n">
        <f aca="false">EBITDA0*B6</f>
        <v>4400000</v>
      </c>
    </row>
    <row r="8" customFormat="false" ht="15" hidden="false" customHeight="false" outlineLevel="0" collapsed="false">
      <c r="A8" s="7" t="s">
        <v>123</v>
      </c>
      <c r="B8" s="22" t="n">
        <f aca="false">B7*(1+GTERM)/(WACC-GTERM)</f>
        <v>64114285.7142857</v>
      </c>
    </row>
    <row r="9" customFormat="false" ht="15" hidden="false" customHeight="false" outlineLevel="0" collapsed="false">
      <c r="A9" s="12" t="s">
        <v>124</v>
      </c>
      <c r="B9" s="19" t="n">
        <f aca="false">B8/EBITDA0</f>
        <v>7.63265306122449</v>
      </c>
    </row>
    <row r="11" customFormat="false" ht="15" hidden="false" customHeight="false" outlineLevel="0" collapsed="false">
      <c r="A11" s="27" t="s">
        <v>125</v>
      </c>
    </row>
    <row r="12" customFormat="false" ht="15" hidden="false" customHeight="false" outlineLevel="0" collapsed="false">
      <c r="A12" s="16" t="s">
        <v>24</v>
      </c>
      <c r="B12" s="16" t="s">
        <v>12</v>
      </c>
      <c r="C12" s="16" t="s">
        <v>126</v>
      </c>
      <c r="D12" s="16" t="s">
        <v>127</v>
      </c>
    </row>
    <row r="13" customFormat="false" ht="15" hidden="false" customHeight="false" outlineLevel="0" collapsed="false">
      <c r="A13" s="7" t="s">
        <v>26</v>
      </c>
      <c r="B13" s="22" t="n">
        <f aca="false">REV0*(1+INDEX(GR,1))</f>
        <v>50880000</v>
      </c>
      <c r="C13" s="22" t="n">
        <f aca="false">B13*(MARGIN*(1-TAXR)+TAXR*DA0/REV0-CAPEX0/REV0-DWC0/REV0)</f>
        <v>4664000</v>
      </c>
      <c r="D13" s="22" t="n">
        <f aca="false">C13/(1+WACC)^1</f>
        <v>4278899.08256881</v>
      </c>
    </row>
    <row r="14" customFormat="false" ht="15" hidden="false" customHeight="false" outlineLevel="0" collapsed="false">
      <c r="A14" s="7" t="s">
        <v>27</v>
      </c>
      <c r="B14" s="22" t="n">
        <f aca="false">B13*(1+INDEX(GR,2))</f>
        <v>53678400</v>
      </c>
      <c r="C14" s="22" t="n">
        <f aca="false">B14*(MARGIN*(1-TAXR)+TAXR*DA0/REV0-CAPEX0/REV0-DWC0/REV0)</f>
        <v>4920520</v>
      </c>
      <c r="D14" s="22" t="n">
        <f aca="false">C14/(1+WACC)^2</f>
        <v>4141503.24046797</v>
      </c>
    </row>
    <row r="15" customFormat="false" ht="15" hidden="false" customHeight="false" outlineLevel="0" collapsed="false">
      <c r="A15" s="7" t="s">
        <v>28</v>
      </c>
      <c r="B15" s="22" t="n">
        <f aca="false">B14*(1+INDEX(GR,3))</f>
        <v>56362320</v>
      </c>
      <c r="C15" s="22" t="n">
        <f aca="false">B15*(MARGIN*(1-TAXR)+TAXR*DA0/REV0-CAPEX0/REV0-DWC0/REV0)</f>
        <v>5166546</v>
      </c>
      <c r="D15" s="22" t="n">
        <f aca="false">C15/(1+WACC)^3</f>
        <v>3989521.47017557</v>
      </c>
    </row>
    <row r="16" customFormat="false" ht="15" hidden="false" customHeight="false" outlineLevel="0" collapsed="false">
      <c r="A16" s="7" t="s">
        <v>29</v>
      </c>
      <c r="B16" s="22" t="n">
        <f aca="false">B15*(1+INDEX(GR,4))</f>
        <v>58898624.4</v>
      </c>
      <c r="C16" s="22" t="n">
        <f aca="false">B16*(MARGIN*(1-TAXR)+TAXR*DA0/REV0-CAPEX0/REV0-DWC0/REV0)</f>
        <v>5399040.57</v>
      </c>
      <c r="D16" s="22" t="n">
        <f aca="false">C16/(1+WACC)^4</f>
        <v>3824816.45535181</v>
      </c>
    </row>
    <row r="17" customFormat="false" ht="15" hidden="false" customHeight="false" outlineLevel="0" collapsed="false">
      <c r="A17" s="7" t="s">
        <v>30</v>
      </c>
      <c r="B17" s="22" t="n">
        <f aca="false">B16*(1+INDEX(GR,5))</f>
        <v>61254569.376</v>
      </c>
      <c r="C17" s="22" t="n">
        <f aca="false">B17*(MARGIN*(1-TAXR)+TAXR*DA0/REV0-CAPEX0/REV0-DWC0/REV0)</f>
        <v>5615002.1928</v>
      </c>
      <c r="D17" s="22" t="n">
        <f aca="false">C17/(1+WACC)^5</f>
        <v>3649366.15923475</v>
      </c>
    </row>
    <row r="18" customFormat="false" ht="15" hidden="false" customHeight="false" outlineLevel="0" collapsed="false">
      <c r="A18" s="12" t="s">
        <v>128</v>
      </c>
      <c r="B18" s="13" t="n">
        <f aca="false">SUM(D13:D17)+C17*(1+GTERM)/(WACC-GTERM)/(1+WACC)^5</f>
        <v>73060584.7280767</v>
      </c>
    </row>
    <row r="19" customFormat="false" ht="15" hidden="false" customHeight="false" outlineLevel="0" collapsed="false">
      <c r="A19" s="7" t="s">
        <v>129</v>
      </c>
      <c r="B19" s="20" t="n">
        <f aca="false">B18/EBITDA0</f>
        <v>8.69768865810437</v>
      </c>
    </row>
    <row r="20" customFormat="false" ht="15" hidden="false" customHeight="false" outlineLevel="0" collapsed="false">
      <c r="A20" s="7" t="s">
        <v>130</v>
      </c>
      <c r="B20" s="20" t="n">
        <f aca="false">B19-B9</f>
        <v>1.06503559687988</v>
      </c>
    </row>
    <row r="21" customFormat="false" ht="15" hidden="false" customHeight="false" outlineLevel="0" collapsed="false">
      <c r="A21" s="7" t="s">
        <v>131</v>
      </c>
      <c r="B21" s="22" t="n">
        <f aca="false">B18-B8</f>
        <v>8946299.01379102</v>
      </c>
    </row>
    <row r="23" customFormat="false" ht="15" hidden="false" customHeight="false" outlineLevel="0" collapsed="false">
      <c r="A23" s="27" t="s">
        <v>132</v>
      </c>
    </row>
    <row r="24" customFormat="false" ht="15" hidden="false" customHeight="false" outlineLevel="0" collapsed="false">
      <c r="A24" s="16" t="s">
        <v>133</v>
      </c>
      <c r="B24" s="16" t="s">
        <v>46</v>
      </c>
      <c r="C24" s="16" t="s">
        <v>20</v>
      </c>
      <c r="D24" s="16" t="s">
        <v>126</v>
      </c>
      <c r="E24" s="16" t="s">
        <v>134</v>
      </c>
      <c r="F24" s="16" t="s">
        <v>12</v>
      </c>
    </row>
    <row r="25" customFormat="false" ht="15" hidden="false" customHeight="false" outlineLevel="0" collapsed="false">
      <c r="A25" s="7" t="s">
        <v>33</v>
      </c>
      <c r="B25" s="22" t="n">
        <f aca="false">Multiples!B15</f>
        <v>68880000</v>
      </c>
      <c r="C25" s="20" t="n">
        <f aca="false">B25/EBITDA0</f>
        <v>8.2</v>
      </c>
      <c r="D25" s="20" t="n">
        <f aca="false">B25/$B$7</f>
        <v>15.6545454545455</v>
      </c>
      <c r="E25" s="20" t="n">
        <f aca="false">B25/(EBITDA0-DA0)</f>
        <v>10.1294117647059</v>
      </c>
      <c r="F25" s="20" t="n">
        <f aca="false">B25/REV0</f>
        <v>1.435</v>
      </c>
    </row>
    <row r="26" customFormat="false" ht="15" hidden="false" customHeight="false" outlineLevel="0" collapsed="false">
      <c r="A26" s="7" t="s">
        <v>135</v>
      </c>
      <c r="B26" s="22" t="n">
        <f aca="false">B18</f>
        <v>73060584.7280767</v>
      </c>
      <c r="C26" s="20" t="n">
        <f aca="false">B26/EBITDA0</f>
        <v>8.69768865810437</v>
      </c>
      <c r="D26" s="20" t="n">
        <f aca="false">B26/$B$7</f>
        <v>16.6046783472902</v>
      </c>
      <c r="E26" s="20" t="n">
        <f aca="false">B26/(EBITDA0-DA0)</f>
        <v>10.7442036364819</v>
      </c>
      <c r="F26" s="20" t="n">
        <f aca="false">B26/REV0</f>
        <v>1.52209551516827</v>
      </c>
    </row>
    <row r="27" customFormat="false" ht="15" hidden="false" customHeight="false" outlineLevel="0" collapsed="false">
      <c r="A27" s="7" t="s">
        <v>47</v>
      </c>
      <c r="B27" s="22" t="n">
        <f aca="false">Multiples!B26</f>
        <v>87360000</v>
      </c>
      <c r="C27" s="20" t="n">
        <f aca="false">B27/EBITDA0</f>
        <v>10.4</v>
      </c>
      <c r="D27" s="20" t="n">
        <f aca="false">B27/$B$7</f>
        <v>19.8545454545455</v>
      </c>
      <c r="E27" s="20" t="n">
        <f aca="false">B27/(EBITDA0-DA0)</f>
        <v>12.8470588235294</v>
      </c>
      <c r="F27" s="20" t="n">
        <f aca="false">B27/REV0</f>
        <v>1.82</v>
      </c>
    </row>
    <row r="28" customFormat="false" ht="15" hidden="false" customHeight="false" outlineLevel="0" collapsed="false">
      <c r="A28" s="7" t="s">
        <v>136</v>
      </c>
      <c r="B28" s="22" t="n">
        <f aca="false">(EBITDA0-DA0)*(1-TAXR)</f>
        <v>5100000</v>
      </c>
    </row>
    <row r="30" customFormat="false" ht="15" hidden="false" customHeight="false" outlineLevel="0" collapsed="false">
      <c r="A30" s="27" t="s">
        <v>137</v>
      </c>
    </row>
    <row r="31" customFormat="false" ht="15" hidden="false" customHeight="false" outlineLevel="0" collapsed="false">
      <c r="A31" s="7" t="s">
        <v>138</v>
      </c>
      <c r="B31" s="22" t="n">
        <f aca="false">B13*MARGIN</f>
        <v>8904000</v>
      </c>
    </row>
    <row r="32" customFormat="false" ht="15" hidden="false" customHeight="false" outlineLevel="0" collapsed="false">
      <c r="A32" s="7" t="s">
        <v>139</v>
      </c>
      <c r="B32" s="20" t="n">
        <f aca="false">Multiples!B15/B31</f>
        <v>7.73584905660377</v>
      </c>
    </row>
    <row r="33" customFormat="false" ht="15" hidden="false" customHeight="false" outlineLevel="0" collapsed="false">
      <c r="A33" s="12" t="s">
        <v>140</v>
      </c>
      <c r="B33" s="13" t="n">
        <f aca="false">Multiples!B13*B31</f>
        <v>73012800</v>
      </c>
    </row>
    <row r="34" customFormat="false" ht="15" hidden="false" customHeight="false" outlineLevel="0" collapsed="false">
      <c r="A34" s="7" t="s">
        <v>141</v>
      </c>
      <c r="B34" s="22" t="n">
        <f aca="false">B33-Multiples!B15</f>
        <v>4132800</v>
      </c>
    </row>
    <row r="35" customFormat="false" ht="15" hidden="false" customHeight="false" outlineLevel="0" collapsed="false">
      <c r="A35" s="7" t="s">
        <v>142</v>
      </c>
      <c r="B35" s="22" t="n">
        <f aca="false">B18-B33</f>
        <v>47784.7280767411</v>
      </c>
    </row>
    <row r="37" customFormat="false" ht="15" hidden="false" customHeight="false" outlineLevel="0" collapsed="false">
      <c r="A37" s="27" t="s">
        <v>143</v>
      </c>
    </row>
    <row r="38" customFormat="false" ht="15" hidden="false" customHeight="false" outlineLevel="0" collapsed="false">
      <c r="A38" s="16" t="s">
        <v>144</v>
      </c>
      <c r="B38" s="16" t="s">
        <v>121</v>
      </c>
      <c r="C38" s="16" t="s">
        <v>145</v>
      </c>
      <c r="D38" s="16" t="s">
        <v>146</v>
      </c>
    </row>
    <row r="39" customFormat="false" ht="15" hidden="false" customHeight="false" outlineLevel="0" collapsed="false">
      <c r="A39" s="7" t="s">
        <v>147</v>
      </c>
      <c r="B39" s="33" t="n">
        <v>0.41</v>
      </c>
      <c r="C39" s="33" t="n">
        <v>0.05</v>
      </c>
      <c r="D39" s="20" t="n">
        <f aca="false">B39/C39</f>
        <v>8.2</v>
      </c>
    </row>
    <row r="40" customFormat="false" ht="15" hidden="false" customHeight="false" outlineLevel="0" collapsed="false">
      <c r="A40" s="7" t="s">
        <v>148</v>
      </c>
      <c r="B40" s="33" t="n">
        <v>0.574</v>
      </c>
      <c r="C40" s="33" t="n">
        <v>0.07</v>
      </c>
      <c r="D40" s="20" t="n">
        <f aca="false">B40/C40</f>
        <v>8.2</v>
      </c>
    </row>
    <row r="41" customFormat="false" ht="15" hidden="false" customHeight="false" outlineLevel="0" collapsed="false">
      <c r="A41" s="7" t="s">
        <v>149</v>
      </c>
      <c r="B41" s="33" t="n">
        <v>0.656</v>
      </c>
      <c r="C41" s="33" t="n">
        <v>0.08</v>
      </c>
      <c r="D41" s="20" t="n">
        <f aca="false">B41/C41</f>
        <v>8.2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8"/>
    <col collapsed="false" customWidth="true" hidden="false" outlineLevel="0" max="4" min="3" style="0" width="18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60"/>
  </cols>
  <sheetData>
    <row r="1" customFormat="false" ht="24" hidden="false" customHeight="true" outlineLevel="0" collapsed="false">
      <c r="A1" s="1" t="s">
        <v>150</v>
      </c>
    </row>
    <row r="2" customFormat="false" ht="15" hidden="false" customHeight="false" outlineLevel="0" collapsed="false">
      <c r="A2" s="2" t="s">
        <v>151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</row>
    <row r="5" customFormat="false" ht="30" hidden="false" customHeight="true" outlineLevel="0" collapsed="false">
      <c r="A5" s="14" t="s">
        <v>152</v>
      </c>
      <c r="B5" s="15" t="s">
        <v>153</v>
      </c>
      <c r="C5" s="15" t="s">
        <v>154</v>
      </c>
      <c r="D5" s="15" t="s">
        <v>155</v>
      </c>
      <c r="E5" s="15" t="s">
        <v>156</v>
      </c>
      <c r="F5" s="15" t="s">
        <v>157</v>
      </c>
    </row>
    <row r="6" customFormat="false" ht="15" hidden="false" customHeight="false" outlineLevel="0" collapsed="false">
      <c r="A6" s="7" t="s">
        <v>158</v>
      </c>
      <c r="B6" s="7" t="s">
        <v>159</v>
      </c>
      <c r="C6" s="34" t="n">
        <v>8.2</v>
      </c>
      <c r="D6" s="20" t="n">
        <f aca="false">ROUND(Multiples!B13,2)</f>
        <v>8.2</v>
      </c>
      <c r="E6" s="20" t="n">
        <f aca="false">D6-C6</f>
        <v>0</v>
      </c>
      <c r="F6" s="35" t="str">
        <f aca="false">IF(ABS(D6-C6)&lt;=0.005,"PASS","FAIL")</f>
        <v>PASS</v>
      </c>
    </row>
    <row r="7" customFormat="false" ht="15" hidden="false" customHeight="false" outlineLevel="0" collapsed="false">
      <c r="A7" s="7" t="s">
        <v>158</v>
      </c>
      <c r="B7" s="7" t="s">
        <v>160</v>
      </c>
      <c r="C7" s="36" t="n">
        <v>68880000</v>
      </c>
      <c r="D7" s="22" t="n">
        <f aca="false">Multiples!B15</f>
        <v>68880000</v>
      </c>
      <c r="E7" s="22" t="n">
        <f aca="false">D7-C7</f>
        <v>0</v>
      </c>
      <c r="F7" s="35" t="str">
        <f aca="false">IF(ABS(D7-C7)&lt;=1,"PASS","FAIL")</f>
        <v>PASS</v>
      </c>
    </row>
    <row r="8" customFormat="false" ht="15" hidden="false" customHeight="false" outlineLevel="0" collapsed="false">
      <c r="A8" s="7" t="s">
        <v>161</v>
      </c>
      <c r="B8" s="7" t="s">
        <v>162</v>
      </c>
      <c r="C8" s="34" t="n">
        <v>10.4</v>
      </c>
      <c r="D8" s="20" t="n">
        <f aca="false">ROUND(Multiples!B25,2)</f>
        <v>10.4</v>
      </c>
      <c r="E8" s="20" t="n">
        <f aca="false">D8-C8</f>
        <v>0</v>
      </c>
      <c r="F8" s="35" t="str">
        <f aca="false">IF(ABS(D8-C8)&lt;=0.005,"PASS","FAIL")</f>
        <v>PASS</v>
      </c>
    </row>
    <row r="9" customFormat="false" ht="15" hidden="false" customHeight="false" outlineLevel="0" collapsed="false">
      <c r="A9" s="7" t="s">
        <v>161</v>
      </c>
      <c r="B9" s="7" t="s">
        <v>163</v>
      </c>
      <c r="C9" s="36" t="n">
        <v>87360000</v>
      </c>
      <c r="D9" s="22" t="n">
        <f aca="false">Multiples!B26</f>
        <v>87360000</v>
      </c>
      <c r="E9" s="22" t="n">
        <f aca="false">D9-C9</f>
        <v>0</v>
      </c>
      <c r="F9" s="35" t="str">
        <f aca="false">IF(ABS(D9-C9)&lt;=1,"PASS","FAIL")</f>
        <v>PASS</v>
      </c>
    </row>
    <row r="10" customFormat="false" ht="15" hidden="false" customHeight="false" outlineLevel="0" collapsed="false">
      <c r="A10" s="7" t="s">
        <v>164</v>
      </c>
      <c r="B10" s="7" t="s">
        <v>165</v>
      </c>
      <c r="C10" s="36" t="n">
        <v>18480000</v>
      </c>
      <c r="D10" s="22" t="n">
        <f aca="false">'The Premium'!B7</f>
        <v>18480000</v>
      </c>
      <c r="E10" s="22" t="n">
        <f aca="false">D10-C10</f>
        <v>0</v>
      </c>
      <c r="F10" s="35" t="str">
        <f aca="false">IF(ABS(D10-C10)&lt;=1,"PASS","FAIL")</f>
        <v>PASS</v>
      </c>
    </row>
    <row r="11" customFormat="false" ht="15" hidden="false" customHeight="false" outlineLevel="0" collapsed="false">
      <c r="A11" s="7" t="s">
        <v>164</v>
      </c>
      <c r="B11" s="7" t="s">
        <v>166</v>
      </c>
      <c r="C11" s="37" t="n">
        <v>0.268</v>
      </c>
      <c r="D11" s="23" t="n">
        <f aca="false">ROUND('The Premium'!B8,3)</f>
        <v>0.268</v>
      </c>
      <c r="E11" s="23" t="n">
        <f aca="false">D11-C11</f>
        <v>0</v>
      </c>
      <c r="F11" s="35" t="str">
        <f aca="false">IF(ABS(D11-C11)&lt;=0.0005,"PASS","FAIL")</f>
        <v>PASS</v>
      </c>
    </row>
    <row r="12" customFormat="false" ht="15" hidden="false" customHeight="false" outlineLevel="0" collapsed="false">
      <c r="A12" s="7" t="s">
        <v>164</v>
      </c>
      <c r="B12" s="7" t="s">
        <v>167</v>
      </c>
      <c r="C12" s="34" t="n">
        <v>2.2</v>
      </c>
      <c r="D12" s="20" t="n">
        <f aca="false">ROUND('The Premium'!B9,2)</f>
        <v>2.2</v>
      </c>
      <c r="E12" s="20" t="n">
        <f aca="false">D12-C12</f>
        <v>0</v>
      </c>
      <c r="F12" s="35" t="str">
        <f aca="false">IF(ABS(D12-C12)&lt;=0.005,"PASS","FAIL")</f>
        <v>PASS</v>
      </c>
    </row>
    <row r="13" customFormat="false" ht="15" hidden="false" customHeight="false" outlineLevel="0" collapsed="false">
      <c r="A13" s="7" t="s">
        <v>164</v>
      </c>
      <c r="B13" s="7" t="s">
        <v>168</v>
      </c>
      <c r="C13" s="36" t="n">
        <v>1293600</v>
      </c>
      <c r="D13" s="22" t="n">
        <f aca="false">ROUND('The Premium'!B13,0)</f>
        <v>1293600</v>
      </c>
      <c r="E13" s="22" t="n">
        <f aca="false">D13-C13</f>
        <v>0</v>
      </c>
      <c r="F13" s="35" t="str">
        <f aca="false">IF(ABS(D13-C13)&lt;=1,"PASS","FAIL")</f>
        <v>PASS</v>
      </c>
    </row>
    <row r="14" customFormat="false" ht="15" hidden="false" customHeight="false" outlineLevel="0" collapsed="false">
      <c r="A14" s="7" t="s">
        <v>164</v>
      </c>
      <c r="B14" s="7" t="s">
        <v>64</v>
      </c>
      <c r="C14" s="36" t="n">
        <v>1724800</v>
      </c>
      <c r="D14" s="22" t="n">
        <f aca="false">ROUND('The Premium'!B14,0)</f>
        <v>1724800</v>
      </c>
      <c r="E14" s="22" t="n">
        <f aca="false">D14-C14</f>
        <v>0</v>
      </c>
      <c r="F14" s="35" t="str">
        <f aca="false">IF(ABS(D14-C14)&lt;=1,"PASS","FAIL")</f>
        <v>PASS</v>
      </c>
    </row>
    <row r="15" customFormat="false" ht="15" hidden="false" customHeight="false" outlineLevel="0" collapsed="false">
      <c r="A15" s="7" t="s">
        <v>164</v>
      </c>
      <c r="B15" s="7" t="s">
        <v>65</v>
      </c>
      <c r="C15" s="38" t="n">
        <v>0.2053</v>
      </c>
      <c r="D15" s="25" t="n">
        <f aca="false">ROUND('The Premium'!B15,4)</f>
        <v>0.2053</v>
      </c>
      <c r="E15" s="25" t="n">
        <f aca="false">D15-C15</f>
        <v>0</v>
      </c>
      <c r="F15" s="35" t="str">
        <f aca="false">IF(ABS(D15-C15)&lt;=0.00005,"PASS","FAIL")</f>
        <v>PASS</v>
      </c>
    </row>
    <row r="16" customFormat="false" ht="15" hidden="false" customHeight="false" outlineLevel="0" collapsed="false">
      <c r="A16" s="7" t="s">
        <v>164</v>
      </c>
      <c r="B16" s="7" t="s">
        <v>66</v>
      </c>
      <c r="C16" s="38" t="n">
        <v>0.0359</v>
      </c>
      <c r="D16" s="25" t="n">
        <f aca="false">ROUND('The Premium'!B16,4)</f>
        <v>0.0359</v>
      </c>
      <c r="E16" s="25" t="n">
        <f aca="false">D16-C16</f>
        <v>0</v>
      </c>
      <c r="F16" s="35" t="str">
        <f aca="false">IF(ABS(D16-C16)&lt;=0.00005,"PASS","FAIL")</f>
        <v>PASS</v>
      </c>
    </row>
    <row r="17" customFormat="false" ht="15" hidden="false" customHeight="false" outlineLevel="0" collapsed="false">
      <c r="A17" s="7" t="n">
        <v>9</v>
      </c>
      <c r="B17" s="7" t="s">
        <v>169</v>
      </c>
      <c r="C17" s="37" t="n">
        <v>0.297</v>
      </c>
      <c r="D17" s="23" t="n">
        <f aca="false">ROUND('The Sets, Tested'!B7,3)</f>
        <v>0.297</v>
      </c>
      <c r="E17" s="23" t="n">
        <f aca="false">D17-C17</f>
        <v>0</v>
      </c>
      <c r="F17" s="35" t="str">
        <f aca="false">IF(ABS(D17-C17)&lt;=0.0005,"PASS","FAIL")</f>
        <v>PASS</v>
      </c>
    </row>
    <row r="18" customFormat="false" ht="15" hidden="false" customHeight="false" outlineLevel="0" collapsed="false">
      <c r="A18" s="7" t="n">
        <v>9</v>
      </c>
      <c r="B18" s="7" t="s">
        <v>170</v>
      </c>
      <c r="C18" s="36" t="n">
        <v>62160000</v>
      </c>
      <c r="D18" s="22" t="n">
        <f aca="false">'The Sets, Tested'!B8</f>
        <v>62160000</v>
      </c>
      <c r="E18" s="22" t="n">
        <f aca="false">D18-C18</f>
        <v>0</v>
      </c>
      <c r="F18" s="35" t="str">
        <f aca="false">IF(ABS(D18-C18)&lt;=1,"PASS","FAIL")</f>
        <v>PASS</v>
      </c>
    </row>
    <row r="19" customFormat="false" ht="15" hidden="false" customHeight="false" outlineLevel="0" collapsed="false">
      <c r="A19" s="7" t="n">
        <v>9</v>
      </c>
      <c r="B19" s="7" t="s">
        <v>171</v>
      </c>
      <c r="C19" s="36" t="n">
        <v>80640000</v>
      </c>
      <c r="D19" s="22" t="n">
        <f aca="false">'The Sets, Tested'!B9</f>
        <v>80640000</v>
      </c>
      <c r="E19" s="22" t="n">
        <f aca="false">D19-C19</f>
        <v>0</v>
      </c>
      <c r="F19" s="35" t="str">
        <f aca="false">IF(ABS(D19-C19)&lt;=1,"PASS","FAIL")</f>
        <v>PASS</v>
      </c>
    </row>
    <row r="20" customFormat="false" ht="15" hidden="false" customHeight="false" outlineLevel="0" collapsed="false">
      <c r="A20" s="7" t="n">
        <v>9</v>
      </c>
      <c r="B20" s="7" t="s">
        <v>172</v>
      </c>
      <c r="C20" s="36" t="n">
        <v>18480000</v>
      </c>
      <c r="D20" s="22" t="n">
        <f aca="false">'The Sets, Tested'!B10</f>
        <v>18480000</v>
      </c>
      <c r="E20" s="22" t="n">
        <f aca="false">D20-C20</f>
        <v>0</v>
      </c>
      <c r="F20" s="35" t="str">
        <f aca="false">IF(ABS(D20-C20)&lt;=1,"PASS","FAIL")</f>
        <v>PASS</v>
      </c>
    </row>
    <row r="21" customFormat="false" ht="15" hidden="false" customHeight="false" outlineLevel="0" collapsed="false">
      <c r="A21" s="7" t="n">
        <v>9</v>
      </c>
      <c r="B21" s="7" t="s">
        <v>173</v>
      </c>
      <c r="C21" s="34" t="n">
        <v>8.42</v>
      </c>
      <c r="D21" s="20" t="n">
        <f aca="false">ROUND('The Sets, Tested'!B13,2)</f>
        <v>8.42</v>
      </c>
      <c r="E21" s="20" t="n">
        <f aca="false">D21-C21</f>
        <v>0</v>
      </c>
      <c r="F21" s="35" t="str">
        <f aca="false">IF(ABS(D21-C21)&lt;=0.005,"PASS","FAIL")</f>
        <v>PASS</v>
      </c>
    </row>
    <row r="22" customFormat="false" ht="15" hidden="false" customHeight="false" outlineLevel="0" collapsed="false">
      <c r="A22" s="7" t="n">
        <v>9</v>
      </c>
      <c r="B22" s="7" t="s">
        <v>174</v>
      </c>
      <c r="C22" s="36" t="n">
        <v>70728000</v>
      </c>
      <c r="D22" s="22" t="n">
        <f aca="false">'The Sets, Tested'!B14</f>
        <v>70728000</v>
      </c>
      <c r="E22" s="22" t="n">
        <f aca="false">D22-C22</f>
        <v>0</v>
      </c>
      <c r="F22" s="35" t="str">
        <f aca="false">IF(ABS(D22-C22)&lt;=1,"PASS","FAIL")</f>
        <v>PASS</v>
      </c>
    </row>
    <row r="23" customFormat="false" ht="15" hidden="false" customHeight="false" outlineLevel="0" collapsed="false">
      <c r="A23" s="7" t="n">
        <v>9</v>
      </c>
      <c r="B23" s="7" t="s">
        <v>175</v>
      </c>
      <c r="C23" s="36" t="n">
        <v>1848000</v>
      </c>
      <c r="D23" s="22" t="n">
        <f aca="false">'The Sets, Tested'!B15</f>
        <v>1848000</v>
      </c>
      <c r="E23" s="22" t="n">
        <f aca="false">D23-C23</f>
        <v>0</v>
      </c>
      <c r="F23" s="35" t="str">
        <f aca="false">IF(ABS(D23-C23)&lt;=1,"PASS","FAIL")</f>
        <v>PASS</v>
      </c>
    </row>
    <row r="24" customFormat="false" ht="15" hidden="false" customHeight="false" outlineLevel="0" collapsed="false">
      <c r="A24" s="7" t="n">
        <v>14</v>
      </c>
      <c r="B24" s="7" t="s">
        <v>176</v>
      </c>
      <c r="C24" s="36" t="n">
        <v>67200000</v>
      </c>
      <c r="D24" s="22" t="n">
        <f aca="false">'The Sets, Tested'!B18</f>
        <v>67200000</v>
      </c>
      <c r="E24" s="22" t="n">
        <f aca="false">D24-C24</f>
        <v>0</v>
      </c>
      <c r="F24" s="35" t="str">
        <f aca="false">IF(ABS(D24-C24)&lt;=1,"PASS","FAIL")</f>
        <v>PASS</v>
      </c>
    </row>
    <row r="25" customFormat="false" ht="15" hidden="false" customHeight="false" outlineLevel="0" collapsed="false">
      <c r="A25" s="7" t="n">
        <v>14</v>
      </c>
      <c r="B25" s="7" t="s">
        <v>177</v>
      </c>
      <c r="C25" s="36" t="n">
        <v>74760000</v>
      </c>
      <c r="D25" s="22" t="n">
        <f aca="false">'The Sets, Tested'!B19</f>
        <v>74760000</v>
      </c>
      <c r="E25" s="22" t="n">
        <f aca="false">D25-C25</f>
        <v>0</v>
      </c>
      <c r="F25" s="35" t="str">
        <f aca="false">IF(ABS(D25-C25)&lt;=1,"PASS","FAIL")</f>
        <v>PASS</v>
      </c>
    </row>
    <row r="26" customFormat="false" ht="15" hidden="false" customHeight="false" outlineLevel="0" collapsed="false">
      <c r="A26" s="7" t="n">
        <v>9</v>
      </c>
      <c r="B26" s="7" t="s">
        <v>178</v>
      </c>
      <c r="C26" s="36" t="n">
        <v>57680000</v>
      </c>
      <c r="D26" s="22" t="n">
        <f aca="false">'The Sets, Tested'!B20</f>
        <v>57680000</v>
      </c>
      <c r="E26" s="22" t="n">
        <f aca="false">D26-C26</f>
        <v>0</v>
      </c>
      <c r="F26" s="35" t="str">
        <f aca="false">IF(ABS(D26-C26)&lt;=1,"PASS","FAIL")</f>
        <v>PASS</v>
      </c>
    </row>
    <row r="27" customFormat="false" ht="15" hidden="false" customHeight="false" outlineLevel="0" collapsed="false">
      <c r="A27" s="7" t="n">
        <v>9</v>
      </c>
      <c r="B27" s="7" t="s">
        <v>106</v>
      </c>
      <c r="C27" s="39" t="n">
        <v>14.42</v>
      </c>
      <c r="D27" s="31" t="n">
        <f aca="false">ROUND('The Sets, Tested'!B21,2)</f>
        <v>14.42</v>
      </c>
      <c r="E27" s="31" t="n">
        <f aca="false">D27-C27</f>
        <v>0</v>
      </c>
      <c r="F27" s="35" t="str">
        <f aca="false">IF(ABS(D27-C27)&lt;=0.005,"PASS","FAIL")</f>
        <v>PASS</v>
      </c>
    </row>
    <row r="28" customFormat="false" ht="15" hidden="false" customHeight="false" outlineLevel="0" collapsed="false">
      <c r="A28" s="7" t="n">
        <v>11</v>
      </c>
      <c r="B28" s="7" t="s">
        <v>179</v>
      </c>
      <c r="C28" s="37" t="n">
        <v>0.352</v>
      </c>
      <c r="D28" s="23" t="n">
        <f aca="false">ROUND('The Sets, Tested'!B34,3)</f>
        <v>0.352</v>
      </c>
      <c r="E28" s="23" t="n">
        <f aca="false">D28-C28</f>
        <v>0</v>
      </c>
      <c r="F28" s="35" t="str">
        <f aca="false">IF(ABS(D28-C28)&lt;=0.0005,"PASS","FAIL")</f>
        <v>PASS</v>
      </c>
    </row>
    <row r="29" customFormat="false" ht="15" hidden="false" customHeight="false" outlineLevel="0" collapsed="false">
      <c r="A29" s="7" t="n">
        <v>11</v>
      </c>
      <c r="B29" s="7" t="s">
        <v>180</v>
      </c>
      <c r="C29" s="36" t="n">
        <v>76440000</v>
      </c>
      <c r="D29" s="22" t="n">
        <f aca="false">'The Sets, Tested'!B35</f>
        <v>76440000</v>
      </c>
      <c r="E29" s="22" t="n">
        <f aca="false">D29-C29</f>
        <v>0</v>
      </c>
      <c r="F29" s="35" t="str">
        <f aca="false">IF(ABS(D29-C29)&lt;=1,"PASS","FAIL")</f>
        <v>PASS</v>
      </c>
    </row>
    <row r="30" customFormat="false" ht="15" hidden="false" customHeight="false" outlineLevel="0" collapsed="false">
      <c r="A30" s="7" t="n">
        <v>11</v>
      </c>
      <c r="B30" s="7" t="s">
        <v>181</v>
      </c>
      <c r="C30" s="36" t="n">
        <v>103320000</v>
      </c>
      <c r="D30" s="22" t="n">
        <f aca="false">'The Sets, Tested'!B36</f>
        <v>103320000</v>
      </c>
      <c r="E30" s="22" t="n">
        <f aca="false">D30-C30</f>
        <v>0</v>
      </c>
      <c r="F30" s="35" t="str">
        <f aca="false">IF(ABS(D30-C30)&lt;=1,"PASS","FAIL")</f>
        <v>PASS</v>
      </c>
    </row>
    <row r="31" customFormat="false" ht="15" hidden="false" customHeight="false" outlineLevel="0" collapsed="false">
      <c r="A31" s="7" t="n">
        <v>11</v>
      </c>
      <c r="B31" s="7" t="s">
        <v>182</v>
      </c>
      <c r="C31" s="36" t="n">
        <v>26880000</v>
      </c>
      <c r="D31" s="22" t="n">
        <f aca="false">'The Sets, Tested'!B37</f>
        <v>26880000</v>
      </c>
      <c r="E31" s="22" t="n">
        <f aca="false">D31-C31</f>
        <v>0</v>
      </c>
      <c r="F31" s="35" t="str">
        <f aca="false">IF(ABS(D31-C31)&lt;=1,"PASS","FAIL")</f>
        <v>PASS</v>
      </c>
    </row>
    <row r="32" customFormat="false" ht="15" hidden="false" customHeight="false" outlineLevel="0" collapsed="false">
      <c r="A32" s="7" t="n">
        <v>11</v>
      </c>
      <c r="B32" s="7" t="s">
        <v>124</v>
      </c>
      <c r="C32" s="34" t="n">
        <v>3.2</v>
      </c>
      <c r="D32" s="20" t="n">
        <f aca="false">ROUND('The Sets, Tested'!B38,2)</f>
        <v>3.2</v>
      </c>
      <c r="E32" s="20" t="n">
        <f aca="false">D32-C32</f>
        <v>0</v>
      </c>
      <c r="F32" s="35" t="str">
        <f aca="false">IF(ABS(D32-C32)&lt;=0.005,"PASS","FAIL")</f>
        <v>PASS</v>
      </c>
    </row>
    <row r="33" customFormat="false" ht="15" hidden="false" customHeight="false" outlineLevel="0" collapsed="false">
      <c r="A33" s="7" t="n">
        <v>11</v>
      </c>
      <c r="B33" s="7" t="s">
        <v>183</v>
      </c>
      <c r="C33" s="34" t="n">
        <v>10.6</v>
      </c>
      <c r="D33" s="20" t="n">
        <f aca="false">ROUND('The Sets, Tested'!B40,2)</f>
        <v>10.6</v>
      </c>
      <c r="E33" s="20" t="n">
        <f aca="false">D33-C33</f>
        <v>0</v>
      </c>
      <c r="F33" s="35" t="str">
        <f aca="false">IF(ABS(D33-C33)&lt;=0.005,"PASS","FAIL")</f>
        <v>PASS</v>
      </c>
    </row>
    <row r="34" customFormat="false" ht="15" hidden="false" customHeight="false" outlineLevel="0" collapsed="false">
      <c r="A34" s="7" t="n">
        <v>11</v>
      </c>
      <c r="B34" s="7" t="s">
        <v>175</v>
      </c>
      <c r="C34" s="36" t="n">
        <v>1680000</v>
      </c>
      <c r="D34" s="22" t="n">
        <f aca="false">'The Sets, Tested'!B42</f>
        <v>1680000</v>
      </c>
      <c r="E34" s="22" t="n">
        <f aca="false">D34-C34</f>
        <v>0</v>
      </c>
      <c r="F34" s="35" t="str">
        <f aca="false">IF(ABS(D34-C34)&lt;=1,"PASS","FAIL")</f>
        <v>PASS</v>
      </c>
    </row>
    <row r="35" customFormat="false" ht="15" hidden="false" customHeight="false" outlineLevel="0" collapsed="false">
      <c r="A35" s="7" t="n">
        <v>11</v>
      </c>
      <c r="B35" s="7" t="s">
        <v>184</v>
      </c>
      <c r="C35" s="39" t="n">
        <v>19.04</v>
      </c>
      <c r="D35" s="31" t="n">
        <f aca="false">ROUND('The Sets, Tested'!B48,2)</f>
        <v>19.04</v>
      </c>
      <c r="E35" s="31" t="n">
        <f aca="false">D35-C35</f>
        <v>0</v>
      </c>
      <c r="F35" s="35" t="str">
        <f aca="false">IF(ABS(D35-C35)&lt;=0.005,"PASS","FAIL")</f>
        <v>PASS</v>
      </c>
    </row>
    <row r="36" customFormat="false" ht="15" hidden="false" customHeight="false" outlineLevel="0" collapsed="false">
      <c r="A36" s="7" t="n">
        <v>11</v>
      </c>
      <c r="B36" s="7" t="s">
        <v>185</v>
      </c>
      <c r="C36" s="34" t="n">
        <v>9.07</v>
      </c>
      <c r="D36" s="20" t="n">
        <f aca="false">ROUND('The Sets, Tested'!B60,2)</f>
        <v>9.07</v>
      </c>
      <c r="E36" s="20" t="n">
        <f aca="false">D36-C36</f>
        <v>0</v>
      </c>
      <c r="F36" s="35" t="str">
        <f aca="false">IF(ABS(D36-C36)&lt;=0.005,"PASS","FAIL")</f>
        <v>PASS</v>
      </c>
    </row>
    <row r="37" customFormat="false" ht="15" hidden="false" customHeight="false" outlineLevel="0" collapsed="false">
      <c r="A37" s="7" t="n">
        <v>11</v>
      </c>
      <c r="B37" s="7" t="s">
        <v>186</v>
      </c>
      <c r="C37" s="34" t="n">
        <v>1.33</v>
      </c>
      <c r="D37" s="20" t="n">
        <f aca="false">ROUND('The Sets, Tested'!B61,2)</f>
        <v>1.33</v>
      </c>
      <c r="E37" s="20" t="n">
        <f aca="false">D37-C37</f>
        <v>0</v>
      </c>
      <c r="F37" s="35" t="str">
        <f aca="false">IF(ABS(D37-C37)&lt;=0.005,"PASS","FAIL")</f>
        <v>PASS</v>
      </c>
    </row>
    <row r="38" customFormat="false" ht="15" hidden="false" customHeight="false" outlineLevel="0" collapsed="false">
      <c r="A38" s="7" t="n">
        <v>11</v>
      </c>
      <c r="B38" s="7" t="s">
        <v>187</v>
      </c>
      <c r="C38" s="34" t="n">
        <v>8.32</v>
      </c>
      <c r="D38" s="20" t="n">
        <f aca="false">ROUND('The Sets, Tested'!B63,2)</f>
        <v>8.32</v>
      </c>
      <c r="E38" s="20" t="n">
        <f aca="false">D38-C38</f>
        <v>0</v>
      </c>
      <c r="F38" s="35" t="str">
        <f aca="false">IF(ABS(D38-C38)&lt;=0.005,"PASS","FAIL")</f>
        <v>PASS</v>
      </c>
    </row>
    <row r="39" customFormat="false" ht="15" hidden="false" customHeight="false" outlineLevel="0" collapsed="false">
      <c r="A39" s="7" t="n">
        <v>11</v>
      </c>
      <c r="B39" s="7" t="s">
        <v>188</v>
      </c>
      <c r="C39" s="34" t="n">
        <v>0.12</v>
      </c>
      <c r="D39" s="20" t="n">
        <f aca="false">ROUND('The Sets, Tested'!B64,2)</f>
        <v>0.12</v>
      </c>
      <c r="E39" s="20" t="n">
        <f aca="false">D39-C39</f>
        <v>0</v>
      </c>
      <c r="F39" s="35" t="str">
        <f aca="false">IF(ABS(D39-C39)&lt;=0.005,"PASS","FAIL")</f>
        <v>PASS</v>
      </c>
    </row>
    <row r="40" customFormat="false" ht="15" hidden="false" customHeight="false" outlineLevel="0" collapsed="false">
      <c r="A40" s="7" t="n">
        <v>10</v>
      </c>
      <c r="B40" s="7" t="s">
        <v>189</v>
      </c>
      <c r="C40" s="38" t="n">
        <v>0.2262</v>
      </c>
      <c r="D40" s="25" t="n">
        <f aca="false">ROUND('What a Multiple Contains'!B5,4)</f>
        <v>0.2262</v>
      </c>
      <c r="E40" s="25" t="n">
        <f aca="false">D40-C40</f>
        <v>0</v>
      </c>
      <c r="F40" s="35" t="str">
        <f aca="false">IF(ABS(D40-C40)&lt;=0.00005,"PASS","FAIL")</f>
        <v>PASS</v>
      </c>
    </row>
    <row r="41" customFormat="false" ht="15" hidden="false" customHeight="false" outlineLevel="0" collapsed="false">
      <c r="A41" s="7" t="n">
        <v>10</v>
      </c>
      <c r="B41" s="7" t="s">
        <v>121</v>
      </c>
      <c r="C41" s="38" t="n">
        <v>0.5238</v>
      </c>
      <c r="D41" s="25" t="n">
        <f aca="false">ROUND('What a Multiple Contains'!B6,4)</f>
        <v>0.5238</v>
      </c>
      <c r="E41" s="25" t="n">
        <f aca="false">D41-C41</f>
        <v>0</v>
      </c>
      <c r="F41" s="35" t="str">
        <f aca="false">IF(ABS(D41-C41)&lt;=0.00005,"PASS","FAIL")</f>
        <v>PASS</v>
      </c>
    </row>
    <row r="42" customFormat="false" ht="15" hidden="false" customHeight="false" outlineLevel="0" collapsed="false">
      <c r="A42" s="7" t="n">
        <v>10</v>
      </c>
      <c r="B42" s="7" t="s">
        <v>122</v>
      </c>
      <c r="C42" s="36" t="n">
        <v>4400000</v>
      </c>
      <c r="D42" s="22" t="n">
        <f aca="false">'What a Multiple Contains'!B7</f>
        <v>4400000</v>
      </c>
      <c r="E42" s="22" t="n">
        <f aca="false">D42-C42</f>
        <v>0</v>
      </c>
      <c r="F42" s="35" t="str">
        <f aca="false">IF(ABS(D42-C42)&lt;=0.000001,"PASS","FAIL")</f>
        <v>PASS</v>
      </c>
    </row>
    <row r="43" customFormat="false" ht="15" hidden="false" customHeight="false" outlineLevel="0" collapsed="false">
      <c r="A43" s="7" t="n">
        <v>10</v>
      </c>
      <c r="B43" s="7" t="s">
        <v>190</v>
      </c>
      <c r="C43" s="36" t="n">
        <v>64114286</v>
      </c>
      <c r="D43" s="22" t="n">
        <f aca="false">ROUND('What a Multiple Contains'!B8,0)</f>
        <v>64114286</v>
      </c>
      <c r="E43" s="22" t="n">
        <f aca="false">D43-C43</f>
        <v>0</v>
      </c>
      <c r="F43" s="35" t="str">
        <f aca="false">IF(ABS(D43-C43)&lt;=1,"PASS","FAIL")</f>
        <v>PASS</v>
      </c>
    </row>
    <row r="44" customFormat="false" ht="15" hidden="false" customHeight="false" outlineLevel="0" collapsed="false">
      <c r="A44" s="7" t="n">
        <v>10</v>
      </c>
      <c r="B44" s="7" t="s">
        <v>129</v>
      </c>
      <c r="C44" s="34" t="n">
        <v>7.63</v>
      </c>
      <c r="D44" s="20" t="n">
        <f aca="false">ROUND('What a Multiple Contains'!B9,2)</f>
        <v>7.63</v>
      </c>
      <c r="E44" s="20" t="n">
        <f aca="false">D44-C44</f>
        <v>0</v>
      </c>
      <c r="F44" s="35" t="str">
        <f aca="false">IF(ABS(D44-C44)&lt;=0.005,"PASS","FAIL")</f>
        <v>PASS</v>
      </c>
    </row>
    <row r="45" customFormat="false" ht="15" hidden="false" customHeight="false" outlineLevel="0" collapsed="false">
      <c r="A45" s="7" t="n">
        <v>10</v>
      </c>
      <c r="B45" s="7" t="s">
        <v>191</v>
      </c>
      <c r="C45" s="34" t="n">
        <v>1.07</v>
      </c>
      <c r="D45" s="20" t="n">
        <f aca="false">ROUND('What a Multiple Contains'!B20,2)</f>
        <v>1.07</v>
      </c>
      <c r="E45" s="20" t="n">
        <f aca="false">D45-C45</f>
        <v>0</v>
      </c>
      <c r="F45" s="35" t="str">
        <f aca="false">IF(ABS(D45-C45)&lt;=0.005,"PASS","FAIL")</f>
        <v>PASS</v>
      </c>
    </row>
    <row r="46" customFormat="false" ht="15" hidden="false" customHeight="false" outlineLevel="0" collapsed="false">
      <c r="A46" s="7" t="n">
        <v>10</v>
      </c>
      <c r="B46" s="7" t="s">
        <v>131</v>
      </c>
      <c r="C46" s="36" t="n">
        <v>8946299</v>
      </c>
      <c r="D46" s="22" t="n">
        <f aca="false">ROUND('What a Multiple Contains'!B21,0)</f>
        <v>8946299</v>
      </c>
      <c r="E46" s="22" t="n">
        <f aca="false">D46-C46</f>
        <v>0</v>
      </c>
      <c r="F46" s="35" t="str">
        <f aca="false">IF(ABS(D46-C46)&lt;=1,"PASS","FAIL")</f>
        <v>PASS</v>
      </c>
    </row>
    <row r="47" customFormat="false" ht="15" hidden="false" customHeight="false" outlineLevel="0" collapsed="false">
      <c r="A47" s="7" t="n">
        <v>10</v>
      </c>
      <c r="B47" s="7" t="s">
        <v>192</v>
      </c>
      <c r="C47" s="36" t="n">
        <v>73060585</v>
      </c>
      <c r="D47" s="22" t="n">
        <f aca="false">ROUND('What a Multiple Contains'!B18,0)</f>
        <v>73060585</v>
      </c>
      <c r="E47" s="22" t="n">
        <f aca="false">D47-C47</f>
        <v>0</v>
      </c>
      <c r="F47" s="35" t="str">
        <f aca="false">IF(ABS(D47-C47)&lt;=1,"PASS","FAIL")</f>
        <v>PASS</v>
      </c>
    </row>
    <row r="48" customFormat="false" ht="15" hidden="false" customHeight="false" outlineLevel="0" collapsed="false">
      <c r="A48" s="7" t="n">
        <v>10</v>
      </c>
      <c r="B48" s="7" t="s">
        <v>193</v>
      </c>
      <c r="C48" s="34" t="n">
        <v>15.65</v>
      </c>
      <c r="D48" s="20" t="n">
        <f aca="false">ROUND('What a Multiple Contains'!D25,2)</f>
        <v>15.65</v>
      </c>
      <c r="E48" s="20" t="n">
        <f aca="false">D48-C48</f>
        <v>0</v>
      </c>
      <c r="F48" s="35" t="str">
        <f aca="false">IF(ABS(D48-C48)&lt;=0.005,"PASS","FAIL")</f>
        <v>PASS</v>
      </c>
    </row>
    <row r="49" customFormat="false" ht="15" hidden="false" customHeight="false" outlineLevel="0" collapsed="false">
      <c r="A49" s="7" t="n">
        <v>10</v>
      </c>
      <c r="B49" s="7" t="s">
        <v>194</v>
      </c>
      <c r="C49" s="34" t="n">
        <v>16.6</v>
      </c>
      <c r="D49" s="20" t="n">
        <f aca="false">ROUND('What a Multiple Contains'!D26,2)</f>
        <v>16.6</v>
      </c>
      <c r="E49" s="20" t="n">
        <f aca="false">D49-C49</f>
        <v>0</v>
      </c>
      <c r="F49" s="35" t="str">
        <f aca="false">IF(ABS(D49-C49)&lt;=0.005,"PASS","FAIL")</f>
        <v>PASS</v>
      </c>
    </row>
    <row r="50" customFormat="false" ht="15" hidden="false" customHeight="false" outlineLevel="0" collapsed="false">
      <c r="A50" s="7" t="n">
        <v>10</v>
      </c>
      <c r="B50" s="7" t="s">
        <v>195</v>
      </c>
      <c r="C50" s="34" t="n">
        <v>19.85</v>
      </c>
      <c r="D50" s="20" t="n">
        <f aca="false">ROUND('What a Multiple Contains'!D27,2)</f>
        <v>19.85</v>
      </c>
      <c r="E50" s="20" t="n">
        <f aca="false">D50-C50</f>
        <v>0</v>
      </c>
      <c r="F50" s="35" t="str">
        <f aca="false">IF(ABS(D50-C50)&lt;=0.005,"PASS","FAIL")</f>
        <v>PASS</v>
      </c>
    </row>
    <row r="51" customFormat="false" ht="15" hidden="false" customHeight="false" outlineLevel="0" collapsed="false">
      <c r="A51" s="7" t="n">
        <v>10</v>
      </c>
      <c r="B51" s="7" t="s">
        <v>196</v>
      </c>
      <c r="C51" s="34" t="n">
        <v>10.13</v>
      </c>
      <c r="D51" s="20" t="n">
        <f aca="false">ROUND('What a Multiple Contains'!E25,2)</f>
        <v>10.13</v>
      </c>
      <c r="E51" s="20" t="n">
        <f aca="false">D51-C51</f>
        <v>0</v>
      </c>
      <c r="F51" s="35" t="str">
        <f aca="false">IF(ABS(D51-C51)&lt;=0.005,"PASS","FAIL")</f>
        <v>PASS</v>
      </c>
    </row>
    <row r="52" customFormat="false" ht="15" hidden="false" customHeight="false" outlineLevel="0" collapsed="false">
      <c r="A52" s="7" t="n">
        <v>10</v>
      </c>
      <c r="B52" s="7" t="s">
        <v>197</v>
      </c>
      <c r="C52" s="34" t="n">
        <v>10.74</v>
      </c>
      <c r="D52" s="20" t="n">
        <f aca="false">ROUND('What a Multiple Contains'!E26,2)</f>
        <v>10.74</v>
      </c>
      <c r="E52" s="20" t="n">
        <f aca="false">D52-C52</f>
        <v>0</v>
      </c>
      <c r="F52" s="35" t="str">
        <f aca="false">IF(ABS(D52-C52)&lt;=0.005,"PASS","FAIL")</f>
        <v>PASS</v>
      </c>
    </row>
    <row r="53" customFormat="false" ht="15" hidden="false" customHeight="false" outlineLevel="0" collapsed="false">
      <c r="A53" s="7" t="n">
        <v>10</v>
      </c>
      <c r="B53" s="7" t="s">
        <v>198</v>
      </c>
      <c r="C53" s="34" t="n">
        <v>12.85</v>
      </c>
      <c r="D53" s="20" t="n">
        <f aca="false">ROUND('What a Multiple Contains'!E27,2)</f>
        <v>12.85</v>
      </c>
      <c r="E53" s="20" t="n">
        <f aca="false">D53-C53</f>
        <v>0</v>
      </c>
      <c r="F53" s="35" t="str">
        <f aca="false">IF(ABS(D53-C53)&lt;=0.005,"PASS","FAIL")</f>
        <v>PASS</v>
      </c>
    </row>
    <row r="54" customFormat="false" ht="15" hidden="false" customHeight="false" outlineLevel="0" collapsed="false">
      <c r="A54" s="7" t="n">
        <v>10</v>
      </c>
      <c r="B54" s="7" t="s">
        <v>199</v>
      </c>
      <c r="C54" s="34" t="n">
        <v>1.44</v>
      </c>
      <c r="D54" s="20" t="n">
        <f aca="false">ROUND('What a Multiple Contains'!F25,2)</f>
        <v>1.44</v>
      </c>
      <c r="E54" s="20" t="n">
        <f aca="false">D54-C54</f>
        <v>0</v>
      </c>
      <c r="F54" s="35" t="str">
        <f aca="false">IF(ABS(D54-C54)&lt;=0.005,"PASS","FAIL")</f>
        <v>PASS</v>
      </c>
    </row>
    <row r="55" customFormat="false" ht="15" hidden="false" customHeight="false" outlineLevel="0" collapsed="false">
      <c r="A55" s="7" t="n">
        <v>10</v>
      </c>
      <c r="B55" s="7" t="s">
        <v>200</v>
      </c>
      <c r="C55" s="34" t="n">
        <v>1.52</v>
      </c>
      <c r="D55" s="20" t="n">
        <f aca="false">ROUND('What a Multiple Contains'!F26,2)</f>
        <v>1.52</v>
      </c>
      <c r="E55" s="20" t="n">
        <f aca="false">D55-C55</f>
        <v>0</v>
      </c>
      <c r="F55" s="35" t="str">
        <f aca="false">IF(ABS(D55-C55)&lt;=0.005,"PASS","FAIL")</f>
        <v>PASS</v>
      </c>
    </row>
    <row r="56" customFormat="false" ht="15" hidden="false" customHeight="false" outlineLevel="0" collapsed="false">
      <c r="A56" s="7" t="n">
        <v>10</v>
      </c>
      <c r="B56" s="7" t="s">
        <v>201</v>
      </c>
      <c r="C56" s="34" t="n">
        <v>1.82</v>
      </c>
      <c r="D56" s="20" t="n">
        <f aca="false">ROUND('What a Multiple Contains'!F27,2)</f>
        <v>1.82</v>
      </c>
      <c r="E56" s="20" t="n">
        <f aca="false">D56-C56</f>
        <v>0</v>
      </c>
      <c r="F56" s="35" t="str">
        <f aca="false">IF(ABS(D56-C56)&lt;=0.005,"PASS","FAIL")</f>
        <v>PASS</v>
      </c>
    </row>
    <row r="57" customFormat="false" ht="15" hidden="false" customHeight="false" outlineLevel="0" collapsed="false">
      <c r="A57" s="7" t="n">
        <v>10</v>
      </c>
      <c r="B57" s="7" t="s">
        <v>202</v>
      </c>
      <c r="C57" s="36" t="n">
        <v>5100000</v>
      </c>
      <c r="D57" s="22" t="n">
        <f aca="false">'What a Multiple Contains'!B28</f>
        <v>5100000</v>
      </c>
      <c r="E57" s="22" t="n">
        <f aca="false">D57-C57</f>
        <v>0</v>
      </c>
      <c r="F57" s="35" t="str">
        <f aca="false">IF(ABS(D57-C57)&lt;=0.000001,"PASS","FAIL")</f>
        <v>PASS</v>
      </c>
    </row>
    <row r="58" customFormat="false" ht="15" hidden="false" customHeight="false" outlineLevel="0" collapsed="false">
      <c r="A58" s="7" t="n">
        <v>10</v>
      </c>
      <c r="B58" s="7" t="s">
        <v>203</v>
      </c>
      <c r="C58" s="34" t="n">
        <v>7.74</v>
      </c>
      <c r="D58" s="20" t="n">
        <f aca="false">ROUND('What a Multiple Contains'!B32,2)</f>
        <v>7.74</v>
      </c>
      <c r="E58" s="20" t="n">
        <f aca="false">D58-C58</f>
        <v>0</v>
      </c>
      <c r="F58" s="35" t="str">
        <f aca="false">IF(ABS(D58-C58)&lt;=0.005,"PASS","FAIL")</f>
        <v>PASS</v>
      </c>
    </row>
    <row r="59" customFormat="false" ht="15" hidden="false" customHeight="false" outlineLevel="0" collapsed="false">
      <c r="A59" s="7" t="n">
        <v>10</v>
      </c>
      <c r="B59" s="7" t="s">
        <v>204</v>
      </c>
      <c r="C59" s="36" t="n">
        <v>73012800</v>
      </c>
      <c r="D59" s="22" t="n">
        <f aca="false">'What a Multiple Contains'!B33</f>
        <v>73012800</v>
      </c>
      <c r="E59" s="22" t="n">
        <f aca="false">D59-C59</f>
        <v>0</v>
      </c>
      <c r="F59" s="35" t="str">
        <f aca="false">IF(ABS(D59-C59)&lt;=0.000001,"PASS","FAIL")</f>
        <v>PASS</v>
      </c>
    </row>
    <row r="60" customFormat="false" ht="15" hidden="false" customHeight="false" outlineLevel="0" collapsed="false">
      <c r="A60" s="7" t="n">
        <v>10</v>
      </c>
      <c r="B60" s="7" t="s">
        <v>141</v>
      </c>
      <c r="C60" s="36" t="n">
        <v>4132800</v>
      </c>
      <c r="D60" s="22" t="n">
        <f aca="false">'What a Multiple Contains'!B34</f>
        <v>4132800</v>
      </c>
      <c r="E60" s="22" t="n">
        <f aca="false">D60-C60</f>
        <v>0</v>
      </c>
      <c r="F60" s="35" t="str">
        <f aca="false">IF(ABS(D60-C60)&lt;=0.000001,"PASS","FAIL")</f>
        <v>PASS</v>
      </c>
    </row>
    <row r="61" customFormat="false" ht="15" hidden="false" customHeight="false" outlineLevel="0" collapsed="false">
      <c r="A61" s="7" t="n">
        <v>10</v>
      </c>
      <c r="B61" s="7" t="s">
        <v>205</v>
      </c>
      <c r="C61" s="36" t="n">
        <v>47785</v>
      </c>
      <c r="D61" s="22" t="n">
        <f aca="false">ROUND('What a Multiple Contains'!B35,0)</f>
        <v>47785</v>
      </c>
      <c r="E61" s="22" t="n">
        <f aca="false">D61-C61</f>
        <v>0</v>
      </c>
      <c r="F61" s="35" t="str">
        <f aca="false">IF(ABS(D61-C61)&lt;=1,"PASS","FAIL")</f>
        <v>PASS</v>
      </c>
    </row>
    <row r="62" customFormat="false" ht="15" hidden="false" customHeight="false" outlineLevel="0" collapsed="false">
      <c r="A62" s="7" t="n">
        <v>10</v>
      </c>
      <c r="B62" s="7" t="s">
        <v>206</v>
      </c>
      <c r="C62" s="34" t="n">
        <v>0</v>
      </c>
      <c r="D62" s="20" t="n">
        <f aca="false">ABS('What a Multiple Contains'!D39-8.2)+ABS('What a Multiple Contains'!D40-8.2)+ABS('What a Multiple Contains'!D41-8.2)</f>
        <v>0</v>
      </c>
      <c r="E62" s="20" t="n">
        <f aca="false">D62-C62</f>
        <v>0</v>
      </c>
      <c r="F62" s="35" t="str">
        <f aca="false">IF(ABS(D62-C62)&lt;=0.000000001,"PASS","FAIL")</f>
        <v>PASS</v>
      </c>
    </row>
    <row r="63" customFormat="false" ht="15" hidden="false" customHeight="false" outlineLevel="0" collapsed="false">
      <c r="A63" s="7" t="n">
        <v>12</v>
      </c>
      <c r="B63" s="7" t="s">
        <v>207</v>
      </c>
      <c r="C63" s="36" t="n">
        <v>39600000</v>
      </c>
      <c r="D63" s="22" t="n">
        <f aca="false">'The Premium'!B30</f>
        <v>39600000</v>
      </c>
      <c r="E63" s="22" t="n">
        <f aca="false">D63-C63</f>
        <v>0</v>
      </c>
      <c r="F63" s="35" t="str">
        <f aca="false">IF(ABS(D63-C63)&lt;=0.000001,"PASS","FAIL")</f>
        <v>PASS</v>
      </c>
    </row>
    <row r="64" customFormat="false" ht="15" hidden="false" customHeight="false" outlineLevel="0" collapsed="false">
      <c r="A64" s="7" t="n">
        <v>12</v>
      </c>
      <c r="B64" s="7" t="s">
        <v>208</v>
      </c>
      <c r="C64" s="38" t="n">
        <v>0.0436</v>
      </c>
      <c r="D64" s="25" t="n">
        <f aca="false">ROUND('The Premium'!B31,4)</f>
        <v>0.0436</v>
      </c>
      <c r="E64" s="25" t="n">
        <f aca="false">D64-C64</f>
        <v>0</v>
      </c>
      <c r="F64" s="35" t="str">
        <f aca="false">IF(ABS(D64-C64)&lt;=0.00005,"PASS","FAIL")</f>
        <v>PASS</v>
      </c>
    </row>
    <row r="65" customFormat="false" ht="15" hidden="false" customHeight="false" outlineLevel="0" collapsed="false">
      <c r="A65" s="7" t="n">
        <v>12</v>
      </c>
      <c r="B65" s="7" t="s">
        <v>209</v>
      </c>
      <c r="C65" s="36" t="n">
        <v>9856000</v>
      </c>
      <c r="D65" s="22" t="n">
        <f aca="false">ROUND('The Premium'!B32,0)</f>
        <v>9856000</v>
      </c>
      <c r="E65" s="22" t="n">
        <f aca="false">D65-C65</f>
        <v>0</v>
      </c>
      <c r="F65" s="35" t="str">
        <f aca="false">IF(ABS(D65-C65)&lt;=1,"PASS","FAIL")</f>
        <v>PASS</v>
      </c>
    </row>
    <row r="66" customFormat="false" ht="15" hidden="false" customHeight="false" outlineLevel="0" collapsed="false">
      <c r="A66" s="7" t="n">
        <v>12</v>
      </c>
      <c r="B66" s="7" t="s">
        <v>210</v>
      </c>
      <c r="C66" s="36" t="n">
        <v>14269950</v>
      </c>
      <c r="D66" s="22" t="n">
        <f aca="false">ROUND('The Premium'!B36,0)</f>
        <v>14269951</v>
      </c>
      <c r="E66" s="22" t="n">
        <f aca="false">D66-C66</f>
        <v>1</v>
      </c>
      <c r="F66" s="35" t="str">
        <f aca="false">IF(ABS(D66-C66)&lt;=1,"PASS","FAIL")</f>
        <v>PASS</v>
      </c>
    </row>
    <row r="67" customFormat="false" ht="15" hidden="false" customHeight="false" outlineLevel="0" collapsed="false">
      <c r="A67" s="7" t="n">
        <v>12</v>
      </c>
      <c r="B67" s="7" t="s">
        <v>211</v>
      </c>
      <c r="C67" s="36" t="n">
        <v>4210050</v>
      </c>
      <c r="D67" s="22" t="n">
        <f aca="false">ROUND('The Premium'!B37,0)</f>
        <v>4210049</v>
      </c>
      <c r="E67" s="22" t="n">
        <f aca="false">D67-C67</f>
        <v>-1</v>
      </c>
      <c r="F67" s="35" t="str">
        <f aca="false">IF(ABS(D67-C67)&lt;=1,"PASS","FAIL")</f>
        <v>PASS</v>
      </c>
    </row>
    <row r="68" customFormat="false" ht="15" hidden="false" customHeight="false" outlineLevel="0" collapsed="false">
      <c r="A68" s="7" t="n">
        <v>12</v>
      </c>
      <c r="B68" s="7" t="s">
        <v>212</v>
      </c>
      <c r="C68" s="37" t="n">
        <v>0.228</v>
      </c>
      <c r="D68" s="23" t="n">
        <f aca="false">ROUND('The Premium'!B38,3)</f>
        <v>0.228</v>
      </c>
      <c r="E68" s="23" t="n">
        <f aca="false">D68-C68</f>
        <v>0</v>
      </c>
      <c r="F68" s="35" t="str">
        <f aca="false">IF(ABS(D68-C68)&lt;=0.0005,"PASS","FAIL")</f>
        <v>PASS</v>
      </c>
    </row>
    <row r="69" customFormat="false" ht="15" hidden="false" customHeight="false" outlineLevel="0" collapsed="false">
      <c r="A69" s="7" t="n">
        <v>12</v>
      </c>
      <c r="B69" s="7" t="s">
        <v>213</v>
      </c>
      <c r="C69" s="36" t="n">
        <v>1675250</v>
      </c>
      <c r="D69" s="22" t="n">
        <f aca="false">ROUND('The Premium'!B39,0)</f>
        <v>1675250</v>
      </c>
      <c r="E69" s="22" t="n">
        <f aca="false">D69-C69</f>
        <v>0</v>
      </c>
      <c r="F69" s="35" t="str">
        <f aca="false">IF(ABS(D69-C69)&lt;=1,"PASS","FAIL")</f>
        <v>PASS</v>
      </c>
    </row>
    <row r="70" customFormat="false" ht="15" hidden="false" customHeight="false" outlineLevel="0" collapsed="false">
      <c r="A70" s="7" t="n">
        <v>12</v>
      </c>
      <c r="B70" s="7" t="s">
        <v>83</v>
      </c>
      <c r="C70" s="36" t="n">
        <v>2233667</v>
      </c>
      <c r="D70" s="22" t="n">
        <f aca="false">ROUND('The Premium'!B40,0)</f>
        <v>2233666</v>
      </c>
      <c r="E70" s="22" t="n">
        <f aca="false">D70-C70</f>
        <v>-1</v>
      </c>
      <c r="F70" s="35" t="str">
        <f aca="false">IF(ABS(D70-C70)&lt;=1,"PASS","FAIL")</f>
        <v>PASS</v>
      </c>
    </row>
    <row r="71" customFormat="false" ht="15" hidden="false" customHeight="false" outlineLevel="0" collapsed="false">
      <c r="A71" s="7" t="n">
        <v>12</v>
      </c>
      <c r="B71" s="7" t="s">
        <v>84</v>
      </c>
      <c r="C71" s="38" t="n">
        <v>0.2659</v>
      </c>
      <c r="D71" s="25" t="n">
        <f aca="false">ROUND('The Premium'!B41,4)</f>
        <v>0.2659</v>
      </c>
      <c r="E71" s="25" t="n">
        <f aca="false">D71-C71</f>
        <v>0</v>
      </c>
      <c r="F71" s="35" t="str">
        <f aca="false">IF(ABS(D71-C71)&lt;=0.00005,"PASS","FAIL")</f>
        <v>PASS</v>
      </c>
    </row>
    <row r="72" customFormat="false" ht="15" hidden="false" customHeight="false" outlineLevel="0" collapsed="false">
      <c r="A72" s="7" t="n">
        <v>12</v>
      </c>
      <c r="B72" s="7" t="s">
        <v>214</v>
      </c>
      <c r="C72" s="36" t="n">
        <v>6160000</v>
      </c>
      <c r="D72" s="22" t="n">
        <f aca="false">ROUND('The Premium'!B45,0)</f>
        <v>6160000</v>
      </c>
      <c r="E72" s="22" t="n">
        <f aca="false">D72-C72</f>
        <v>0</v>
      </c>
      <c r="F72" s="35" t="str">
        <f aca="false">IF(ABS(D72-C72)&lt;=1,"PASS","FAIL")</f>
        <v>PASS</v>
      </c>
    </row>
    <row r="73" customFormat="false" ht="15" hidden="false" customHeight="false" outlineLevel="0" collapsed="false">
      <c r="A73" s="7" t="n">
        <v>12</v>
      </c>
      <c r="B73" s="7" t="s">
        <v>215</v>
      </c>
      <c r="C73" s="36" t="n">
        <v>1149867</v>
      </c>
      <c r="D73" s="22" t="n">
        <f aca="false">ROUND('The Premium'!B46,0)</f>
        <v>1149867</v>
      </c>
      <c r="E73" s="22" t="n">
        <f aca="false">D73-C73</f>
        <v>0</v>
      </c>
      <c r="F73" s="35" t="str">
        <f aca="false">IF(ABS(D73-C73)&lt;=1,"PASS","FAIL")</f>
        <v>PASS</v>
      </c>
    </row>
    <row r="74" customFormat="false" ht="15" hidden="false" customHeight="false" outlineLevel="0" collapsed="false">
      <c r="A74" s="7" t="n">
        <v>12</v>
      </c>
      <c r="B74" s="7" t="s">
        <v>84</v>
      </c>
      <c r="C74" s="38" t="n">
        <v>0.1369</v>
      </c>
      <c r="D74" s="25" t="n">
        <f aca="false">ROUND('The Premium'!B47,4)</f>
        <v>0.1369</v>
      </c>
      <c r="E74" s="25" t="n">
        <f aca="false">D74-C74</f>
        <v>0</v>
      </c>
      <c r="F74" s="35" t="str">
        <f aca="false">IF(ABS(D74-C74)&lt;=0.00005,"PASS","FAIL")</f>
        <v>PASS</v>
      </c>
    </row>
    <row r="75" customFormat="false" ht="15" hidden="false" customHeight="false" outlineLevel="0" collapsed="false">
      <c r="A75" s="7" t="n">
        <v>12</v>
      </c>
      <c r="B75" s="7" t="s">
        <v>216</v>
      </c>
      <c r="C75" s="36" t="n">
        <v>70000</v>
      </c>
      <c r="D75" s="22" t="n">
        <f aca="false">'The Premium'!B48</f>
        <v>70000</v>
      </c>
      <c r="E75" s="22" t="n">
        <f aca="false">D75-C75</f>
        <v>0</v>
      </c>
      <c r="F75" s="35" t="str">
        <f aca="false">IF(ABS(D75-C75)&lt;=0.000001,"PASS","FAIL")</f>
        <v>PASS</v>
      </c>
    </row>
    <row r="76" customFormat="false" ht="15" hidden="false" customHeight="false" outlineLevel="0" collapsed="false">
      <c r="A76" s="7" t="n">
        <v>12</v>
      </c>
      <c r="B76" s="7" t="s">
        <v>83</v>
      </c>
      <c r="C76" s="36" t="n">
        <v>93333</v>
      </c>
      <c r="D76" s="22" t="n">
        <f aca="false">ROUND('The Premium'!B49,0)</f>
        <v>93333</v>
      </c>
      <c r="E76" s="22" t="n">
        <f aca="false">D76-C76</f>
        <v>0</v>
      </c>
      <c r="F76" s="35" t="str">
        <f aca="false">IF(ABS(D76-C76)&lt;=1,"PASS","FAIL")</f>
        <v>PASS</v>
      </c>
    </row>
    <row r="78" customFormat="false" ht="15" hidden="false" customHeight="false" outlineLevel="0" collapsed="false">
      <c r="B78" s="12" t="s">
        <v>217</v>
      </c>
      <c r="D78" s="12" t="str">
        <f aca="false">COUNTIF(F6:F76,"PASS")&amp;" of "&amp;71</f>
        <v>71 of 71</v>
      </c>
      <c r="F78" s="12" t="str">
        <f aca="false">IF(COUNTIF(F6:F76,"PASS")=71,"ALL PASS","SOME FAIL")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2026-08-28T18:05:50Z</dcterms:created>
  <dc:creator>openpyxl</dc:creator>
  <dc:description/>
  <dc:language>en-US</dc:language>
  <cp:lastModifiedBy/>
  <dcterms:modified xsi:type="dcterms:W3CDTF">2026-09-24T01:10:50Z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