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e Model" sheetId="3" state="visible" r:id="rId5"/>
    <sheet name="Sensitivity" sheetId="4" state="visible" r:id="rId6"/>
    <sheet name="Cost of Capital" sheetId="5" state="visible" r:id="rId7"/>
    <sheet name="Terminal Value" sheetId="6" state="visible" r:id="rId8"/>
    <sheet name="Ranking" sheetId="7" state="visible" r:id="rId9"/>
    <sheet name="Checks" sheetId="8" state="visible" r:id="rId10"/>
  </sheets>
  <definedNames>
    <definedName function="false" hidden="false" name="CAPEX0" vbProcedure="false">Inputs!$B$11</definedName>
    <definedName function="false" hidden="false" name="DA0" vbProcedure="false">Inputs!$B$9</definedName>
    <definedName function="false" hidden="false" name="DWC0" vbProcedure="false">Inputs!$B$12</definedName>
    <definedName function="false" hidden="false" name="EBITDA0" vbProcedure="false">Inputs!$B$15</definedName>
    <definedName function="false" hidden="false" name="EVDCF" vbProcedure="false">'The Model'!$B$20</definedName>
    <definedName function="false" hidden="false" name="FCF5" vbProcedure="false">'The Model'!$D$12</definedName>
    <definedName function="false" hidden="false" name="GR" vbProcedure="false">Inputs!$B$22:$B$26</definedName>
    <definedName function="false" hidden="false" name="GTERM" vbProcedure="false">Inputs!$B$20</definedName>
    <definedName function="false" hidden="false" name="MARGIN" vbProcedure="false">Inputs!$B$8</definedName>
    <definedName function="false" hidden="false" name="NETDEBT" vbProcedure="false">Inputs!$B$13</definedName>
    <definedName function="false" hidden="false" name="PVFLOWS" vbProcedure="false">'The Model'!$F$13</definedName>
    <definedName function="false" hidden="false" name="REV0" vbProcedure="false">Inputs!$B$7</definedName>
    <definedName function="false" hidden="false" name="SHARES" vbProcedure="false">Inputs!$B$14</definedName>
    <definedName function="false" hidden="false" name="TAXR" vbProcedure="false">Inputs!$B$10</definedName>
    <definedName function="false" hidden="false" name="WACC" vbProcedure="false">Inputs!$B$19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<sst xmlns="http://schemas.openxmlformats.org/spreadsheetml/2006/main" count="279" uniqueCount="235">
  <si>
    <t xml:space="preserve">Workbook 2 - The Discounted Cash Flow</t>
  </si>
  <si>
    <t xml:space="preserve">Companion to Business Valuation by Julian R. Sterling</t>
  </si>
  <si>
    <t xml:space="preserve">What this workbook does</t>
  </si>
  <si>
    <t xml:space="preserve">It builds the five-year discounted cash flow one visible step at a time, builds the cost of capital with a basis on every line, shows the terminal value on its own line with its share of the answer, and ranks what the model is actually sensitive to.</t>
  </si>
  <si>
    <t xml:space="preserve">The number to sit with</t>
  </si>
  <si>
    <t xml:space="preserve">Of 73,060,585, the five forecast years contribute 19,884,106 and the terminal value contributes 53,176,478 - 72.78 per cent. Most of the work goes into a quarter of the answer.</t>
  </si>
  <si>
    <t xml:space="preserve">The book</t>
  </si>
  <si>
    <t xml:space="preserve">Business Valuation, by Julian R. Sterling. All four workbooks: julianrsterling.com/bizval</t>
  </si>
  <si>
    <t xml:space="preserve">Revised 24 September 2026. The ranking this Read me always promised is now there (sheet Ranking), in live formulas. It corrects the book's Chapter 8 table: a point of margin either way spans 11,955,368 (16.4 per cent), not 11,278,000; 100,000 a year of capital expenditure or working capital spans 2,672,016 (3.7 per cent), not 3,133,000; a point of tax spans 2,258,236 (3.1 per cent), not 2,130,000. The order is unchanged. Also new: the cost of capital built line by line, the terminal value sheet, the figures Chapters 4 and 5 print, and the rates of the two-way grid held in cells rather than typed into its formulas. 58 checks.</t>
  </si>
  <si>
    <t xml:space="preserve">Inputs</t>
  </si>
  <si>
    <t xml:space="preserve">Yellow cells only. Everything else is a formula.</t>
  </si>
  <si>
    <t xml:space="preserve">Cawdrey Instruments</t>
  </si>
  <si>
    <t xml:space="preserve">Revenue</t>
  </si>
  <si>
    <t xml:space="preserve">EBITDA margin</t>
  </si>
  <si>
    <t xml:space="preserve">Depreciation and amortisation</t>
  </si>
  <si>
    <t xml:space="preserve">Corporate tax rate</t>
  </si>
  <si>
    <t xml:space="preserve">Capital expenditure</t>
  </si>
  <si>
    <t xml:space="preserve">Increase in working capital</t>
  </si>
  <si>
    <t xml:space="preserve">Net debt</t>
  </si>
  <si>
    <t xml:space="preserve">Shares in issue</t>
  </si>
  <si>
    <t xml:space="preserve">EBITDA</t>
  </si>
  <si>
    <t xml:space="preserve">The plan and the discount rate</t>
  </si>
  <si>
    <t xml:space="preserve">Cost of capital</t>
  </si>
  <si>
    <t xml:space="preserve">Terminal growth</t>
  </si>
  <si>
    <t xml:space="preserve">Year</t>
  </si>
  <si>
    <t xml:space="preserve">Revenue growth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</si>
  <si>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</si>
  <si>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</si>
  <si>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</si>
  <si>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</si>
  <si>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</si>
  <si>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The discounted cash flow, line by line</t>
  </si>
  <si>
    <t xml:space="preserve">Chapters 4 to 7. Every step visible, and the terminal value on its own line.</t>
  </si>
  <si>
    <t xml:space="preserve">The five-year build</t>
  </si>
  <si>
    <t xml:space="preserve">Free cash flow</t>
  </si>
  <si>
    <t xml:space="preserve">Discount factor</t>
  </si>
  <si>
    <t xml:space="preserve">Discounted</t>
  </si>
  <si>
    <t xml:space="preserve">Sum of discounted flows</t>
  </si>
  <si>
    <t xml:space="preserve">The terminal value</t>
  </si>
  <si>
    <t xml:space="preserve">Year five free cash flow</t>
  </si>
  <si>
    <t xml:space="preserve">Terminal value</t>
  </si>
  <si>
    <t xml:space="preserve">Discounted to today</t>
  </si>
  <si>
    <t xml:space="preserve">Enterprise value</t>
  </si>
  <si>
    <t xml:space="preserve">  terminal value as a share of it</t>
  </si>
  <si>
    <t xml:space="preserve">  as a multiple of EBITDA</t>
  </si>
  <si>
    <t xml:space="preserve">Equity value</t>
  </si>
  <si>
    <t xml:space="preserve">  per share</t>
  </si>
  <si>
    <t xml:space="preserve">Year one, taken apart</t>
  </si>
  <si>
    <t xml:space="preserve">EBIT</t>
  </si>
  <si>
    <t xml:space="preserve">Tax</t>
  </si>
  <si>
    <t xml:space="preserve">NOPAT</t>
  </si>
  <si>
    <t xml:space="preserve">Add back depreciation</t>
  </si>
  <si>
    <t xml:space="preserve">Cash conversion: free cash flow / EBITDA</t>
  </si>
  <si>
    <t xml:space="preserve">A little over half of EBITDA reaches the providers of capital. The ratio, not the multiple, is what a buyer is really paying for.</t>
  </si>
  <si>
    <t xml:space="preserve">Year one and the plan: the figures Chapters 4 and 5 print</t>
  </si>
  <si>
    <t xml:space="preserve">Tax if EBITDA were taxed directly</t>
  </si>
  <si>
    <t xml:space="preserve">The depreciation tax shield</t>
  </si>
  <si>
    <t xml:space="preserve">Capital expenditure above depreciation, year one</t>
  </si>
  <si>
    <t xml:space="preserve">  as a share of the depreciation charge</t>
  </si>
  <si>
    <t xml:space="preserve">Free cash flow if capital expenditure were set equal to depreciation</t>
  </si>
  <si>
    <t xml:space="preserve">  uplift, per cent</t>
  </si>
  <si>
    <t xml:space="preserve">Working capital absorbed over the five years</t>
  </si>
  <si>
    <t xml:space="preserve">Year-five capital expenditure</t>
  </si>
  <si>
    <t xml:space="preserve">Year-five depreciation</t>
  </si>
  <si>
    <t xml:space="preserve">  capital expenditure still above depreciation by</t>
  </si>
  <si>
    <t xml:space="preserve">Revenue growth over the plan</t>
  </si>
  <si>
    <t xml:space="preserve">Revenue added over the plan</t>
  </si>
  <si>
    <t xml:space="preserve">One point of margin on year-five revenue</t>
  </si>
  <si>
    <t xml:space="preserve">Working capital balance at which the two conventions agree, share of revenue</t>
  </si>
  <si>
    <t xml:space="preserve">One point of tax rate on year-one EBIT</t>
  </si>
  <si>
    <t xml:space="preserve">Enterprise value over year-one free cash flow</t>
  </si>
  <si>
    <t xml:space="preserve">  the cash yield on the price</t>
  </si>
  <si>
    <t xml:space="preserve">Cash conversion in year five</t>
  </si>
  <si>
    <t xml:space="preserve">Every line below revenue is held at a constant share of revenue, so the conversion ratio is the same in all five years by construction: a claim, not a finding (Chapter 5).</t>
  </si>
  <si>
    <t xml:space="preserve">What the model is actually sensitive to</t>
  </si>
  <si>
    <t xml:space="preserve">Chapter 8. Ranked by how much each input moves the answer.</t>
  </si>
  <si>
    <t xml:space="preserve">Cost of capital, growth held at the base</t>
  </si>
  <si>
    <t xml:space="preserve">Multiple</t>
  </si>
  <si>
    <t xml:space="preserve">Two hundred basis points move</t>
  </si>
  <si>
    <t xml:space="preserve">  as a share of the central value</t>
  </si>
  <si>
    <t xml:space="preserve">Growth and the cost of capital together</t>
  </si>
  <si>
    <t xml:space="preserve">growth \ WACC</t>
  </si>
  <si>
    <t xml:space="preserve">The corners of this grid are not equally plausible. A business you believe will grow faster is usually one you should discount at a higher rate, so the diagonal is where the honest cases live.</t>
  </si>
  <si>
    <t xml:space="preserve">The corners and the diagonal (Chapter 8)</t>
  </si>
  <si>
    <t xml:space="preserve">Corner to corner: 8.0% with 2.5% growth, less 10.0% with 1.5%</t>
  </si>
  <si>
    <t xml:space="preserve">  share of the base value</t>
  </si>
  <si>
    <t xml:space="preserve">The coherent diagonal: 8.0% with 1.5%, less 10.0% with 2.5%</t>
  </si>
  <si>
    <t xml:space="preserve">  as a share of the corner-to-corner span</t>
  </si>
  <si>
    <t xml:space="preserve">Higher growth belongs with a higher rate. The corners pair the two the wrong way round: arithmetic, not scenarios.</t>
  </si>
  <si>
    <t xml:space="preserve">The cost of capital, built (Chapter 6)</t>
  </si>
  <si>
    <t xml:space="preserve">Six positions, each with a basis. The rate on the Inputs sheet is the one the model uses; the check says whether this build-up reproduces it.</t>
  </si>
  <si>
    <t xml:space="preserve">Line</t>
  </si>
  <si>
    <t xml:space="preserve">Input</t>
  </si>
  <si>
    <t xml:space="preserve">Basis</t>
  </si>
  <si>
    <t xml:space="preserve">Risk-free rate</t>
  </si>
  <si>
    <t xml:space="preserve">Long-dated government yield, chosen maturity stated</t>
  </si>
  <si>
    <t xml:space="preserve">Equity risk premium</t>
  </si>
  <si>
    <t xml:space="preserve">Long-run historical estimate, source stated</t>
  </si>
  <si>
    <t xml:space="preserve">Relative risk measure</t>
  </si>
  <si>
    <t xml:space="preserve">Listed peer set, unlevered and relevered at target</t>
  </si>
  <si>
    <t xml:space="preserve">Cost of equity</t>
  </si>
  <si>
    <t xml:space="preserve">risk-free + (relative risk x premium)</t>
  </si>
  <si>
    <t xml:space="preserve">Pre-tax cost of debt</t>
  </si>
  <si>
    <t xml:space="preserve">Indicative terms for this credit and size</t>
  </si>
  <si>
    <t xml:space="preserve">After-tax cost of debt</t>
  </si>
  <si>
    <t xml:space="preserve">pre-tax x (1 - tax rate)</t>
  </si>
  <si>
    <t xml:space="preserve">Equity weight, at target gearing</t>
  </si>
  <si>
    <t xml:space="preserve">Target, not today's balance sheet</t>
  </si>
  <si>
    <t xml:space="preserve">Debt weight</t>
  </si>
  <si>
    <t xml:space="preserve">Equity contribution</t>
  </si>
  <si>
    <t xml:space="preserve">Debt contribution</t>
  </si>
  <si>
    <t xml:space="preserve">Weighted average cost of capital</t>
  </si>
  <si>
    <t xml:space="preserve">  the rate on the Inputs sheet</t>
  </si>
  <si>
    <t xml:space="preserve">One add-on, one keystroke</t>
  </si>
  <si>
    <t xml:space="preserve">Size or illiquidity adjustment tested</t>
  </si>
  <si>
    <t xml:space="preserve">Enterprise value with the add-on</t>
  </si>
  <si>
    <t xml:space="preserve">  value removed</t>
  </si>
  <si>
    <t xml:space="preserve">  share of the value</t>
  </si>
  <si>
    <t xml:space="preserve">Do not apply the same risk twice: an illiquidity add-on inside the rate and a marketability discount on the result are the same charge levied twice.</t>
  </si>
  <si>
    <t xml:space="preserve">The terminal value, which is most of the answer (Chapter 7)</t>
  </si>
  <si>
    <t xml:space="preserve">Why the denominator misbehaves, what a flattered year five costs, and the exit multiple the perpetuity implies.</t>
  </si>
  <si>
    <t xml:space="preserve">The spread: cost of capital less terminal growth</t>
  </si>
  <si>
    <t xml:space="preserve">  terminal flow capitalised at, times</t>
  </si>
  <si>
    <t xml:space="preserve">Cost of capital cut by</t>
  </si>
  <si>
    <t xml:space="preserve">  terminal value at the lower rate</t>
  </si>
  <si>
    <t xml:space="preserve">  increase, per cent</t>
  </si>
  <si>
    <t xml:space="preserve">  change in the input, per cent</t>
  </si>
  <si>
    <t xml:space="preserve">  change in the denominator, per cent</t>
  </si>
  <si>
    <t xml:space="preserve">Terminal growth raised by</t>
  </si>
  <si>
    <t xml:space="preserve">  terminal value uplift from the denominator alone</t>
  </si>
  <si>
    <t xml:space="preserve">Year-five free cash flow flattered by</t>
  </si>
  <si>
    <t xml:space="preserve">  terminal value flattered by</t>
  </si>
  <si>
    <t xml:space="preserve">  enterprise value flattered by</t>
  </si>
  <si>
    <t xml:space="preserve">The book says "seven million" and "four and a half": the enterprise value is flattered by 4.74 million.</t>
  </si>
  <si>
    <t xml:space="preserve">Year-five EBITDA</t>
  </si>
  <si>
    <t xml:space="preserve">Exit multiple the perpetuity implies, on year-five EBITDA</t>
  </si>
  <si>
    <t xml:space="preserve">Build the terminal value on the perpetuity, then report the exit multiple it implies. The comparison then runs from an internally derived value to an externally observed one.</t>
  </si>
  <si>
    <t xml:space="preserve">The mid-year convention: the range it covers</t>
  </si>
  <si>
    <t xml:space="preserve">Forecast years only, half a year earlier</t>
  </si>
  <si>
    <t xml:space="preserve">  share of the enterprise value</t>
  </si>
  <si>
    <t xml:space="preserve">Forecast years and the terminal value, half a year earlier</t>
  </si>
  <si>
    <t xml:space="preserve">The book's "in the order of two and a half per cent", with a partial shift of the terminal value, lies between these two bounds.</t>
  </si>
  <si>
    <t xml:space="preserve">What the model is actually sensitive to, ranked (Chapter 8)</t>
  </si>
  <si>
    <t xml:space="preserve">Each input moved by the amount in column B, everything else at base. Revised: the first edition printed the margin, capital expenditure, working capital and tax rows from a shortcut; these are the full model.</t>
  </si>
  <si>
    <t xml:space="preserve">Move tested</t>
  </si>
  <si>
    <t xml:space="preserve">Value, input down</t>
  </si>
  <si>
    <t xml:space="preserve">Value, input up</t>
  </si>
  <si>
    <t xml:space="preserve">Span</t>
  </si>
  <si>
    <t xml:space="preserve">Per cent of base</t>
  </si>
  <si>
    <t xml:space="preserve">Rank</t>
  </si>
  <si>
    <t xml:space="preserve">The book printed</t>
  </si>
  <si>
    <t xml:space="preserve">Note</t>
  </si>
  <si>
    <t xml:space="preserve">revised: the book took 360,000 after tax on base-year revenue against year-one flow; it is 381,600 on year-one revenue, 8.18 per cent of every flow</t>
  </si>
  <si>
    <t xml:space="preserve">Capital expenditure, a year</t>
  </si>
  <si>
    <t xml:space="preserve">revised: a flat 100,000 is 2.14 per cent of year one but a falling share of later, larger flows</t>
  </si>
  <si>
    <t xml:space="preserve">Working capital build, a year</t>
  </si>
  <si>
    <t xml:space="preserve">revised: same as capital expenditure</t>
  </si>
  <si>
    <t xml:space="preserve">Tax rate</t>
  </si>
  <si>
    <t xml:space="preserve">revised: one point on year-one EBIT is 72,080 (Chapter 5), not 68,000 on base-year EBIT</t>
  </si>
  <si>
    <t xml:space="preserve">Base case, through the same engine</t>
  </si>
  <si>
    <t xml:space="preserve">  agrees with The Model to</t>
  </si>
  <si>
    <t xml:space="preserve">The margin row, one year at a time</t>
  </si>
  <si>
    <t xml:space="preserve">One point of margin on year-one revenue, after tax</t>
  </si>
  <si>
    <t xml:space="preserve">  share of year-one free cash flow</t>
  </si>
  <si>
    <t xml:space="preserve">  value each way</t>
  </si>
  <si>
    <t xml:space="preserve">The book's shortcut: 360,000 on 4,664,000, applied to the whole value</t>
  </si>
  <si>
    <t xml:space="preserve">The order does not change: the cost of capital, then the margin, then terminal growth, then capital expenditure and working capital together, then tax. The spans do.</t>
  </si>
  <si>
    <t xml:space="preserve">Checks against the printed book</t>
  </si>
  <si>
    <t xml:space="preserve">Every line reproduces a figure printed in Chapters 4 to 8.</t>
  </si>
  <si>
    <t xml:space="preserve">Ch.</t>
  </si>
  <si>
    <t xml:space="preserve">Figure as printed in the book</t>
  </si>
  <si>
    <t xml:space="preserve">Printed</t>
  </si>
  <si>
    <t xml:space="preserve">Workbook</t>
  </si>
  <si>
    <t xml:space="preserve">Difference</t>
  </si>
  <si>
    <t xml:space="preserve">Result</t>
  </si>
  <si>
    <t xml:space="preserve">5</t>
  </si>
  <si>
    <t xml:space="preserve">Year one revenue</t>
  </si>
  <si>
    <t xml:space="preserve">Year one EBITDA</t>
  </si>
  <si>
    <t xml:space="preserve">Year one free cash flow</t>
  </si>
  <si>
    <t xml:space="preserve">7</t>
  </si>
  <si>
    <t xml:space="preserve">  as a share of the answer</t>
  </si>
  <si>
    <t xml:space="preserve">8</t>
  </si>
  <si>
    <t xml:space="preserve">Value at an 8.0 per cent cost of capital</t>
  </si>
  <si>
    <t xml:space="preserve">Value at a 10.0 per cent cost of capital</t>
  </si>
  <si>
    <t xml:space="preserve">Two hundred basis points move the value</t>
  </si>
  <si>
    <t xml:space="preserve">Tax on EBITDA, the error</t>
  </si>
  <si>
    <t xml:space="preserve">Capex above depreciation, year one</t>
  </si>
  <si>
    <t xml:space="preserve">  as a share of depreciation</t>
  </si>
  <si>
    <t xml:space="preserve">Free cash flow with capex = depreciation</t>
  </si>
  <si>
    <t xml:space="preserve">  uplift</t>
  </si>
  <si>
    <t xml:space="preserve">Working capital over five years</t>
  </si>
  <si>
    <t xml:space="preserve">Year-five capex</t>
  </si>
  <si>
    <t xml:space="preserve">  the gap</t>
  </si>
  <si>
    <t xml:space="preserve">Revenue added</t>
  </si>
  <si>
    <t xml:space="preserve">Working capital balance that reconciles the conventions</t>
  </si>
  <si>
    <t xml:space="preserve">One point of tax on year-one EBIT</t>
  </si>
  <si>
    <t xml:space="preserve">EV over year-one free cash flow</t>
  </si>
  <si>
    <t xml:space="preserve">revised: the book prints 15.67x; 73,060,585 / 4,664,000 = 15.66</t>
  </si>
  <si>
    <t xml:space="preserve">  cash yield</t>
  </si>
  <si>
    <t xml:space="preserve">Conversion is the same in year five as in year one (any inputs)</t>
  </si>
  <si>
    <t xml:space="preserve">identity</t>
  </si>
  <si>
    <t xml:space="preserve">The build-up reproduces the rate on the Inputs sheet</t>
  </si>
  <si>
    <t xml:space="preserve">fails if you change one and not the other</t>
  </si>
  <si>
    <t xml:space="preserve">A 100 basis point add-on removes</t>
  </si>
  <si>
    <t xml:space="preserve">Value at 8.5 per cent</t>
  </si>
  <si>
    <t xml:space="preserve">Value at 9.5 per cent</t>
  </si>
  <si>
    <t xml:space="preserve">Moving from 9.0 to 8.0 per cent adds</t>
  </si>
  <si>
    <t xml:space="preserve">Terminal value at a one point lower rate</t>
  </si>
  <si>
    <t xml:space="preserve">the book divides the rounded 5,727,302; unrounded, 95,455,037</t>
  </si>
  <si>
    <t xml:space="preserve">  increase</t>
  </si>
  <si>
    <t xml:space="preserve">Denominator effect of +50 bp growth</t>
  </si>
  <si>
    <t xml:space="preserve">Year five flattered by 500,000: enterprise value</t>
  </si>
  <si>
    <t xml:space="preserve">the book says "four and a half" million</t>
  </si>
  <si>
    <t xml:space="preserve">Ranking: cost of capital, 200 bp span</t>
  </si>
  <si>
    <t xml:space="preserve">Ranking: margin, 100 bp each way</t>
  </si>
  <si>
    <t xml:space="preserve">revised: the book prints 11,278,000 (15.4 per cent); it is 16.4</t>
  </si>
  <si>
    <t xml:space="preserve">Ranking: terminal growth, 50 bp each way</t>
  </si>
  <si>
    <t xml:space="preserve">the book prints 8,160,000</t>
  </si>
  <si>
    <t xml:space="preserve">Ranking: capital expenditure, 100,000 a year each way</t>
  </si>
  <si>
    <t xml:space="preserve">revised: the book prints 3,133,000 (4.3 per cent); it is 3.7</t>
  </si>
  <si>
    <t xml:space="preserve">Ranking: working capital, 100,000 a year each way</t>
  </si>
  <si>
    <t xml:space="preserve">revised: the book prints 3,133,000</t>
  </si>
  <si>
    <t xml:space="preserve">Ranking: tax rate, 100 bp each way</t>
  </si>
  <si>
    <t xml:space="preserve">revised: the book prints 2,130,000 (2.9 per cent); it is 3.1</t>
  </si>
  <si>
    <t xml:space="preserve">The ranking order is the book's: 1 to 6, capex and working capital tied</t>
  </si>
  <si>
    <t xml:space="preserve">The ranking engine returns the model's value at base (any inputs)</t>
  </si>
  <si>
    <t xml:space="preserve">Grid: 8.0% and 1.5%, to the nearest thousand</t>
  </si>
  <si>
    <t xml:space="preserve">Grid: 8.0% and 2.5%</t>
  </si>
  <si>
    <t xml:space="preserve">Grid: 9.0% and 1.5%</t>
  </si>
  <si>
    <t xml:space="preserve">Grid: 9.0% and 2.5%</t>
  </si>
  <si>
    <t xml:space="preserve">Grid: 10.0% and 1.5%</t>
  </si>
  <si>
    <t xml:space="preserve">Grid: 10.0% and 2.5%</t>
  </si>
  <si>
    <t xml:space="preserve">Corner to corner</t>
  </si>
  <si>
    <t xml:space="preserve">The diagonal</t>
  </si>
  <si>
    <t xml:space="preserve">Checks passing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</si>
</sst>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;\-#,##0"/>
    <numFmt numFmtId="166" formatCode="0.00%;\-0.00%"/>
    <numFmt numFmtId="167" formatCode="0.0%;\-0.0%"/>
    <numFmt numFmtId="168" formatCode="#,##0"/>
    <numFmt numFmtId="169" formatCode="0.0000"/>
    <numFmt numFmtId="170" formatCode="0.00\x"/>
    <numFmt numFmtId="171" formatCode="#,##0.00;\-#,##0.00"/>
    <numFmt numFmtId="172" formatCode="0.0%"/>
    <numFmt numFmtId="173" formatCode="0.00"/>
    <numFmt numFmtId="174" formatCode="0"/>
    <numFmt numFmtId="175" formatCode="0.0000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sz val="9"/>
      <color rgb="FF5A6A70"/>
      <name val="Calibri"/>
      <family val="0"/>
      <charset val="1"/>
    </font>
    <font>
      <b val="true"/>
      <sz val="11"/>
      <color rgb="FF1E7A3C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  <border diagonalUp="false" diagonalDown="false">
      <left style="thin">
        <color rgb="FFBFC8D0"/>
      </left>
      <right style="thin">
        <color rgb="FFBFC8D0"/>
      </right>
      <top style="thin">
        <color rgb="FFBFC8D0"/>
      </top>
      <bottom style="thin">
        <color rgb="FFBFC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BFC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30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30" hidden="false" customHeight="true" outlineLevel="0" collapsed="false">
      <c r="A11" s="5" t="s">
        <v>5</v>
      </c>
    </row>
    <row r="13" customFormat="false" ht="15" hidden="false" customHeight="false" outlineLevel="0" collapsed="false">
      <c r="A13" s="4" t="s">
        <v>6</v>
      </c>
    </row>
    <row r="15" customFormat="false" ht="15" hidden="false" customHeight="true" outlineLevel="0" collapsed="false">
      <c r="A15" s="5" t="s">
        <v>7</v>
      </c>
    </row>
    <row r="17" customFormat="false" ht="105" hidden="false" customHeight="true" outlineLevel="0" collapsed="false">
      <c r="A17" s="5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46"/>
  </cols>
  <sheetData>
    <row r="1" customFormat="false" ht="24" hidden="false" customHeight="true" outlineLevel="0" collapsed="false">
      <c r="A1" s="1" t="s">
        <v>9</v>
      </c>
    </row>
    <row r="2" customFormat="false" ht="15" hidden="false" customHeight="false" outlineLevel="0" collapsed="false">
      <c r="A2" s="2" t="s">
        <v>10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15" hidden="false" customHeight="false" outlineLevel="0" collapsed="false">
      <c r="A5" s="4" t="s">
        <v>11</v>
      </c>
      <c r="B5" s="6"/>
      <c r="C5" s="6"/>
      <c r="D5" s="6"/>
      <c r="E5" s="6"/>
    </row>
    <row r="7" customFormat="false" ht="15" hidden="false" customHeight="false" outlineLevel="0" collapsed="false">
      <c r="A7" s="7" t="s">
        <v>12</v>
      </c>
      <c r="B7" s="8" t="n">
        <v>48000000</v>
      </c>
    </row>
    <row r="8" customFormat="false" ht="15" hidden="false" customHeight="false" outlineLevel="0" collapsed="false">
      <c r="A8" s="7" t="s">
        <v>13</v>
      </c>
      <c r="B8" s="9" t="n">
        <v>0.175</v>
      </c>
    </row>
    <row r="9" customFormat="false" ht="15" hidden="false" customHeight="false" outlineLevel="0" collapsed="false">
      <c r="A9" s="7" t="s">
        <v>14</v>
      </c>
      <c r="B9" s="8" t="n">
        <v>1600000</v>
      </c>
    </row>
    <row r="10" customFormat="false" ht="15" hidden="false" customHeight="false" outlineLevel="0" collapsed="false">
      <c r="A10" s="7" t="s">
        <v>15</v>
      </c>
      <c r="B10" s="10" t="n">
        <v>0.25</v>
      </c>
    </row>
    <row r="11" customFormat="false" ht="15" hidden="false" customHeight="false" outlineLevel="0" collapsed="false">
      <c r="A11" s="7" t="s">
        <v>16</v>
      </c>
      <c r="B11" s="8" t="n">
        <v>1900000</v>
      </c>
    </row>
    <row r="12" customFormat="false" ht="15" hidden="false" customHeight="false" outlineLevel="0" collapsed="false">
      <c r="A12" s="7" t="s">
        <v>17</v>
      </c>
      <c r="B12" s="8" t="n">
        <v>400000</v>
      </c>
    </row>
    <row r="13" customFormat="false" ht="15" hidden="false" customHeight="false" outlineLevel="0" collapsed="false">
      <c r="A13" s="7" t="s">
        <v>18</v>
      </c>
      <c r="B13" s="8" t="n">
        <v>11200000</v>
      </c>
    </row>
    <row r="14" customFormat="false" ht="15" hidden="false" customHeight="false" outlineLevel="0" collapsed="false">
      <c r="A14" s="7" t="s">
        <v>19</v>
      </c>
      <c r="B14" s="11" t="n">
        <v>4000000</v>
      </c>
    </row>
    <row r="15" customFormat="false" ht="15" hidden="false" customHeight="false" outlineLevel="0" collapsed="false">
      <c r="A15" s="12" t="s">
        <v>20</v>
      </c>
      <c r="B15" s="13" t="n">
        <f aca="false">REV0*MARGIN</f>
        <v>8400000</v>
      </c>
    </row>
    <row r="17" customFormat="false" ht="15" hidden="false" customHeight="false" outlineLevel="0" collapsed="false">
      <c r="A17" s="4" t="s">
        <v>21</v>
      </c>
      <c r="B17" s="6"/>
      <c r="C17" s="6"/>
      <c r="D17" s="6"/>
      <c r="E17" s="6"/>
    </row>
    <row r="19" customFormat="false" ht="15" hidden="false" customHeight="false" outlineLevel="0" collapsed="false">
      <c r="A19" s="7" t="s">
        <v>22</v>
      </c>
      <c r="B19" s="10" t="n">
        <v>0.09</v>
      </c>
    </row>
    <row r="20" customFormat="false" ht="15" hidden="false" customHeight="false" outlineLevel="0" collapsed="false">
      <c r="A20" s="7" t="s">
        <v>23</v>
      </c>
      <c r="B20" s="10" t="n">
        <v>0.02</v>
      </c>
    </row>
    <row r="21" customFormat="false" ht="30" hidden="false" customHeight="true" outlineLevel="0" collapsed="false">
      <c r="A21" s="14" t="s">
        <v>24</v>
      </c>
      <c r="B21" s="15" t="s">
        <v>25</v>
      </c>
      <c r="C21" s="15"/>
      <c r="D21" s="15"/>
      <c r="E21" s="15"/>
    </row>
    <row r="22" customFormat="false" ht="15" hidden="false" customHeight="false" outlineLevel="0" collapsed="false">
      <c r="A22" s="7" t="s">
        <v>26</v>
      </c>
      <c r="B22" s="10" t="n">
        <v>0.06</v>
      </c>
    </row>
    <row r="23" customFormat="false" ht="15" hidden="false" customHeight="false" outlineLevel="0" collapsed="false">
      <c r="A23" s="7" t="s">
        <v>27</v>
      </c>
      <c r="B23" s="10" t="n">
        <v>0.055</v>
      </c>
    </row>
    <row r="24" customFormat="false" ht="15" hidden="false" customHeight="false" outlineLevel="0" collapsed="false">
      <c r="A24" s="7" t="s">
        <v>28</v>
      </c>
      <c r="B24" s="10" t="n">
        <v>0.05</v>
      </c>
    </row>
    <row r="25" customFormat="false" ht="15" hidden="false" customHeight="false" outlineLevel="0" collapsed="false">
      <c r="A25" s="7" t="s">
        <v>29</v>
      </c>
      <c r="B25" s="10" t="n">
        <v>0.045</v>
      </c>
    </row>
    <row r="26" customFormat="false" ht="15" hidden="false" customHeight="false" outlineLevel="0" collapsed="false">
      <c r="A26" s="7" t="s">
        <v>30</v>
      </c>
      <c r="B26" s="10" t="n">
        <v>0.04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6" min="3" style="0" width="14"/>
    <col collapsed="false" customWidth="true" hidden="false" outlineLevel="0" max="7" min="7" style="0" width="4"/>
    <col collapsed="false" customWidth="true" hidden="false" outlineLevel="0" max="8" min="8" style="0" width="46"/>
  </cols>
  <sheetData>
    <row r="1" customFormat="false" ht="24" hidden="false" customHeight="tru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33</v>
      </c>
      <c r="B5" s="6"/>
      <c r="C5" s="6"/>
      <c r="D5" s="6"/>
      <c r="E5" s="6"/>
      <c r="F5" s="6"/>
    </row>
    <row r="7" customFormat="false" ht="30" hidden="false" customHeight="true" outlineLevel="0" collapsed="false">
      <c r="A7" s="14" t="s">
        <v>24</v>
      </c>
      <c r="B7" s="15" t="s">
        <v>12</v>
      </c>
      <c r="C7" s="15" t="s">
        <v>20</v>
      </c>
      <c r="D7" s="15" t="s">
        <v>34</v>
      </c>
      <c r="E7" s="15" t="s">
        <v>35</v>
      </c>
      <c r="F7" s="15" t="s">
        <v>36</v>
      </c>
    </row>
    <row r="8" customFormat="false" ht="15" hidden="false" customHeight="false" outlineLevel="0" collapsed="false">
      <c r="A8" s="7" t="s">
        <v>26</v>
      </c>
      <c r="B8" s="16" t="n">
        <f aca="false">REV0*(1+INDEX(GR,1))</f>
        <v>50880000</v>
      </c>
      <c r="C8" s="16" t="n">
        <f aca="false">B8*MARGIN</f>
        <v>8904000</v>
      </c>
      <c r="D8" s="16" t="n">
        <f aca="false">(C8-B8*DA0/REV0)*(1-TAXR)+B8*DA0/REV0-B8*CAPEX0/REV0-B8*DWC0/REV0</f>
        <v>4664000</v>
      </c>
      <c r="E8" s="17" t="n">
        <f aca="false">1/(1+WACC)^1</f>
        <v>0.91743119266055</v>
      </c>
      <c r="F8" s="16" t="n">
        <f aca="false">D8*E8</f>
        <v>4278899.08256881</v>
      </c>
    </row>
    <row r="9" customFormat="false" ht="15" hidden="false" customHeight="false" outlineLevel="0" collapsed="false">
      <c r="A9" s="18" t="s">
        <v>27</v>
      </c>
      <c r="B9" s="19" t="n">
        <f aca="false">B8*(1+INDEX(GR,2))</f>
        <v>53678400</v>
      </c>
      <c r="C9" s="19" t="n">
        <f aca="false">B9*MARGIN</f>
        <v>9393720</v>
      </c>
      <c r="D9" s="19" t="n">
        <f aca="false">(C9-B9*DA0/REV0)*(1-TAXR)+B9*DA0/REV0-B9*CAPEX0/REV0-B9*DWC0/REV0</f>
        <v>4920520</v>
      </c>
      <c r="E9" s="20" t="n">
        <f aca="false">1/(1+WACC)^2</f>
        <v>0.84167999326656</v>
      </c>
      <c r="F9" s="19" t="n">
        <f aca="false">D9*E9</f>
        <v>4141503.24046797</v>
      </c>
    </row>
    <row r="10" customFormat="false" ht="15" hidden="false" customHeight="false" outlineLevel="0" collapsed="false">
      <c r="A10" s="7" t="s">
        <v>28</v>
      </c>
      <c r="B10" s="16" t="n">
        <f aca="false">B9*(1+INDEX(GR,3))</f>
        <v>56362320</v>
      </c>
      <c r="C10" s="16" t="n">
        <f aca="false">B10*MARGIN</f>
        <v>9863406</v>
      </c>
      <c r="D10" s="16" t="n">
        <f aca="false">(C10-B10*DA0/REV0)*(1-TAXR)+B10*DA0/REV0-B10*CAPEX0/REV0-B10*DWC0/REV0</f>
        <v>5166546</v>
      </c>
      <c r="E10" s="17" t="n">
        <f aca="false">1/(1+WACC)^3</f>
        <v>0.772183480061064</v>
      </c>
      <c r="F10" s="16" t="n">
        <f aca="false">D10*E10</f>
        <v>3989521.47017557</v>
      </c>
    </row>
    <row r="11" customFormat="false" ht="15" hidden="false" customHeight="false" outlineLevel="0" collapsed="false">
      <c r="A11" s="18" t="s">
        <v>29</v>
      </c>
      <c r="B11" s="19" t="n">
        <f aca="false">B10*(1+INDEX(GR,4))</f>
        <v>58898624.4</v>
      </c>
      <c r="C11" s="19" t="n">
        <f aca="false">B11*MARGIN</f>
        <v>10307259.27</v>
      </c>
      <c r="D11" s="19" t="n">
        <f aca="false">(C11-B11*DA0/REV0)*(1-TAXR)+B11*DA0/REV0-B11*CAPEX0/REV0-B11*DWC0/REV0</f>
        <v>5399040.57</v>
      </c>
      <c r="E11" s="20" t="n">
        <f aca="false">1/(1+WACC)^4</f>
        <v>0.708425211065196</v>
      </c>
      <c r="F11" s="19" t="n">
        <f aca="false">D11*E11</f>
        <v>3824816.45535181</v>
      </c>
    </row>
    <row r="12" customFormat="false" ht="15" hidden="false" customHeight="false" outlineLevel="0" collapsed="false">
      <c r="A12" s="7" t="s">
        <v>30</v>
      </c>
      <c r="B12" s="16" t="n">
        <f aca="false">B11*(1+INDEX(GR,5))</f>
        <v>61254569.376</v>
      </c>
      <c r="C12" s="16" t="n">
        <f aca="false">B12*MARGIN</f>
        <v>10719549.6408</v>
      </c>
      <c r="D12" s="16" t="n">
        <f aca="false">(C12-B12*DA0/REV0)*(1-TAXR)+B12*DA0/REV0-B12*CAPEX0/REV0-B12*DWC0/REV0</f>
        <v>5615002.1928</v>
      </c>
      <c r="E12" s="17" t="n">
        <f aca="false">1/(1+WACC)^5</f>
        <v>0.649931386298345</v>
      </c>
      <c r="F12" s="16" t="n">
        <f aca="false">D12*E12</f>
        <v>3649366.15923475</v>
      </c>
    </row>
    <row r="13" customFormat="false" ht="15" hidden="false" customHeight="false" outlineLevel="0" collapsed="false">
      <c r="A13" s="12" t="s">
        <v>37</v>
      </c>
      <c r="F13" s="13" t="n">
        <f aca="false">SUM(F8:F12)</f>
        <v>19884106.4077989</v>
      </c>
    </row>
    <row r="15" customFormat="false" ht="15" hidden="false" customHeight="false" outlineLevel="0" collapsed="false">
      <c r="A15" s="4" t="s">
        <v>38</v>
      </c>
      <c r="B15" s="6"/>
      <c r="C15" s="6"/>
      <c r="D15" s="6"/>
      <c r="E15" s="6"/>
      <c r="F15" s="6"/>
    </row>
    <row r="17" customFormat="false" ht="15" hidden="false" customHeight="false" outlineLevel="0" collapsed="false">
      <c r="A17" s="7" t="s">
        <v>39</v>
      </c>
      <c r="B17" s="16" t="n">
        <f aca="false">FCF5</f>
        <v>5615002.1928</v>
      </c>
    </row>
    <row r="18" customFormat="false" ht="15" hidden="false" customHeight="false" outlineLevel="0" collapsed="false">
      <c r="A18" s="12" t="s">
        <v>40</v>
      </c>
      <c r="B18" s="13" t="n">
        <f aca="false">FCF5*(1+GTERM)/(WACC-GTERM)</f>
        <v>81818603.3808</v>
      </c>
    </row>
    <row r="19" customFormat="false" ht="15" hidden="false" customHeight="false" outlineLevel="0" collapsed="false">
      <c r="A19" s="12" t="s">
        <v>41</v>
      </c>
      <c r="B19" s="13" t="n">
        <f aca="false">B18/(1+WACC)^5</f>
        <v>53176478.3202778</v>
      </c>
    </row>
    <row r="20" customFormat="false" ht="15" hidden="false" customHeight="false" outlineLevel="0" collapsed="false">
      <c r="A20" s="12" t="s">
        <v>42</v>
      </c>
      <c r="B20" s="13" t="n">
        <f aca="false">PVFLOWS+B19</f>
        <v>73060584.7280767</v>
      </c>
    </row>
    <row r="21" customFormat="false" ht="15" hidden="false" customHeight="false" outlineLevel="0" collapsed="false">
      <c r="A21" s="12" t="s">
        <v>43</v>
      </c>
      <c r="B21" s="21" t="n">
        <f aca="false">B19/B20</f>
        <v>0.727840853152143</v>
      </c>
    </row>
    <row r="22" customFormat="false" ht="15" hidden="false" customHeight="false" outlineLevel="0" collapsed="false">
      <c r="A22" s="7" t="s">
        <v>44</v>
      </c>
      <c r="B22" s="22" t="n">
        <f aca="false">EVDCF/EBITDA0</f>
        <v>8.69768865810437</v>
      </c>
    </row>
    <row r="23" customFormat="false" ht="15" hidden="false" customHeight="false" outlineLevel="0" collapsed="false">
      <c r="A23" s="7" t="s">
        <v>45</v>
      </c>
      <c r="B23" s="16" t="n">
        <f aca="false">EVDCF-NETDEBT</f>
        <v>61860584.7280767</v>
      </c>
    </row>
    <row r="24" customFormat="false" ht="15" hidden="false" customHeight="false" outlineLevel="0" collapsed="false">
      <c r="A24" s="7" t="s">
        <v>46</v>
      </c>
      <c r="B24" s="23" t="n">
        <f aca="false">B23/SHARES</f>
        <v>15.4651461820192</v>
      </c>
    </row>
    <row r="26" customFormat="false" ht="15" hidden="false" customHeight="false" outlineLevel="0" collapsed="false">
      <c r="A26" s="4" t="s">
        <v>47</v>
      </c>
      <c r="B26" s="6"/>
      <c r="C26" s="6"/>
      <c r="D26" s="6"/>
      <c r="E26" s="6"/>
      <c r="F26" s="6"/>
    </row>
    <row r="28" customFormat="false" ht="15" hidden="false" customHeight="false" outlineLevel="0" collapsed="false">
      <c r="A28" s="7" t="s">
        <v>12</v>
      </c>
      <c r="B28" s="16" t="n">
        <f aca="false">B8</f>
        <v>50880000</v>
      </c>
    </row>
    <row r="29" customFormat="false" ht="15" hidden="false" customHeight="false" outlineLevel="0" collapsed="false">
      <c r="A29" s="7" t="s">
        <v>20</v>
      </c>
      <c r="B29" s="16" t="n">
        <f aca="false">C8</f>
        <v>8904000</v>
      </c>
    </row>
    <row r="30" customFormat="false" ht="15" hidden="false" customHeight="false" outlineLevel="0" collapsed="false">
      <c r="A30" s="7" t="s">
        <v>14</v>
      </c>
      <c r="B30" s="16" t="n">
        <f aca="false">B8*DA0/REV0</f>
        <v>1696000</v>
      </c>
    </row>
    <row r="31" customFormat="false" ht="15" hidden="false" customHeight="false" outlineLevel="0" collapsed="false">
      <c r="A31" s="7" t="s">
        <v>48</v>
      </c>
      <c r="B31" s="16" t="n">
        <f aca="false">C8-B8*DA0/REV0</f>
        <v>7208000</v>
      </c>
    </row>
    <row r="32" customFormat="false" ht="15" hidden="false" customHeight="false" outlineLevel="0" collapsed="false">
      <c r="A32" s="7" t="s">
        <v>49</v>
      </c>
      <c r="B32" s="16" t="n">
        <f aca="false">-(C8-B8*DA0/REV0)*TAXR</f>
        <v>-1802000</v>
      </c>
    </row>
    <row r="33" customFormat="false" ht="15" hidden="false" customHeight="false" outlineLevel="0" collapsed="false">
      <c r="A33" s="7" t="s">
        <v>50</v>
      </c>
      <c r="B33" s="16" t="n">
        <f aca="false">(C8-B8*DA0/REV0)*(1-TAXR)</f>
        <v>5406000</v>
      </c>
    </row>
    <row r="34" customFormat="false" ht="15" hidden="false" customHeight="false" outlineLevel="0" collapsed="false">
      <c r="A34" s="7" t="s">
        <v>51</v>
      </c>
      <c r="B34" s="16" t="n">
        <f aca="false">B8*DA0/REV0</f>
        <v>1696000</v>
      </c>
    </row>
    <row r="35" customFormat="false" ht="15" hidden="false" customHeight="false" outlineLevel="0" collapsed="false">
      <c r="A35" s="7" t="s">
        <v>16</v>
      </c>
      <c r="B35" s="16" t="n">
        <f aca="false">-B8*CAPEX0/REV0</f>
        <v>-2014000</v>
      </c>
    </row>
    <row r="36" customFormat="false" ht="15" hidden="false" customHeight="false" outlineLevel="0" collapsed="false">
      <c r="A36" s="7" t="s">
        <v>17</v>
      </c>
      <c r="B36" s="16" t="n">
        <f aca="false">-B8*DWC0/REV0</f>
        <v>-424000</v>
      </c>
    </row>
    <row r="37" customFormat="false" ht="15" hidden="false" customHeight="false" outlineLevel="0" collapsed="false">
      <c r="A37" s="12" t="s">
        <v>34</v>
      </c>
      <c r="B37" s="13" t="n">
        <f aca="false">D8</f>
        <v>4664000</v>
      </c>
    </row>
    <row r="39" customFormat="false" ht="15" hidden="false" customHeight="false" outlineLevel="0" collapsed="false">
      <c r="A39" s="7" t="s">
        <v>52</v>
      </c>
      <c r="B39" s="24" t="n">
        <f aca="false">D8/C8</f>
        <v>0.523809523809524</v>
      </c>
    </row>
    <row r="40" customFormat="false" ht="15" hidden="false" customHeight="false" outlineLevel="0" collapsed="false">
      <c r="A40" s="25" t="s">
        <v>53</v>
      </c>
    </row>
    <row r="42" customFormat="false" ht="15" hidden="false" customHeight="false" outlineLevel="0" collapsed="false">
      <c r="A42" s="26" t="s">
        <v>54</v>
      </c>
    </row>
    <row r="44" customFormat="false" ht="15" hidden="false" customHeight="false" outlineLevel="0" collapsed="false">
      <c r="A44" s="7" t="s">
        <v>55</v>
      </c>
      <c r="B44" s="16" t="n">
        <f aca="false">C8*TAXR</f>
        <v>2226000</v>
      </c>
    </row>
    <row r="45" customFormat="false" ht="15" hidden="false" customHeight="false" outlineLevel="0" collapsed="false">
      <c r="A45" s="7" t="s">
        <v>56</v>
      </c>
      <c r="B45" s="16" t="n">
        <f aca="false">B30*TAXR</f>
        <v>424000</v>
      </c>
    </row>
    <row r="46" customFormat="false" ht="15" hidden="false" customHeight="false" outlineLevel="0" collapsed="false">
      <c r="A46" s="7" t="s">
        <v>57</v>
      </c>
      <c r="B46" s="16" t="n">
        <f aca="false">-B35-B34</f>
        <v>318000</v>
      </c>
    </row>
    <row r="47" customFormat="false" ht="15" hidden="false" customHeight="false" outlineLevel="0" collapsed="false">
      <c r="A47" s="7" t="s">
        <v>58</v>
      </c>
      <c r="B47" s="24" t="n">
        <f aca="false">B46/B34</f>
        <v>0.1875</v>
      </c>
    </row>
    <row r="48" customFormat="false" ht="15" hidden="false" customHeight="false" outlineLevel="0" collapsed="false">
      <c r="A48" s="7" t="s">
        <v>59</v>
      </c>
      <c r="B48" s="16" t="n">
        <f aca="false">B37+B46</f>
        <v>4982000</v>
      </c>
    </row>
    <row r="49" customFormat="false" ht="15" hidden="false" customHeight="false" outlineLevel="0" collapsed="false">
      <c r="A49" s="7" t="s">
        <v>60</v>
      </c>
      <c r="B49" s="24" t="n">
        <f aca="false">B48/B37-1</f>
        <v>0.0681818181818181</v>
      </c>
    </row>
    <row r="50" customFormat="false" ht="15" hidden="false" customHeight="false" outlineLevel="0" collapsed="false">
      <c r="A50" s="7" t="s">
        <v>61</v>
      </c>
      <c r="B50" s="16" t="n">
        <f aca="false">SUM(B8:B12)*DWC0/REV0</f>
        <v>2342282.6148</v>
      </c>
    </row>
    <row r="51" customFormat="false" ht="15" hidden="false" customHeight="false" outlineLevel="0" collapsed="false">
      <c r="A51" s="7" t="s">
        <v>62</v>
      </c>
      <c r="B51" s="16" t="n">
        <f aca="false">B12*CAPEX0/REV0</f>
        <v>2424660.0378</v>
      </c>
    </row>
    <row r="52" customFormat="false" ht="15" hidden="false" customHeight="false" outlineLevel="0" collapsed="false">
      <c r="A52" s="7" t="s">
        <v>63</v>
      </c>
      <c r="B52" s="16" t="n">
        <f aca="false">B12*DA0/REV0</f>
        <v>2041818.9792</v>
      </c>
    </row>
    <row r="53" customFormat="false" ht="15" hidden="false" customHeight="false" outlineLevel="0" collapsed="false">
      <c r="A53" s="7" t="s">
        <v>64</v>
      </c>
      <c r="B53" s="16" t="n">
        <f aca="false">B51-B52</f>
        <v>382841.0586</v>
      </c>
    </row>
    <row r="54" customFormat="false" ht="15" hidden="false" customHeight="false" outlineLevel="0" collapsed="false">
      <c r="A54" s="7" t="s">
        <v>65</v>
      </c>
      <c r="B54" s="27" t="n">
        <f aca="false">B12/REV0-1</f>
        <v>0.276136862</v>
      </c>
    </row>
    <row r="55" customFormat="false" ht="15" hidden="false" customHeight="false" outlineLevel="0" collapsed="false">
      <c r="A55" s="7" t="s">
        <v>66</v>
      </c>
      <c r="B55" s="16" t="n">
        <f aca="false">B12-REV0</f>
        <v>13254569.376</v>
      </c>
    </row>
    <row r="56" customFormat="false" ht="15" hidden="false" customHeight="false" outlineLevel="0" collapsed="false">
      <c r="A56" s="7" t="s">
        <v>67</v>
      </c>
      <c r="B56" s="16" t="n">
        <f aca="false">B12*0.01</f>
        <v>612545.69376</v>
      </c>
    </row>
    <row r="57" customFormat="false" ht="15" hidden="false" customHeight="false" outlineLevel="0" collapsed="false">
      <c r="A57" s="7" t="s">
        <v>68</v>
      </c>
      <c r="B57" s="24" t="n">
        <f aca="false">-B36/(B8-REV0)</f>
        <v>0.147222222222222</v>
      </c>
    </row>
    <row r="58" customFormat="false" ht="15" hidden="false" customHeight="false" outlineLevel="0" collapsed="false">
      <c r="A58" s="7" t="s">
        <v>69</v>
      </c>
      <c r="B58" s="16" t="n">
        <f aca="false">B31*0.01</f>
        <v>72080</v>
      </c>
    </row>
    <row r="59" customFormat="false" ht="15" hidden="false" customHeight="false" outlineLevel="0" collapsed="false">
      <c r="A59" s="7" t="s">
        <v>70</v>
      </c>
      <c r="B59" s="22" t="n">
        <f aca="false">EVDCF/D8</f>
        <v>15.66479089367</v>
      </c>
    </row>
    <row r="60" customFormat="false" ht="15" hidden="false" customHeight="false" outlineLevel="0" collapsed="false">
      <c r="A60" s="7" t="s">
        <v>71</v>
      </c>
      <c r="B60" s="24" t="n">
        <f aca="false">D8/EVDCF</f>
        <v>0.0638374305018073</v>
      </c>
    </row>
    <row r="61" customFormat="false" ht="15" hidden="false" customHeight="false" outlineLevel="0" collapsed="false">
      <c r="A61" s="7" t="s">
        <v>72</v>
      </c>
      <c r="B61" s="24" t="n">
        <f aca="false">D12/C12</f>
        <v>0.523809523809524</v>
      </c>
    </row>
    <row r="63" customFormat="false" ht="15" hidden="false" customHeight="false" outlineLevel="0" collapsed="false">
      <c r="A63" s="28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5"/>
    <col collapsed="false" customWidth="true" hidden="false" outlineLevel="0" max="7" min="7" style="0" width="4"/>
    <col collapsed="false" customWidth="true" hidden="false" outlineLevel="0" max="8" min="8" style="0" width="44"/>
  </cols>
  <sheetData>
    <row r="1" customFormat="false" ht="24" hidden="false" customHeight="tru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76</v>
      </c>
      <c r="B5" s="6"/>
      <c r="C5" s="6"/>
      <c r="D5" s="6"/>
      <c r="E5" s="6"/>
      <c r="F5" s="6"/>
    </row>
    <row r="7" customFormat="false" ht="30" hidden="false" customHeight="true" outlineLevel="0" collapsed="false">
      <c r="A7" s="14" t="s">
        <v>22</v>
      </c>
      <c r="B7" s="15" t="s">
        <v>42</v>
      </c>
      <c r="C7" s="15" t="s">
        <v>77</v>
      </c>
      <c r="D7" s="15"/>
      <c r="E7" s="15"/>
      <c r="F7" s="15"/>
    </row>
    <row r="8" customFormat="false" ht="15" hidden="false" customHeight="false" outlineLevel="0" collapsed="false">
      <c r="A8" s="10" t="n">
        <v>0.08</v>
      </c>
      <c r="B8" s="16" t="n">
        <f aca="false">SUMPRODUCT('The Model'!$D$8:$D$12,1/(1+A8)^{1;2;3;4;5})+FCF5*(1+GTERM)/(A8-GTERM)/(1+A8)^5</f>
        <v>85393468.7026052</v>
      </c>
      <c r="C8" s="22" t="n">
        <f aca="false">B8/EBITDA0</f>
        <v>10.1658891312625</v>
      </c>
    </row>
    <row r="9" customFormat="false" ht="15" hidden="false" customHeight="false" outlineLevel="0" collapsed="false">
      <c r="A9" s="10" t="n">
        <v>0.085</v>
      </c>
      <c r="B9" s="16" t="n">
        <f aca="false">SUMPRODUCT('The Model'!$D$8:$D$12,1/(1+A9)^{1;2;3;4;5})+FCF5*(1+GTERM)/(A9-GTERM)/(1+A9)^5</f>
        <v>78752060.1391614</v>
      </c>
      <c r="C9" s="22" t="n">
        <f aca="false">B9/EBITDA0</f>
        <v>9.37524525466207</v>
      </c>
    </row>
    <row r="10" customFormat="false" ht="15" hidden="false" customHeight="false" outlineLevel="0" collapsed="false">
      <c r="A10" s="10" t="n">
        <v>0.09</v>
      </c>
      <c r="B10" s="16" t="n">
        <f aca="false">SUMPRODUCT('The Model'!$D$8:$D$12,1/(1+A10)^{1;2;3;4;5})+FCF5*(1+GTERM)/(A10-GTERM)/(1+A10)^5</f>
        <v>73060584.7280767</v>
      </c>
      <c r="C10" s="22" t="n">
        <f aca="false">B10/EBITDA0</f>
        <v>8.69768865810437</v>
      </c>
    </row>
    <row r="11" customFormat="false" ht="15" hidden="false" customHeight="false" outlineLevel="0" collapsed="false">
      <c r="A11" s="10" t="n">
        <v>0.095</v>
      </c>
      <c r="B11" s="16" t="n">
        <f aca="false">SUMPRODUCT('The Model'!$D$8:$D$12,1/(1+A11)^{1;2;3;4;5})+FCF5*(1+GTERM)/(A11-GTERM)/(1+A11)^5</f>
        <v>68129030.9731368</v>
      </c>
      <c r="C11" s="22" t="n">
        <f aca="false">B11/EBITDA0</f>
        <v>8.11059892537343</v>
      </c>
    </row>
    <row r="12" customFormat="false" ht="15" hidden="false" customHeight="false" outlineLevel="0" collapsed="false">
      <c r="A12" s="10" t="n">
        <v>0.1</v>
      </c>
      <c r="B12" s="16" t="n">
        <f aca="false">SUMPRODUCT('The Model'!$D$8:$D$12,1/(1+A12)^{1;2;3;4;5})+FCF5*(1+GTERM)/(A12-GTERM)/(1+A12)^5</f>
        <v>63814890.9090909</v>
      </c>
      <c r="C12" s="22" t="n">
        <f aca="false">B12/EBITDA0</f>
        <v>7.59701082251082</v>
      </c>
    </row>
    <row r="14" customFormat="false" ht="15" hidden="false" customHeight="false" outlineLevel="0" collapsed="false">
      <c r="A14" s="12" t="s">
        <v>78</v>
      </c>
      <c r="B14" s="13" t="n">
        <f aca="false">B8-B12</f>
        <v>21578577.7935144</v>
      </c>
    </row>
    <row r="15" customFormat="false" ht="15" hidden="false" customHeight="false" outlineLevel="0" collapsed="false">
      <c r="A15" s="7" t="s">
        <v>79</v>
      </c>
      <c r="B15" s="27" t="n">
        <f aca="false">B14/EVDCF</f>
        <v>0.295351835381928</v>
      </c>
    </row>
    <row r="17" customFormat="false" ht="15" hidden="false" customHeight="false" outlineLevel="0" collapsed="false">
      <c r="A17" s="4" t="s">
        <v>80</v>
      </c>
      <c r="B17" s="6"/>
      <c r="C17" s="6"/>
      <c r="D17" s="6"/>
      <c r="E17" s="6"/>
      <c r="F17" s="6"/>
    </row>
    <row r="19" customFormat="false" ht="30" hidden="false" customHeight="true" outlineLevel="0" collapsed="false">
      <c r="A19" s="14" t="s">
        <v>81</v>
      </c>
      <c r="B19" s="29" t="n">
        <v>0.08</v>
      </c>
      <c r="C19" s="29" t="n">
        <v>0.085</v>
      </c>
      <c r="D19" s="29" t="n">
        <v>0.09</v>
      </c>
      <c r="E19" s="29" t="n">
        <v>0.095</v>
      </c>
      <c r="F19" s="29" t="n">
        <v>0.1</v>
      </c>
    </row>
    <row r="20" customFormat="false" ht="15" hidden="false" customHeight="false" outlineLevel="0" collapsed="false">
      <c r="A20" s="10" t="n">
        <v>0.01</v>
      </c>
      <c r="B20" s="16" t="n">
        <f aca="false">SUMPRODUCT('The Model'!$D$8:$D$12,1/(1+B$19)^{1;2;3;4;5})+FCF5*(1+$A20)/(B$19-$A20)/(1+B$19)^5</f>
        <v>75566815.761592</v>
      </c>
      <c r="C20" s="16" t="n">
        <f aca="false">SUMPRODUCT('The Model'!$D$8:$D$12,1/(1+C$19)^{1;2;3;4;5})+FCF5*(1+$A20)/(C$19-$A20)/(1+C$19)^5</f>
        <v>70441001.2910944</v>
      </c>
      <c r="D20" s="16" t="n">
        <f aca="false">SUMPRODUCT('The Model'!$D$8:$D$12,1/(1+D$19)^{1;2;3;4;5})+FCF5*(1+$A20)/(D$19-$A20)/(1+D$19)^5</f>
        <v>65957354.1681377</v>
      </c>
      <c r="E20" s="16" t="n">
        <f aca="false">SUMPRODUCT('The Model'!$D$8:$D$12,1/(1+E$19)^{1;2;3;4;5})+FCF5*(1+$A20)/(E$19-$A20)/(1+E$19)^5</f>
        <v>62002519.3132687</v>
      </c>
      <c r="F20" s="16" t="n">
        <f aca="false">SUMPRODUCT('The Model'!$D$8:$D$12,1/(1+F$19)^{1;2;3;4;5})+FCF5*(1+$A20)/(F$19-$A20)/(1+F$19)^5</f>
        <v>58488332.506887</v>
      </c>
    </row>
    <row r="21" customFormat="false" ht="15" hidden="false" customHeight="false" outlineLevel="0" collapsed="false">
      <c r="A21" s="10" t="n">
        <v>0.015</v>
      </c>
      <c r="B21" s="16" t="n">
        <f aca="false">SUMPRODUCT('The Model'!$D$8:$D$12,1/(1+B$19)^{1;2;3;4;5})+FCF5*(1+$A21)/(B$19-$A21)/(1+B$19)^5</f>
        <v>80102194.0420597</v>
      </c>
      <c r="C21" s="16" t="n">
        <f aca="false">SUMPRODUCT('The Model'!$D$8:$D$12,1/(1+C$19)^{1;2;3;4;5})+FCF5*(1+$A21)/(C$19-$A21)/(1+C$19)^5</f>
        <v>74299707.1848397</v>
      </c>
      <c r="D21" s="16" t="n">
        <f aca="false">SUMPRODUCT('The Model'!$D$8:$D$12,1/(1+D$19)^{1;2;3;4;5})+FCF5*(1+$A21)/(D$19-$A21)/(1+D$19)^5</f>
        <v>69272195.0961092</v>
      </c>
      <c r="E21" s="16" t="n">
        <f aca="false">SUMPRODUCT('The Model'!$D$8:$D$12,1/(1+E$19)^{1;2;3;4;5})+FCF5*(1+$A21)/(E$19-$A21)/(1+E$19)^5</f>
        <v>64874321.6538319</v>
      </c>
      <c r="F21" s="16" t="n">
        <f aca="false">SUMPRODUCT('The Model'!$D$8:$D$12,1/(1+F$19)^{1;2;3;4;5})+FCF5*(1+$A21)/(F$19-$A21)/(1+F$19)^5</f>
        <v>60994948.2255712</v>
      </c>
    </row>
    <row r="22" customFormat="false" ht="15" hidden="false" customHeight="false" outlineLevel="0" collapsed="false">
      <c r="A22" s="10" t="n">
        <v>0.02</v>
      </c>
      <c r="B22" s="16" t="n">
        <f aca="false">SUMPRODUCT('The Model'!$D$8:$D$12,1/(1+B$19)^{1;2;3;4;5})+FCF5*(1+$A22)/(B$19-$A22)/(1+B$19)^5</f>
        <v>85393468.7026052</v>
      </c>
      <c r="C22" s="16" t="n">
        <f aca="false">SUMPRODUCT('The Model'!$D$8:$D$12,1/(1+C$19)^{1;2;3;4;5})+FCF5*(1+$A22)/(C$19-$A22)/(1+C$19)^5</f>
        <v>78752060.1391614</v>
      </c>
      <c r="D22" s="16" t="n">
        <f aca="false">SUMPRODUCT('The Model'!$D$8:$D$12,1/(1+D$19)^{1;2;3;4;5})+FCF5*(1+$A22)/(D$19-$A22)/(1+D$19)^5</f>
        <v>73060584.7280767</v>
      </c>
      <c r="E22" s="16" t="n">
        <f aca="false">SUMPRODUCT('The Model'!$D$8:$D$12,1/(1+E$19)^{1;2;3;4;5})+FCF5*(1+$A22)/(E$19-$A22)/(1+E$19)^5</f>
        <v>68129030.9731368</v>
      </c>
      <c r="F22" s="16" t="n">
        <f aca="false">SUMPRODUCT('The Model'!$D$8:$D$12,1/(1+F$19)^{1;2;3;4;5})+FCF5*(1+$A22)/(F$19-$A22)/(1+F$19)^5</f>
        <v>63814890.9090909</v>
      </c>
    </row>
    <row r="23" customFormat="false" ht="15" hidden="false" customHeight="false" outlineLevel="0" collapsed="false">
      <c r="A23" s="10" t="n">
        <v>0.025</v>
      </c>
      <c r="B23" s="16" t="n">
        <f aca="false">SUMPRODUCT('The Model'!$D$8:$D$12,1/(1+B$19)^{1;2;3;4;5})+FCF5*(1+$A23)/(B$19-$A23)/(1+B$19)^5</f>
        <v>91646793.3014318</v>
      </c>
      <c r="C23" s="16" t="n">
        <f aca="false">SUMPRODUCT('The Model'!$D$8:$D$12,1/(1+C$19)^{1;2;3;4;5})+FCF5*(1+$A23)/(C$19-$A23)/(1+C$19)^5</f>
        <v>83946471.9192032</v>
      </c>
      <c r="D23" s="16" t="n">
        <f aca="false">SUMPRODUCT('The Model'!$D$8:$D$12,1/(1+D$19)^{1;2;3;4;5})+FCF5*(1+$A23)/(D$19-$A23)/(1+D$19)^5</f>
        <v>77431803.5341931</v>
      </c>
      <c r="E23" s="16" t="n">
        <f aca="false">SUMPRODUCT('The Model'!$D$8:$D$12,1/(1+E$19)^{1;2;3;4;5})+FCF5*(1+$A23)/(E$19-$A23)/(1+E$19)^5</f>
        <v>71848698.7666282</v>
      </c>
      <c r="F23" s="16" t="n">
        <f aca="false">SUMPRODUCT('The Model'!$D$8:$D$12,1/(1+F$19)^{1;2;3;4;5})+FCF5*(1+$A23)/(F$19-$A23)/(1+F$19)^5</f>
        <v>67010825.9504132</v>
      </c>
    </row>
    <row r="24" customFormat="false" ht="15" hidden="false" customHeight="false" outlineLevel="0" collapsed="false">
      <c r="A24" s="10" t="n">
        <v>0.03</v>
      </c>
      <c r="B24" s="16" t="n">
        <f aca="false">SUMPRODUCT('The Model'!$D$8:$D$12,1/(1+B$19)^{1;2;3;4;5})+FCF5*(1+$A24)/(B$19-$A24)/(1+B$19)^5</f>
        <v>99150782.8200237</v>
      </c>
      <c r="C24" s="16" t="n">
        <f aca="false">SUMPRODUCT('The Model'!$D$8:$D$12,1/(1+C$19)^{1;2;3;4;5})+FCF5*(1+$A24)/(C$19-$A24)/(1+C$19)^5</f>
        <v>90085322.2047072</v>
      </c>
      <c r="D24" s="16" t="n">
        <f aca="false">SUMPRODUCT('The Model'!$D$8:$D$12,1/(1+D$19)^{1;2;3;4;5})+FCF5*(1+$A24)/(D$19-$A24)/(1+D$19)^5</f>
        <v>82531558.8079955</v>
      </c>
      <c r="E24" s="16" t="n">
        <f aca="false">SUMPRODUCT('The Model'!$D$8:$D$12,1/(1+E$19)^{1;2;3;4;5})+FCF5*(1+$A24)/(E$19-$A24)/(1+E$19)^5</f>
        <v>76140623.1437337</v>
      </c>
      <c r="F24" s="16" t="n">
        <f aca="false">SUMPRODUCT('The Model'!$D$8:$D$12,1/(1+F$19)^{1;2;3;4;5})+FCF5*(1+$A24)/(F$19-$A24)/(1+F$19)^5</f>
        <v>70663323.1404958</v>
      </c>
    </row>
    <row r="26" customFormat="false" ht="15" hidden="false" customHeight="false" outlineLevel="0" collapsed="false">
      <c r="A26" s="25" t="s">
        <v>82</v>
      </c>
    </row>
    <row r="28" customFormat="false" ht="15" hidden="false" customHeight="false" outlineLevel="0" collapsed="false">
      <c r="A28" s="26" t="s">
        <v>83</v>
      </c>
    </row>
    <row r="29" customFormat="false" ht="15" hidden="false" customHeight="false" outlineLevel="0" collapsed="false">
      <c r="A29" s="7" t="s">
        <v>84</v>
      </c>
      <c r="B29" s="16" t="n">
        <f aca="false">B23-F21</f>
        <v>30651845.0758606</v>
      </c>
    </row>
    <row r="30" customFormat="false" ht="15" hidden="false" customHeight="false" outlineLevel="0" collapsed="false">
      <c r="A30" s="7" t="s">
        <v>85</v>
      </c>
      <c r="B30" s="27" t="n">
        <f aca="false">B29/EVDCF</f>
        <v>0.419540100725218</v>
      </c>
    </row>
    <row r="31" customFormat="false" ht="15" hidden="false" customHeight="false" outlineLevel="0" collapsed="false">
      <c r="A31" s="12" t="s">
        <v>86</v>
      </c>
      <c r="B31" s="13" t="n">
        <f aca="false">B21-F23</f>
        <v>13091368.0916465</v>
      </c>
    </row>
    <row r="32" customFormat="false" ht="15" hidden="false" customHeight="false" outlineLevel="0" collapsed="false">
      <c r="A32" s="7" t="s">
        <v>87</v>
      </c>
      <c r="B32" s="27" t="n">
        <f aca="false">B31/B29</f>
        <v>0.427098860092972</v>
      </c>
    </row>
    <row r="33" customFormat="false" ht="15" hidden="false" customHeight="false" outlineLevel="0" collapsed="false">
      <c r="A33" s="28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52"/>
  </cols>
  <sheetData>
    <row r="1" customFormat="false" ht="15" hidden="false" customHeight="false" outlineLevel="0" collapsed="false">
      <c r="A1" s="26" t="s">
        <v>89</v>
      </c>
    </row>
    <row r="2" customFormat="false" ht="15" hidden="false" customHeight="false" outlineLevel="0" collapsed="false">
      <c r="A2" s="28" t="s">
        <v>90</v>
      </c>
    </row>
    <row r="4" customFormat="false" ht="15" hidden="false" customHeight="false" outlineLevel="0" collapsed="false">
      <c r="A4" s="30" t="s">
        <v>91</v>
      </c>
      <c r="B4" s="30" t="s">
        <v>92</v>
      </c>
      <c r="C4" s="30" t="s">
        <v>93</v>
      </c>
    </row>
    <row r="5" customFormat="false" ht="15" hidden="false" customHeight="false" outlineLevel="0" collapsed="false">
      <c r="A5" s="7" t="s">
        <v>94</v>
      </c>
      <c r="B5" s="31" t="n">
        <v>0.032</v>
      </c>
      <c r="C5" s="28" t="s">
        <v>95</v>
      </c>
    </row>
    <row r="6" customFormat="false" ht="15" hidden="false" customHeight="false" outlineLevel="0" collapsed="false">
      <c r="A6" s="7" t="s">
        <v>96</v>
      </c>
      <c r="B6" s="31" t="n">
        <v>0.06</v>
      </c>
      <c r="C6" s="28" t="s">
        <v>97</v>
      </c>
    </row>
    <row r="7" customFormat="false" ht="15" hidden="false" customHeight="false" outlineLevel="0" collapsed="false">
      <c r="A7" s="7" t="s">
        <v>98</v>
      </c>
      <c r="B7" s="32" t="n">
        <v>1.2</v>
      </c>
      <c r="C7" s="28" t="s">
        <v>99</v>
      </c>
    </row>
    <row r="8" customFormat="false" ht="15" hidden="false" customHeight="false" outlineLevel="0" collapsed="false">
      <c r="A8" s="12" t="s">
        <v>100</v>
      </c>
      <c r="B8" s="21" t="n">
        <f aca="false">B5+B7*B6</f>
        <v>0.104</v>
      </c>
      <c r="C8" s="28" t="s">
        <v>101</v>
      </c>
    </row>
    <row r="9" customFormat="false" ht="15" hidden="false" customHeight="false" outlineLevel="0" collapsed="false">
      <c r="A9" s="7" t="s">
        <v>102</v>
      </c>
      <c r="B9" s="31" t="n">
        <v>0.064</v>
      </c>
      <c r="C9" s="28" t="s">
        <v>103</v>
      </c>
    </row>
    <row r="10" customFormat="false" ht="15" hidden="false" customHeight="false" outlineLevel="0" collapsed="false">
      <c r="A10" s="7" t="s">
        <v>104</v>
      </c>
      <c r="B10" s="24" t="n">
        <f aca="false">B9*(1-TAXR)</f>
        <v>0.048</v>
      </c>
      <c r="C10" s="28" t="s">
        <v>105</v>
      </c>
    </row>
    <row r="11" customFormat="false" ht="15" hidden="false" customHeight="false" outlineLevel="0" collapsed="false">
      <c r="A11" s="7" t="s">
        <v>106</v>
      </c>
      <c r="B11" s="31" t="n">
        <v>0.75</v>
      </c>
      <c r="C11" s="28" t="s">
        <v>107</v>
      </c>
    </row>
    <row r="12" customFormat="false" ht="15" hidden="false" customHeight="false" outlineLevel="0" collapsed="false">
      <c r="A12" s="7" t="s">
        <v>108</v>
      </c>
      <c r="B12" s="24" t="n">
        <f aca="false">1-B11</f>
        <v>0.25</v>
      </c>
    </row>
    <row r="13" customFormat="false" ht="15" hidden="false" customHeight="false" outlineLevel="0" collapsed="false">
      <c r="A13" s="7" t="s">
        <v>109</v>
      </c>
      <c r="B13" s="24" t="n">
        <f aca="false">B11*B8</f>
        <v>0.078</v>
      </c>
    </row>
    <row r="14" customFormat="false" ht="15" hidden="false" customHeight="false" outlineLevel="0" collapsed="false">
      <c r="A14" s="7" t="s">
        <v>110</v>
      </c>
      <c r="B14" s="24" t="n">
        <f aca="false">B12*B10</f>
        <v>0.012</v>
      </c>
    </row>
    <row r="15" customFormat="false" ht="15" hidden="false" customHeight="false" outlineLevel="0" collapsed="false">
      <c r="A15" s="12" t="s">
        <v>111</v>
      </c>
      <c r="B15" s="21" t="n">
        <f aca="false">B13+B14</f>
        <v>0.09</v>
      </c>
    </row>
    <row r="16" customFormat="false" ht="15" hidden="false" customHeight="false" outlineLevel="0" collapsed="false">
      <c r="A16" s="7" t="s">
        <v>112</v>
      </c>
      <c r="B16" s="24" t="n">
        <f aca="false">WACC</f>
        <v>0.09</v>
      </c>
    </row>
    <row r="18" customFormat="false" ht="15" hidden="false" customHeight="false" outlineLevel="0" collapsed="false">
      <c r="A18" s="26" t="s">
        <v>113</v>
      </c>
    </row>
    <row r="19" customFormat="false" ht="15" hidden="false" customHeight="false" outlineLevel="0" collapsed="false">
      <c r="A19" s="7" t="s">
        <v>114</v>
      </c>
      <c r="B19" s="31" t="n">
        <v>0.01</v>
      </c>
    </row>
    <row r="20" customFormat="false" ht="15" hidden="false" customHeight="false" outlineLevel="0" collapsed="false">
      <c r="A20" s="7" t="s">
        <v>115</v>
      </c>
      <c r="B20" s="16" t="n">
        <f aca="false">SUMPRODUCT('The Model'!$D$8:$D$12,1/(1+WACC+B19)^{1;2;3;4;5})+FCF5*(1+GTERM)/(WACC+B19-GTERM)/(1+WACC+B19)^5</f>
        <v>63814890.9090909</v>
      </c>
    </row>
    <row r="21" customFormat="false" ht="15" hidden="false" customHeight="false" outlineLevel="0" collapsed="false">
      <c r="A21" s="7" t="s">
        <v>116</v>
      </c>
      <c r="B21" s="13" t="n">
        <f aca="false">EVDCF-B20</f>
        <v>9245693.81898584</v>
      </c>
    </row>
    <row r="22" customFormat="false" ht="15" hidden="false" customHeight="false" outlineLevel="0" collapsed="false">
      <c r="A22" s="7" t="s">
        <v>117</v>
      </c>
      <c r="B22" s="24" t="n">
        <f aca="false">B21/EVDCF</f>
        <v>0.126548314024549</v>
      </c>
    </row>
    <row r="24" customFormat="false" ht="15" hidden="false" customHeight="false" outlineLevel="0" collapsed="false">
      <c r="A24" s="28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26" t="s">
        <v>119</v>
      </c>
    </row>
    <row r="2" customFormat="false" ht="15" hidden="false" customHeight="false" outlineLevel="0" collapsed="false">
      <c r="A2" s="28" t="s">
        <v>120</v>
      </c>
    </row>
    <row r="5" customFormat="false" ht="15" hidden="false" customHeight="false" outlineLevel="0" collapsed="false">
      <c r="A5" s="7" t="s">
        <v>121</v>
      </c>
      <c r="B5" s="24" t="n">
        <f aca="false">WACC-GTERM</f>
        <v>0.07</v>
      </c>
    </row>
    <row r="6" customFormat="false" ht="15" hidden="false" customHeight="false" outlineLevel="0" collapsed="false">
      <c r="A6" s="7" t="s">
        <v>122</v>
      </c>
      <c r="B6" s="33" t="n">
        <f aca="false">1/(WACC-GTERM)</f>
        <v>14.2857142857143</v>
      </c>
    </row>
    <row r="7" customFormat="false" ht="15" hidden="false" customHeight="false" outlineLevel="0" collapsed="false">
      <c r="A7" s="7" t="s">
        <v>40</v>
      </c>
      <c r="B7" s="16" t="n">
        <f aca="false">FCF5*(1+GTERM)/(WACC-GTERM)</f>
        <v>81818603.3808</v>
      </c>
    </row>
    <row r="8" customFormat="false" ht="15" hidden="false" customHeight="false" outlineLevel="0" collapsed="false">
      <c r="A8" s="7" t="s">
        <v>123</v>
      </c>
      <c r="B8" s="31" t="n">
        <v>0.01</v>
      </c>
    </row>
    <row r="9" customFormat="false" ht="15" hidden="false" customHeight="false" outlineLevel="0" collapsed="false">
      <c r="A9" s="7" t="s">
        <v>124</v>
      </c>
      <c r="B9" s="16" t="n">
        <f aca="false">FCF5*(1+GTERM)/(WACC-B8-GTERM)</f>
        <v>95455037.2776</v>
      </c>
    </row>
    <row r="10" customFormat="false" ht="15" hidden="false" customHeight="false" outlineLevel="0" collapsed="false">
      <c r="A10" s="12" t="s">
        <v>125</v>
      </c>
      <c r="B10" s="34" t="n">
        <f aca="false">B9/B7-1</f>
        <v>0.166666666666667</v>
      </c>
    </row>
    <row r="11" customFormat="false" ht="15" hidden="false" customHeight="false" outlineLevel="0" collapsed="false">
      <c r="A11" s="7" t="s">
        <v>126</v>
      </c>
      <c r="B11" s="27" t="n">
        <f aca="false">B8/WACC</f>
        <v>0.111111111111111</v>
      </c>
    </row>
    <row r="12" customFormat="false" ht="15" hidden="false" customHeight="false" outlineLevel="0" collapsed="false">
      <c r="A12" s="7" t="s">
        <v>127</v>
      </c>
      <c r="B12" s="27" t="n">
        <f aca="false">B8/(WACC-GTERM)</f>
        <v>0.142857142857143</v>
      </c>
    </row>
    <row r="13" customFormat="false" ht="15" hidden="false" customHeight="false" outlineLevel="0" collapsed="false">
      <c r="A13" s="7" t="s">
        <v>128</v>
      </c>
      <c r="B13" s="31" t="n">
        <v>0.005</v>
      </c>
    </row>
    <row r="14" customFormat="false" ht="15" hidden="false" customHeight="false" outlineLevel="0" collapsed="false">
      <c r="A14" s="7" t="s">
        <v>129</v>
      </c>
      <c r="B14" s="27" t="n">
        <f aca="false">(WACC-GTERM)/(WACC-GTERM-B13)-1</f>
        <v>0.0769230769230771</v>
      </c>
    </row>
    <row r="16" customFormat="false" ht="15" hidden="false" customHeight="false" outlineLevel="0" collapsed="false">
      <c r="A16" s="7" t="s">
        <v>130</v>
      </c>
      <c r="B16" s="35" t="n">
        <v>500000</v>
      </c>
    </row>
    <row r="17" customFormat="false" ht="15" hidden="false" customHeight="false" outlineLevel="0" collapsed="false">
      <c r="A17" s="7" t="s">
        <v>131</v>
      </c>
      <c r="B17" s="16" t="n">
        <f aca="false">B16*(1+GTERM)/(WACC-GTERM)</f>
        <v>7285714.28571429</v>
      </c>
    </row>
    <row r="18" customFormat="false" ht="15" hidden="false" customHeight="false" outlineLevel="0" collapsed="false">
      <c r="A18" s="12" t="s">
        <v>132</v>
      </c>
      <c r="B18" s="13" t="n">
        <f aca="false">B17/(1+WACC)^5</f>
        <v>4735214.38588795</v>
      </c>
    </row>
    <row r="19" customFormat="false" ht="15" hidden="false" customHeight="false" outlineLevel="0" collapsed="false">
      <c r="A19" s="28" t="s">
        <v>133</v>
      </c>
    </row>
    <row r="21" customFormat="false" ht="15" hidden="false" customHeight="false" outlineLevel="0" collapsed="false">
      <c r="A21" s="7" t="s">
        <v>134</v>
      </c>
      <c r="B21" s="16" t="n">
        <f aca="false">'The Model'!C12</f>
        <v>10719549.6408</v>
      </c>
    </row>
    <row r="22" customFormat="false" ht="15" hidden="false" customHeight="false" outlineLevel="0" collapsed="false">
      <c r="A22" s="12" t="s">
        <v>135</v>
      </c>
      <c r="B22" s="36" t="n">
        <f aca="false">B7/B21</f>
        <v>7.63265306122449</v>
      </c>
    </row>
    <row r="23" customFormat="false" ht="15" hidden="false" customHeight="false" outlineLevel="0" collapsed="false">
      <c r="A23" s="28" t="s">
        <v>136</v>
      </c>
    </row>
    <row r="25" customFormat="false" ht="15" hidden="false" customHeight="false" outlineLevel="0" collapsed="false">
      <c r="A25" s="26" t="s">
        <v>137</v>
      </c>
    </row>
    <row r="26" customFormat="false" ht="15" hidden="false" customHeight="false" outlineLevel="0" collapsed="false">
      <c r="A26" s="7" t="s">
        <v>138</v>
      </c>
      <c r="B26" s="16" t="n">
        <f aca="false">PVFLOWS*((1+WACC)^0.5-1)</f>
        <v>875510.147522385</v>
      </c>
    </row>
    <row r="27" customFormat="false" ht="15" hidden="false" customHeight="false" outlineLevel="0" collapsed="false">
      <c r="A27" s="7" t="s">
        <v>139</v>
      </c>
      <c r="B27" s="24" t="n">
        <f aca="false">B26/EVDCF</f>
        <v>0.0119833443816654</v>
      </c>
    </row>
    <row r="28" customFormat="false" ht="15" hidden="false" customHeight="false" outlineLevel="0" collapsed="false">
      <c r="A28" s="7" t="s">
        <v>140</v>
      </c>
      <c r="B28" s="16" t="n">
        <f aca="false">EVDCF*((1+WACC)^0.5-1)</f>
        <v>3216905.1000583</v>
      </c>
    </row>
    <row r="29" customFormat="false" ht="15" hidden="false" customHeight="false" outlineLevel="0" collapsed="false">
      <c r="A29" s="7" t="s">
        <v>139</v>
      </c>
      <c r="B29" s="24" t="n">
        <f aca="false">B28/EVDCF</f>
        <v>0.0440306508910551</v>
      </c>
    </row>
    <row r="30" customFormat="false" ht="15" hidden="false" customHeight="false" outlineLevel="0" collapsed="false">
      <c r="A30" s="28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5" min="3" style="0" width="15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5"/>
    <col collapsed="false" customWidth="true" hidden="false" outlineLevel="0" max="9" min="9" style="0" width="46"/>
  </cols>
  <sheetData>
    <row r="1" customFormat="false" ht="15" hidden="false" customHeight="false" outlineLevel="0" collapsed="false">
      <c r="A1" s="26" t="s">
        <v>142</v>
      </c>
    </row>
    <row r="2" customFormat="false" ht="15" hidden="false" customHeight="false" outlineLevel="0" collapsed="false">
      <c r="A2" s="28" t="s">
        <v>143</v>
      </c>
    </row>
    <row r="4" customFormat="false" ht="23.85" hidden="false" customHeight="false" outlineLevel="0" collapsed="false">
      <c r="A4" s="30" t="s">
        <v>92</v>
      </c>
      <c r="B4" s="30" t="s">
        <v>144</v>
      </c>
      <c r="C4" s="30" t="s">
        <v>145</v>
      </c>
      <c r="D4" s="30" t="s">
        <v>146</v>
      </c>
      <c r="E4" s="30" t="s">
        <v>147</v>
      </c>
      <c r="F4" s="30" t="s">
        <v>148</v>
      </c>
      <c r="G4" s="30" t="s">
        <v>149</v>
      </c>
      <c r="H4" s="30" t="s">
        <v>150</v>
      </c>
      <c r="I4" s="30" t="s">
        <v>151</v>
      </c>
    </row>
    <row r="5" customFormat="false" ht="15" hidden="false" customHeight="false" outlineLevel="0" collapsed="false">
      <c r="A5" s="7" t="s">
        <v>22</v>
      </c>
      <c r="B5" s="31" t="n">
        <v>0.01</v>
      </c>
      <c r="C5" s="16" t="n">
        <f aca="false">SUMPRODUCT(('The Model'!$B$8:$B$12*(MARGIN*(1-TAXR)+TAXR*DA0/REV0-CAPEX0/REV0-DWC0/REV0)-(0))/(1+(WACC-$B$5))^{1;2;3;4;5})+('The Model'!$B$12*(MARGIN*(1-TAXR)+TAXR*DA0/REV0-CAPEX0/REV0-DWC0/REV0)-(0))*(1+(GTERM))/((WACC-$B$5)-(GTERM))/(1+(WACC-$B$5))^5</f>
        <v>85393468.7026053</v>
      </c>
      <c r="D5" s="16" t="n">
        <f aca="false">SUMPRODUCT(('The Model'!$B$8:$B$12*(MARGIN*(1-TAXR)+TAXR*DA0/REV0-CAPEX0/REV0-DWC0/REV0)-(0))/(1+(WACC+$B$5))^{1;2;3;4;5})+('The Model'!$B$12*(MARGIN*(1-TAXR)+TAXR*DA0/REV0-CAPEX0/REV0-DWC0/REV0)-(0))*(1+(GTERM))/((WACC+$B$5)-(GTERM))/(1+(WACC+$B$5))^5</f>
        <v>63814890.9090909</v>
      </c>
      <c r="E5" s="13" t="n">
        <f aca="false">ABS(D5-C5)</f>
        <v>21578577.7935144</v>
      </c>
      <c r="F5" s="27" t="n">
        <f aca="false">E5/EVDCF</f>
        <v>0.295351835381929</v>
      </c>
      <c r="G5" s="37" t="n">
        <f aca="false">RANK(E5,$E$5:$E$10)</f>
        <v>1</v>
      </c>
      <c r="H5" s="16" t="n">
        <v>21578578</v>
      </c>
      <c r="I5" s="28"/>
    </row>
    <row r="6" customFormat="false" ht="15" hidden="false" customHeight="false" outlineLevel="0" collapsed="false">
      <c r="A6" s="7" t="s">
        <v>13</v>
      </c>
      <c r="B6" s="31" t="n">
        <v>0.01</v>
      </c>
      <c r="C6" s="16" t="n">
        <f aca="false">SUMPRODUCT(('The Model'!$B$8:$B$12*((MARGIN-$B$6)*(1-TAXR)+TAXR*DA0/REV0-CAPEX0/REV0-DWC0/REV0)-(0))/(1+(WACC))^{1;2;3;4;5})+('The Model'!$B$12*((MARGIN-$B$6)*(1-TAXR)+TAXR*DA0/REV0-CAPEX0/REV0-DWC0/REV0)-(0))*(1+(GTERM))/((WACC)-(GTERM))/(1+(WACC))^5</f>
        <v>67082900.5230523</v>
      </c>
      <c r="D6" s="16" t="n">
        <f aca="false">SUMPRODUCT(('The Model'!$B$8:$B$12*((MARGIN+$B$6)*(1-TAXR)+TAXR*DA0/REV0-CAPEX0/REV0-DWC0/REV0)-(0))/(1+(WACC))^{1;2;3;4;5})+('The Model'!$B$12*((MARGIN+$B$6)*(1-TAXR)+TAXR*DA0/REV0-CAPEX0/REV0-DWC0/REV0)-(0))*(1+(GTERM))/((WACC)-(GTERM))/(1+(WACC))^5</f>
        <v>79038268.9331012</v>
      </c>
      <c r="E6" s="13" t="n">
        <f aca="false">ABS(D6-C6)</f>
        <v>11955368.4100489</v>
      </c>
      <c r="F6" s="27" t="n">
        <f aca="false">E6/EVDCF</f>
        <v>0.163636363636364</v>
      </c>
      <c r="G6" s="37" t="n">
        <f aca="false">RANK(E6,$E$5:$E$10)</f>
        <v>2</v>
      </c>
      <c r="H6" s="16" t="n">
        <v>11278000</v>
      </c>
      <c r="I6" s="28" t="s">
        <v>152</v>
      </c>
    </row>
    <row r="7" customFormat="false" ht="15" hidden="false" customHeight="false" outlineLevel="0" collapsed="false">
      <c r="A7" s="7" t="s">
        <v>23</v>
      </c>
      <c r="B7" s="31" t="n">
        <v>0.005</v>
      </c>
      <c r="C7" s="16" t="n">
        <f aca="false">SUMPRODUCT(('The Model'!$B$8:$B$12*(MARGIN*(1-TAXR)+TAXR*DA0/REV0-CAPEX0/REV0-DWC0/REV0)-(0))/(1+(WACC))^{1;2;3;4;5})+('The Model'!$B$12*(MARGIN*(1-TAXR)+TAXR*DA0/REV0-CAPEX0/REV0-DWC0/REV0)-(0))*(1+(GTERM-$B$7))/((WACC)-(GTERM-$B$7))/(1+(WACC))^5</f>
        <v>69272195.0961092</v>
      </c>
      <c r="D7" s="16" t="n">
        <f aca="false">SUMPRODUCT(('The Model'!$B$8:$B$12*(MARGIN*(1-TAXR)+TAXR*DA0/REV0-CAPEX0/REV0-DWC0/REV0)-(0))/(1+(WACC))^{1;2;3;4;5})+('The Model'!$B$12*(MARGIN*(1-TAXR)+TAXR*DA0/REV0-CAPEX0/REV0-DWC0/REV0)-(0))*(1+(GTERM+$B$7))/((WACC)-(GTERM+$B$7))/(1+(WACC))^5</f>
        <v>77431803.5341931</v>
      </c>
      <c r="E7" s="13" t="n">
        <f aca="false">ABS(D7-C7)</f>
        <v>8159608.43808386</v>
      </c>
      <c r="F7" s="27" t="n">
        <f aca="false">E7/EVDCF</f>
        <v>0.111682769422843</v>
      </c>
      <c r="G7" s="37" t="n">
        <f aca="false">RANK(E7,$E$5:$E$10)</f>
        <v>3</v>
      </c>
      <c r="H7" s="16" t="n">
        <v>8160000</v>
      </c>
      <c r="I7" s="28"/>
    </row>
    <row r="8" customFormat="false" ht="15" hidden="false" customHeight="false" outlineLevel="0" collapsed="false">
      <c r="A8" s="7" t="s">
        <v>153</v>
      </c>
      <c r="B8" s="35" t="n">
        <v>100000</v>
      </c>
      <c r="C8" s="16" t="n">
        <f aca="false">SUMPRODUCT(('The Model'!$B$8:$B$12*(MARGIN*(1-TAXR)+TAXR*DA0/REV0-CAPEX0/REV0-DWC0/REV0)-(-$B$8))/(1+(WACC))^{1;2;3;4;5})+('The Model'!$B$12*(MARGIN*(1-TAXR)+TAXR*DA0/REV0-CAPEX0/REV0-DWC0/REV0)-(-$B$8))*(1+(GTERM))/((WACC)-(GTERM))/(1+(WACC))^5</f>
        <v>74396592.7315895</v>
      </c>
      <c r="D8" s="16" t="n">
        <f aca="false">SUMPRODUCT(('The Model'!$B$8:$B$12*(MARGIN*(1-TAXR)+TAXR*DA0/REV0-CAPEX0/REV0-DWC0/REV0)-($B$8))/(1+(WACC))^{1;2;3;4;5})+('The Model'!$B$12*(MARGIN*(1-TAXR)+TAXR*DA0/REV0-CAPEX0/REV0-DWC0/REV0)-($B$8))*(1+(GTERM))/((WACC)-(GTERM))/(1+(WACC))^5</f>
        <v>71724576.724564</v>
      </c>
      <c r="E8" s="13" t="n">
        <f aca="false">ABS(D8-C8)</f>
        <v>2672016.00702553</v>
      </c>
      <c r="F8" s="27" t="n">
        <f aca="false">E8/EVDCF</f>
        <v>0.0365726063782608</v>
      </c>
      <c r="G8" s="37" t="n">
        <f aca="false">RANK(E8,$E$5:$E$10)</f>
        <v>4</v>
      </c>
      <c r="H8" s="16" t="n">
        <v>3133000</v>
      </c>
      <c r="I8" s="28" t="s">
        <v>154</v>
      </c>
    </row>
    <row r="9" customFormat="false" ht="15" hidden="false" customHeight="false" outlineLevel="0" collapsed="false">
      <c r="A9" s="7" t="s">
        <v>155</v>
      </c>
      <c r="B9" s="35" t="n">
        <v>100000</v>
      </c>
      <c r="C9" s="16" t="n">
        <f aca="false">SUMPRODUCT(('The Model'!$B$8:$B$12*(MARGIN*(1-TAXR)+TAXR*DA0/REV0-CAPEX0/REV0-DWC0/REV0)-(-$B$9))/(1+(WACC))^{1;2;3;4;5})+('The Model'!$B$12*(MARGIN*(1-TAXR)+TAXR*DA0/REV0-CAPEX0/REV0-DWC0/REV0)-(-$B$9))*(1+(GTERM))/((WACC)-(GTERM))/(1+(WACC))^5</f>
        <v>74396592.7315895</v>
      </c>
      <c r="D9" s="16" t="n">
        <f aca="false">SUMPRODUCT(('The Model'!$B$8:$B$12*(MARGIN*(1-TAXR)+TAXR*DA0/REV0-CAPEX0/REV0-DWC0/REV0)-($B$9))/(1+(WACC))^{1;2;3;4;5})+('The Model'!$B$12*(MARGIN*(1-TAXR)+TAXR*DA0/REV0-CAPEX0/REV0-DWC0/REV0)-($B$9))*(1+(GTERM))/((WACC)-(GTERM))/(1+(WACC))^5</f>
        <v>71724576.724564</v>
      </c>
      <c r="E9" s="13" t="n">
        <f aca="false">ABS(D9-C9)</f>
        <v>2672016.00702553</v>
      </c>
      <c r="F9" s="27" t="n">
        <f aca="false">E9/EVDCF</f>
        <v>0.0365726063782608</v>
      </c>
      <c r="G9" s="37" t="n">
        <f aca="false">RANK(E9,$E$5:$E$10)</f>
        <v>4</v>
      </c>
      <c r="H9" s="16" t="n">
        <v>3133000</v>
      </c>
      <c r="I9" s="28" t="s">
        <v>156</v>
      </c>
    </row>
    <row r="10" customFormat="false" ht="15" hidden="false" customHeight="false" outlineLevel="0" collapsed="false">
      <c r="A10" s="7" t="s">
        <v>157</v>
      </c>
      <c r="B10" s="31" t="n">
        <v>0.01</v>
      </c>
      <c r="C10" s="16" t="n">
        <f aca="false">SUMPRODUCT(('The Model'!$B$8:$B$12*(MARGIN*(1-(TAXR-$B$10))+(TAXR-$B$10)*DA0/REV0-CAPEX0/REV0-DWC0/REV0)-(0))/(1+(WACC))^{1;2;3;4;5})+('The Model'!$B$12*(MARGIN*(1-(TAXR-$B$10))+(TAXR-$B$10)*DA0/REV0-CAPEX0/REV0-DWC0/REV0)-(0))*(1+(GTERM))/((WACC)-(GTERM))/(1+(WACC))^5</f>
        <v>74189702.8556925</v>
      </c>
      <c r="D10" s="16" t="n">
        <f aca="false">SUMPRODUCT(('The Model'!$B$8:$B$12*(MARGIN*(1-(TAXR+$B$10))+(TAXR+$B$10)*DA0/REV0-CAPEX0/REV0-DWC0/REV0)-(0))/(1+(WACC))^{1;2;3;4;5})+('The Model'!$B$12*(MARGIN*(1-(TAXR+$B$10))+(TAXR+$B$10)*DA0/REV0-CAPEX0/REV0-DWC0/REV0)-(0))*(1+(GTERM))/((WACC)-(GTERM))/(1+(WACC))^5</f>
        <v>71931466.600461</v>
      </c>
      <c r="E10" s="13" t="n">
        <f aca="false">ABS(D10-C10)</f>
        <v>2258236.25523146</v>
      </c>
      <c r="F10" s="27" t="n">
        <f aca="false">E10/EVDCF</f>
        <v>0.0309090909090908</v>
      </c>
      <c r="G10" s="37" t="n">
        <f aca="false">RANK(E10,$E$5:$E$10)</f>
        <v>6</v>
      </c>
      <c r="H10" s="16" t="n">
        <v>2130000</v>
      </c>
      <c r="I10" s="28" t="s">
        <v>158</v>
      </c>
    </row>
    <row r="12" customFormat="false" ht="15" hidden="false" customHeight="false" outlineLevel="0" collapsed="false">
      <c r="A12" s="7" t="s">
        <v>159</v>
      </c>
      <c r="C12" s="16" t="n">
        <f aca="false">SUMPRODUCT(('The Model'!$B$8:$B$12*(MARGIN*(1-TAXR)+TAXR*DA0/REV0-CAPEX0/REV0-DWC0/REV0)-(0))/(1+(WACC))^{1;2;3;4;5})+('The Model'!$B$12*(MARGIN*(1-TAXR)+TAXR*DA0/REV0-CAPEX0/REV0-DWC0/REV0)-(0))*(1+(GTERM))/((WACC)-(GTERM))/(1+(WACC))^5</f>
        <v>73060584.7280767</v>
      </c>
    </row>
    <row r="13" customFormat="false" ht="15" hidden="false" customHeight="false" outlineLevel="0" collapsed="false">
      <c r="A13" s="7" t="s">
        <v>160</v>
      </c>
      <c r="C13" s="38" t="n">
        <f aca="false">C12-EVDCF</f>
        <v>0</v>
      </c>
    </row>
    <row r="15" customFormat="false" ht="15" hidden="false" customHeight="false" outlineLevel="0" collapsed="false">
      <c r="A15" s="26" t="s">
        <v>161</v>
      </c>
    </row>
    <row r="16" customFormat="false" ht="15" hidden="false" customHeight="false" outlineLevel="0" collapsed="false">
      <c r="A16" s="7" t="s">
        <v>162</v>
      </c>
      <c r="B16" s="16" t="n">
        <f aca="false">'The Model'!B8*$B$6*(1-TAXR)</f>
        <v>381600</v>
      </c>
    </row>
    <row r="17" customFormat="false" ht="15" hidden="false" customHeight="false" outlineLevel="0" collapsed="false">
      <c r="A17" s="7" t="s">
        <v>163</v>
      </c>
      <c r="B17" s="24" t="n">
        <f aca="false">B16/'The Model'!D8</f>
        <v>0.0818181818181818</v>
      </c>
    </row>
    <row r="18" customFormat="false" ht="15" hidden="false" customHeight="false" outlineLevel="0" collapsed="false">
      <c r="A18" s="12" t="s">
        <v>164</v>
      </c>
      <c r="B18" s="13" t="n">
        <f aca="false">D6-EVDCF</f>
        <v>5977684.20502448</v>
      </c>
    </row>
    <row r="19" customFormat="false" ht="15" hidden="false" customHeight="false" outlineLevel="0" collapsed="false">
      <c r="A19" s="7" t="s">
        <v>165</v>
      </c>
      <c r="B19" s="16" t="n">
        <f aca="false">360000/4664000*EVDCF</f>
        <v>5639324.72172119</v>
      </c>
    </row>
    <row r="21" customFormat="false" ht="15" hidden="false" customHeight="false" outlineLevel="0" collapsed="false">
      <c r="A21" s="28" t="s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8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60"/>
  </cols>
  <sheetData>
    <row r="1" customFormat="false" ht="24" hidden="false" customHeight="true" outlineLevel="0" collapsed="false">
      <c r="A1" s="1" t="s">
        <v>167</v>
      </c>
    </row>
    <row r="2" customFormat="false" ht="15" hidden="false" customHeight="false" outlineLevel="0" collapsed="false">
      <c r="A2" s="2" t="s">
        <v>168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4" t="s">
        <v>169</v>
      </c>
      <c r="B5" s="15" t="s">
        <v>170</v>
      </c>
      <c r="C5" s="15" t="s">
        <v>171</v>
      </c>
      <c r="D5" s="15" t="s">
        <v>172</v>
      </c>
      <c r="E5" s="15" t="s">
        <v>173</v>
      </c>
      <c r="F5" s="15" t="s">
        <v>174</v>
      </c>
    </row>
    <row r="6" customFormat="false" ht="15" hidden="false" customHeight="false" outlineLevel="0" collapsed="false">
      <c r="A6" s="7" t="s">
        <v>175</v>
      </c>
      <c r="B6" s="7" t="s">
        <v>176</v>
      </c>
      <c r="C6" s="39" t="n">
        <v>50880000</v>
      </c>
      <c r="D6" s="16" t="n">
        <f aca="false">'The Model'!B8</f>
        <v>50880000</v>
      </c>
      <c r="E6" s="16" t="n">
        <f aca="false">D6-C6</f>
        <v>0</v>
      </c>
      <c r="F6" s="40" t="str">
        <f aca="false">IF(ABS(D6-C6)&lt;=1,"PASS","FAIL")</f>
        <v>PASS</v>
      </c>
    </row>
    <row r="7" customFormat="false" ht="15" hidden="false" customHeight="false" outlineLevel="0" collapsed="false">
      <c r="A7" s="7" t="s">
        <v>175</v>
      </c>
      <c r="B7" s="7" t="s">
        <v>177</v>
      </c>
      <c r="C7" s="39" t="n">
        <v>8904000</v>
      </c>
      <c r="D7" s="16" t="n">
        <f aca="false">'The Model'!C8</f>
        <v>8904000</v>
      </c>
      <c r="E7" s="16" t="n">
        <f aca="false">D7-C7</f>
        <v>0</v>
      </c>
      <c r="F7" s="40" t="str">
        <f aca="false">IF(ABS(D7-C7)&lt;=1,"PASS","FAIL")</f>
        <v>PASS</v>
      </c>
    </row>
    <row r="8" customFormat="false" ht="15" hidden="false" customHeight="false" outlineLevel="0" collapsed="false">
      <c r="A8" s="7" t="s">
        <v>175</v>
      </c>
      <c r="B8" s="7" t="s">
        <v>178</v>
      </c>
      <c r="C8" s="39" t="n">
        <v>4664000</v>
      </c>
      <c r="D8" s="16" t="n">
        <f aca="false">ROUND('The Model'!B37,0)</f>
        <v>4664000</v>
      </c>
      <c r="E8" s="16" t="n">
        <f aca="false">D8-C8</f>
        <v>0</v>
      </c>
      <c r="F8" s="40" t="str">
        <f aca="false">IF(ABS(D8-C8)&lt;=1,"PASS","FAIL")</f>
        <v>PASS</v>
      </c>
    </row>
    <row r="9" customFormat="false" ht="15" hidden="false" customHeight="false" outlineLevel="0" collapsed="false">
      <c r="A9" s="7" t="s">
        <v>175</v>
      </c>
      <c r="B9" s="7" t="s">
        <v>39</v>
      </c>
      <c r="C9" s="39" t="n">
        <v>5615002</v>
      </c>
      <c r="D9" s="16" t="n">
        <f aca="false">ROUND(FCF5,0)</f>
        <v>5615002</v>
      </c>
      <c r="E9" s="16" t="n">
        <f aca="false">D9-C9</f>
        <v>0</v>
      </c>
      <c r="F9" s="40" t="str">
        <f aca="false">IF(ABS(D9-C9)&lt;=1,"PASS","FAIL")</f>
        <v>PASS</v>
      </c>
    </row>
    <row r="10" customFormat="false" ht="15" hidden="false" customHeight="false" outlineLevel="0" collapsed="false">
      <c r="A10" s="7" t="s">
        <v>179</v>
      </c>
      <c r="B10" s="7" t="s">
        <v>37</v>
      </c>
      <c r="C10" s="39" t="n">
        <v>19884106</v>
      </c>
      <c r="D10" s="16" t="n">
        <f aca="false">ROUND(PVFLOWS,0)</f>
        <v>19884106</v>
      </c>
      <c r="E10" s="16" t="n">
        <f aca="false">D10-C10</f>
        <v>0</v>
      </c>
      <c r="F10" s="40" t="str">
        <f aca="false">IF(ABS(D10-C10)&lt;=1,"PASS","FAIL")</f>
        <v>PASS</v>
      </c>
    </row>
    <row r="11" customFormat="false" ht="15" hidden="false" customHeight="false" outlineLevel="0" collapsed="false">
      <c r="A11" s="7" t="s">
        <v>179</v>
      </c>
      <c r="B11" s="7" t="s">
        <v>40</v>
      </c>
      <c r="C11" s="39" t="n">
        <v>81818603</v>
      </c>
      <c r="D11" s="16" t="n">
        <f aca="false">ROUND('The Model'!B18,0)</f>
        <v>81818603</v>
      </c>
      <c r="E11" s="16" t="n">
        <f aca="false">D11-C11</f>
        <v>0</v>
      </c>
      <c r="F11" s="40" t="str">
        <f aca="false">IF(ABS(D11-C11)&lt;=1,"PASS","FAIL")</f>
        <v>PASS</v>
      </c>
    </row>
    <row r="12" customFormat="false" ht="15" hidden="false" customHeight="false" outlineLevel="0" collapsed="false">
      <c r="A12" s="7" t="s">
        <v>179</v>
      </c>
      <c r="B12" s="7" t="s">
        <v>180</v>
      </c>
      <c r="C12" s="41" t="n">
        <v>0.7278</v>
      </c>
      <c r="D12" s="24" t="n">
        <f aca="false">ROUND('The Model'!B21,4)</f>
        <v>0.7278</v>
      </c>
      <c r="E12" s="24" t="n">
        <f aca="false">D12-C12</f>
        <v>0</v>
      </c>
      <c r="F12" s="40" t="str">
        <f aca="false">IF(ABS(D12-C12)&lt;=0.00005,"PASS","FAIL")</f>
        <v>PASS</v>
      </c>
    </row>
    <row r="13" customFormat="false" ht="15" hidden="false" customHeight="false" outlineLevel="0" collapsed="false">
      <c r="A13" s="7" t="s">
        <v>179</v>
      </c>
      <c r="B13" s="7" t="s">
        <v>42</v>
      </c>
      <c r="C13" s="39" t="n">
        <v>73060585</v>
      </c>
      <c r="D13" s="16" t="n">
        <f aca="false">ROUND(EVDCF,0)</f>
        <v>73060585</v>
      </c>
      <c r="E13" s="16" t="n">
        <f aca="false">D13-C13</f>
        <v>0</v>
      </c>
      <c r="F13" s="40" t="str">
        <f aca="false">IF(ABS(D13-C13)&lt;=1,"PASS","FAIL")</f>
        <v>PASS</v>
      </c>
    </row>
    <row r="14" customFormat="false" ht="15" hidden="false" customHeight="false" outlineLevel="0" collapsed="false">
      <c r="A14" s="7" t="s">
        <v>181</v>
      </c>
      <c r="B14" s="7" t="s">
        <v>182</v>
      </c>
      <c r="C14" s="39" t="n">
        <v>85393469</v>
      </c>
      <c r="D14" s="16" t="n">
        <f aca="false">ROUND(Sensitivity!B8,0)</f>
        <v>85393469</v>
      </c>
      <c r="E14" s="16" t="n">
        <f aca="false">D14-C14</f>
        <v>0</v>
      </c>
      <c r="F14" s="40" t="str">
        <f aca="false">IF(ABS(D14-C14)&lt;=1,"PASS","FAIL")</f>
        <v>PASS</v>
      </c>
    </row>
    <row r="15" customFormat="false" ht="15" hidden="false" customHeight="false" outlineLevel="0" collapsed="false">
      <c r="A15" s="7" t="s">
        <v>181</v>
      </c>
      <c r="B15" s="7" t="s">
        <v>183</v>
      </c>
      <c r="C15" s="39" t="n">
        <v>63814891</v>
      </c>
      <c r="D15" s="16" t="n">
        <f aca="false">ROUND(Sensitivity!B12,0)</f>
        <v>63814891</v>
      </c>
      <c r="E15" s="16" t="n">
        <f aca="false">D15-C15</f>
        <v>0</v>
      </c>
      <c r="F15" s="40" t="str">
        <f aca="false">IF(ABS(D15-C15)&lt;=1,"PASS","FAIL")</f>
        <v>PASS</v>
      </c>
    </row>
    <row r="16" customFormat="false" ht="15" hidden="false" customHeight="false" outlineLevel="0" collapsed="false">
      <c r="A16" s="7" t="s">
        <v>181</v>
      </c>
      <c r="B16" s="7" t="s">
        <v>184</v>
      </c>
      <c r="C16" s="39" t="n">
        <v>21578578</v>
      </c>
      <c r="D16" s="16" t="n">
        <f aca="false">ROUND(Sensitivity!B14,0)</f>
        <v>21578578</v>
      </c>
      <c r="E16" s="16" t="n">
        <f aca="false">D16-C16</f>
        <v>0</v>
      </c>
      <c r="F16" s="40" t="str">
        <f aca="false">IF(ABS(D16-C16)&lt;=1,"PASS","FAIL")</f>
        <v>PASS</v>
      </c>
    </row>
    <row r="17" customFormat="false" ht="15" hidden="false" customHeight="false" outlineLevel="0" collapsed="false">
      <c r="A17" s="7" t="s">
        <v>181</v>
      </c>
      <c r="B17" s="7" t="s">
        <v>79</v>
      </c>
      <c r="C17" s="42" t="n">
        <v>0.295</v>
      </c>
      <c r="D17" s="27" t="n">
        <f aca="false">ROUND(Sensitivity!B15,3)</f>
        <v>0.295</v>
      </c>
      <c r="E17" s="27" t="n">
        <f aca="false">D17-C17</f>
        <v>0</v>
      </c>
      <c r="F17" s="40" t="str">
        <f aca="false">IF(ABS(D17-C17)&lt;=0.0005,"PASS","FAIL")</f>
        <v>PASS</v>
      </c>
    </row>
    <row r="18" customFormat="false" ht="15" hidden="false" customHeight="false" outlineLevel="0" collapsed="false">
      <c r="A18" s="7" t="n">
        <v>5</v>
      </c>
      <c r="B18" s="7" t="s">
        <v>185</v>
      </c>
      <c r="C18" s="39" t="n">
        <v>2226000</v>
      </c>
      <c r="D18" s="16" t="n">
        <f aca="false">'The Model'!B44</f>
        <v>2226000</v>
      </c>
      <c r="E18" s="16" t="n">
        <f aca="false">D18-C18</f>
        <v>0</v>
      </c>
      <c r="F18" s="40" t="str">
        <f aca="false">IF(ABS(D18-C18)&lt;=1,"PASS","FAIL")</f>
        <v>PASS</v>
      </c>
    </row>
    <row r="19" customFormat="false" ht="15" hidden="false" customHeight="false" outlineLevel="0" collapsed="false">
      <c r="A19" s="7" t="n">
        <v>5</v>
      </c>
      <c r="B19" s="7" t="s">
        <v>56</v>
      </c>
      <c r="C19" s="39" t="n">
        <v>424000</v>
      </c>
      <c r="D19" s="16" t="n">
        <f aca="false">'The Model'!B45</f>
        <v>424000</v>
      </c>
      <c r="E19" s="16" t="n">
        <f aca="false">D19-C19</f>
        <v>0</v>
      </c>
      <c r="F19" s="40" t="str">
        <f aca="false">IF(ABS(D19-C19)&lt;=1,"PASS","FAIL")</f>
        <v>PASS</v>
      </c>
    </row>
    <row r="20" customFormat="false" ht="15" hidden="false" customHeight="false" outlineLevel="0" collapsed="false">
      <c r="A20" s="7" t="n">
        <v>5</v>
      </c>
      <c r="B20" s="7" t="s">
        <v>186</v>
      </c>
      <c r="C20" s="39" t="n">
        <v>318000</v>
      </c>
      <c r="D20" s="16" t="n">
        <f aca="false">'The Model'!B46</f>
        <v>318000</v>
      </c>
      <c r="E20" s="16" t="n">
        <f aca="false">D20-C20</f>
        <v>0</v>
      </c>
      <c r="F20" s="40" t="str">
        <f aca="false">IF(ABS(D20-C20)&lt;=1,"PASS","FAIL")</f>
        <v>PASS</v>
      </c>
    </row>
    <row r="21" customFormat="false" ht="15" hidden="false" customHeight="false" outlineLevel="0" collapsed="false">
      <c r="A21" s="7" t="n">
        <v>5</v>
      </c>
      <c r="B21" s="7" t="s">
        <v>187</v>
      </c>
      <c r="C21" s="41" t="n">
        <v>0.1875</v>
      </c>
      <c r="D21" s="24" t="n">
        <f aca="false">ROUND('The Model'!B47,4)</f>
        <v>0.1875</v>
      </c>
      <c r="E21" s="24" t="n">
        <f aca="false">D21-C21</f>
        <v>0</v>
      </c>
      <c r="F21" s="40" t="str">
        <f aca="false">IF(ABS(D21-C21)&lt;=0.00005,"PASS","FAIL")</f>
        <v>PASS</v>
      </c>
    </row>
    <row r="22" customFormat="false" ht="15" hidden="false" customHeight="false" outlineLevel="0" collapsed="false">
      <c r="A22" s="7" t="n">
        <v>5</v>
      </c>
      <c r="B22" s="7" t="s">
        <v>188</v>
      </c>
      <c r="C22" s="39" t="n">
        <v>4982000</v>
      </c>
      <c r="D22" s="16" t="n">
        <f aca="false">'The Model'!B48</f>
        <v>4982000</v>
      </c>
      <c r="E22" s="16" t="n">
        <f aca="false">D22-C22</f>
        <v>0</v>
      </c>
      <c r="F22" s="40" t="str">
        <f aca="false">IF(ABS(D22-C22)&lt;=1,"PASS","FAIL")</f>
        <v>PASS</v>
      </c>
    </row>
    <row r="23" customFormat="false" ht="15" hidden="false" customHeight="false" outlineLevel="0" collapsed="false">
      <c r="A23" s="7" t="n">
        <v>5</v>
      </c>
      <c r="B23" s="7" t="s">
        <v>189</v>
      </c>
      <c r="C23" s="41" t="n">
        <v>0.0682</v>
      </c>
      <c r="D23" s="24" t="n">
        <f aca="false">ROUND('The Model'!B49,4)</f>
        <v>0.0682</v>
      </c>
      <c r="E23" s="24" t="n">
        <f aca="false">D23-C23</f>
        <v>0</v>
      </c>
      <c r="F23" s="40" t="str">
        <f aca="false">IF(ABS(D23-C23)&lt;=0.00005,"PASS","FAIL")</f>
        <v>PASS</v>
      </c>
    </row>
    <row r="24" customFormat="false" ht="15" hidden="false" customHeight="false" outlineLevel="0" collapsed="false">
      <c r="A24" s="7" t="n">
        <v>5</v>
      </c>
      <c r="B24" s="7" t="s">
        <v>190</v>
      </c>
      <c r="C24" s="39" t="n">
        <v>2342283</v>
      </c>
      <c r="D24" s="16" t="n">
        <f aca="false">ROUND('The Model'!B50,0)</f>
        <v>2342283</v>
      </c>
      <c r="E24" s="16" t="n">
        <f aca="false">D24-C24</f>
        <v>0</v>
      </c>
      <c r="F24" s="40" t="str">
        <f aca="false">IF(ABS(D24-C24)&lt;=1,"PASS","FAIL")</f>
        <v>PASS</v>
      </c>
    </row>
    <row r="25" customFormat="false" ht="15" hidden="false" customHeight="false" outlineLevel="0" collapsed="false">
      <c r="A25" s="7" t="n">
        <v>4</v>
      </c>
      <c r="B25" s="7" t="s">
        <v>191</v>
      </c>
      <c r="C25" s="39" t="n">
        <v>2424660</v>
      </c>
      <c r="D25" s="16" t="n">
        <f aca="false">ROUND('The Model'!B51,0)</f>
        <v>2424660</v>
      </c>
      <c r="E25" s="16" t="n">
        <f aca="false">D25-C25</f>
        <v>0</v>
      </c>
      <c r="F25" s="40" t="str">
        <f aca="false">IF(ABS(D25-C25)&lt;=1,"PASS","FAIL")</f>
        <v>PASS</v>
      </c>
    </row>
    <row r="26" customFormat="false" ht="15" hidden="false" customHeight="false" outlineLevel="0" collapsed="false">
      <c r="A26" s="7" t="n">
        <v>4</v>
      </c>
      <c r="B26" s="7" t="s">
        <v>63</v>
      </c>
      <c r="C26" s="39" t="n">
        <v>2041819</v>
      </c>
      <c r="D26" s="16" t="n">
        <f aca="false">ROUND('The Model'!B52,0)</f>
        <v>2041819</v>
      </c>
      <c r="E26" s="16" t="n">
        <f aca="false">D26-C26</f>
        <v>0</v>
      </c>
      <c r="F26" s="40" t="str">
        <f aca="false">IF(ABS(D26-C26)&lt;=1,"PASS","FAIL")</f>
        <v>PASS</v>
      </c>
    </row>
    <row r="27" customFormat="false" ht="15" hidden="false" customHeight="false" outlineLevel="0" collapsed="false">
      <c r="A27" s="7" t="n">
        <v>4</v>
      </c>
      <c r="B27" s="7" t="s">
        <v>192</v>
      </c>
      <c r="C27" s="39" t="n">
        <v>382841</v>
      </c>
      <c r="D27" s="16" t="n">
        <f aca="false">ROUND('The Model'!B53,0)</f>
        <v>382841</v>
      </c>
      <c r="E27" s="16" t="n">
        <f aca="false">D27-C27</f>
        <v>0</v>
      </c>
      <c r="F27" s="40" t="str">
        <f aca="false">IF(ABS(D27-C27)&lt;=1,"PASS","FAIL")</f>
        <v>PASS</v>
      </c>
    </row>
    <row r="28" customFormat="false" ht="15" hidden="false" customHeight="false" outlineLevel="0" collapsed="false">
      <c r="A28" s="7" t="n">
        <v>4</v>
      </c>
      <c r="B28" s="7" t="s">
        <v>65</v>
      </c>
      <c r="C28" s="42" t="n">
        <v>0.276</v>
      </c>
      <c r="D28" s="27" t="n">
        <f aca="false">ROUND('The Model'!B54,3)</f>
        <v>0.276</v>
      </c>
      <c r="E28" s="27" t="n">
        <f aca="false">D28-C28</f>
        <v>0</v>
      </c>
      <c r="F28" s="40" t="str">
        <f aca="false">IF(ABS(D28-C28)&lt;=0.0005,"PASS","FAIL")</f>
        <v>PASS</v>
      </c>
    </row>
    <row r="29" customFormat="false" ht="15" hidden="false" customHeight="false" outlineLevel="0" collapsed="false">
      <c r="A29" s="7" t="n">
        <v>4</v>
      </c>
      <c r="B29" s="7" t="s">
        <v>193</v>
      </c>
      <c r="C29" s="39" t="n">
        <v>13254569</v>
      </c>
      <c r="D29" s="16" t="n">
        <f aca="false">ROUND('The Model'!B55,0)</f>
        <v>13254569</v>
      </c>
      <c r="E29" s="16" t="n">
        <f aca="false">D29-C29</f>
        <v>0</v>
      </c>
      <c r="F29" s="40" t="str">
        <f aca="false">IF(ABS(D29-C29)&lt;=1,"PASS","FAIL")</f>
        <v>PASS</v>
      </c>
    </row>
    <row r="30" customFormat="false" ht="15" hidden="false" customHeight="false" outlineLevel="0" collapsed="false">
      <c r="A30" s="7" t="n">
        <v>4</v>
      </c>
      <c r="B30" s="7" t="s">
        <v>67</v>
      </c>
      <c r="C30" s="39" t="n">
        <v>612546</v>
      </c>
      <c r="D30" s="16" t="n">
        <f aca="false">ROUND('The Model'!B56,0)</f>
        <v>612546</v>
      </c>
      <c r="E30" s="16" t="n">
        <f aca="false">D30-C30</f>
        <v>0</v>
      </c>
      <c r="F30" s="40" t="str">
        <f aca="false">IF(ABS(D30-C30)&lt;=1,"PASS","FAIL")</f>
        <v>PASS</v>
      </c>
    </row>
    <row r="31" customFormat="false" ht="15" hidden="false" customHeight="false" outlineLevel="0" collapsed="false">
      <c r="A31" s="7" t="n">
        <v>4</v>
      </c>
      <c r="B31" s="7" t="s">
        <v>194</v>
      </c>
      <c r="C31" s="41" t="n">
        <v>0.1472</v>
      </c>
      <c r="D31" s="24" t="n">
        <f aca="false">ROUND('The Model'!B57,4)</f>
        <v>0.1472</v>
      </c>
      <c r="E31" s="24" t="n">
        <f aca="false">D31-C31</f>
        <v>0</v>
      </c>
      <c r="F31" s="40" t="str">
        <f aca="false">IF(ABS(D31-C31)&lt;=0.00005,"PASS","FAIL")</f>
        <v>PASS</v>
      </c>
    </row>
    <row r="32" customFormat="false" ht="15" hidden="false" customHeight="false" outlineLevel="0" collapsed="false">
      <c r="A32" s="7" t="n">
        <v>5</v>
      </c>
      <c r="B32" s="7" t="s">
        <v>195</v>
      </c>
      <c r="C32" s="39" t="n">
        <v>72080</v>
      </c>
      <c r="D32" s="16" t="n">
        <f aca="false">'The Model'!B58</f>
        <v>72080</v>
      </c>
      <c r="E32" s="16" t="n">
        <f aca="false">D32-C32</f>
        <v>0</v>
      </c>
      <c r="F32" s="40" t="str">
        <f aca="false">IF(ABS(D32-C32)&lt;=0.000001,"PASS","FAIL")</f>
        <v>PASS</v>
      </c>
    </row>
    <row r="33" customFormat="false" ht="15" hidden="false" customHeight="false" outlineLevel="0" collapsed="false">
      <c r="A33" s="7" t="n">
        <v>5</v>
      </c>
      <c r="B33" s="7" t="s">
        <v>196</v>
      </c>
      <c r="C33" s="43" t="n">
        <v>15.66</v>
      </c>
      <c r="D33" s="22" t="n">
        <f aca="false">ROUND('The Model'!B59,2)</f>
        <v>15.66</v>
      </c>
      <c r="E33" s="22" t="n">
        <f aca="false">D33-C33</f>
        <v>0</v>
      </c>
      <c r="F33" s="40" t="str">
        <f aca="false">IF(ABS(D33-C33)&lt;=0.005,"PASS","FAIL")</f>
        <v>PASS</v>
      </c>
      <c r="G33" s="28" t="s">
        <v>197</v>
      </c>
    </row>
    <row r="34" customFormat="false" ht="15" hidden="false" customHeight="false" outlineLevel="0" collapsed="false">
      <c r="A34" s="7" t="n">
        <v>5</v>
      </c>
      <c r="B34" s="7" t="s">
        <v>198</v>
      </c>
      <c r="C34" s="41" t="n">
        <v>0.0638</v>
      </c>
      <c r="D34" s="24" t="n">
        <f aca="false">ROUND('The Model'!B60,4)</f>
        <v>0.0638</v>
      </c>
      <c r="E34" s="24" t="n">
        <f aca="false">D34-C34</f>
        <v>0</v>
      </c>
      <c r="F34" s="40" t="str">
        <f aca="false">IF(ABS(D34-C34)&lt;=0.00005,"PASS","FAIL")</f>
        <v>PASS</v>
      </c>
    </row>
    <row r="35" customFormat="false" ht="15" hidden="false" customHeight="false" outlineLevel="0" collapsed="false">
      <c r="A35" s="7" t="n">
        <v>5</v>
      </c>
      <c r="B35" s="7" t="s">
        <v>199</v>
      </c>
      <c r="C35" s="41" t="n">
        <v>0</v>
      </c>
      <c r="D35" s="24" t="n">
        <f aca="false">'The Model'!B61-'The Model'!B39</f>
        <v>0</v>
      </c>
      <c r="E35" s="24" t="n">
        <f aca="false">D35-C35</f>
        <v>0</v>
      </c>
      <c r="F35" s="40" t="str">
        <f aca="false">IF(ABS(D35-C35)&lt;=0.000000000001,"PASS","FAIL")</f>
        <v>PASS</v>
      </c>
      <c r="G35" s="28" t="s">
        <v>200</v>
      </c>
    </row>
    <row r="36" customFormat="false" ht="15" hidden="false" customHeight="false" outlineLevel="0" collapsed="false">
      <c r="A36" s="7" t="n">
        <v>6</v>
      </c>
      <c r="B36" s="7" t="s">
        <v>100</v>
      </c>
      <c r="C36" s="41" t="n">
        <v>0.104</v>
      </c>
      <c r="D36" s="24" t="n">
        <f aca="false">ROUND('Cost of Capital'!B8,4)</f>
        <v>0.104</v>
      </c>
      <c r="E36" s="24" t="n">
        <f aca="false">D36-C36</f>
        <v>0</v>
      </c>
      <c r="F36" s="40" t="str">
        <f aca="false">IF(ABS(D36-C36)&lt;=0.00005,"PASS","FAIL")</f>
        <v>PASS</v>
      </c>
    </row>
    <row r="37" customFormat="false" ht="15" hidden="false" customHeight="false" outlineLevel="0" collapsed="false">
      <c r="A37" s="7" t="n">
        <v>6</v>
      </c>
      <c r="B37" s="7" t="s">
        <v>104</v>
      </c>
      <c r="C37" s="41" t="n">
        <v>0.048</v>
      </c>
      <c r="D37" s="24" t="n">
        <f aca="false">ROUND('Cost of Capital'!B10,4)</f>
        <v>0.048</v>
      </c>
      <c r="E37" s="24" t="n">
        <f aca="false">D37-C37</f>
        <v>0</v>
      </c>
      <c r="F37" s="40" t="str">
        <f aca="false">IF(ABS(D37-C37)&lt;=0.00005,"PASS","FAIL")</f>
        <v>PASS</v>
      </c>
    </row>
    <row r="38" customFormat="false" ht="15" hidden="false" customHeight="false" outlineLevel="0" collapsed="false">
      <c r="A38" s="7" t="n">
        <v>6</v>
      </c>
      <c r="B38" s="7" t="s">
        <v>201</v>
      </c>
      <c r="C38" s="41" t="n">
        <v>0</v>
      </c>
      <c r="D38" s="24" t="n">
        <f aca="false">'Cost of Capital'!B15-WACC</f>
        <v>0</v>
      </c>
      <c r="E38" s="24" t="n">
        <f aca="false">D38-C38</f>
        <v>0</v>
      </c>
      <c r="F38" s="40" t="str">
        <f aca="false">IF(ABS(D38-C38)&lt;=0.000000000001,"PASS","FAIL")</f>
        <v>PASS</v>
      </c>
      <c r="G38" s="28" t="s">
        <v>202</v>
      </c>
    </row>
    <row r="39" customFormat="false" ht="15" hidden="false" customHeight="false" outlineLevel="0" collapsed="false">
      <c r="A39" s="7" t="n">
        <v>6</v>
      </c>
      <c r="B39" s="7" t="s">
        <v>203</v>
      </c>
      <c r="C39" s="39" t="n">
        <v>9245694</v>
      </c>
      <c r="D39" s="16" t="n">
        <f aca="false">ROUND('Cost of Capital'!B21,0)</f>
        <v>9245694</v>
      </c>
      <c r="E39" s="16" t="n">
        <f aca="false">D39-C39</f>
        <v>0</v>
      </c>
      <c r="F39" s="40" t="str">
        <f aca="false">IF(ABS(D39-C39)&lt;=1,"PASS","FAIL")</f>
        <v>PASS</v>
      </c>
    </row>
    <row r="40" customFormat="false" ht="15" hidden="false" customHeight="false" outlineLevel="0" collapsed="false">
      <c r="A40" s="7" t="n">
        <v>6</v>
      </c>
      <c r="B40" s="7" t="s">
        <v>117</v>
      </c>
      <c r="C40" s="41" t="n">
        <v>0.1265</v>
      </c>
      <c r="D40" s="24" t="n">
        <f aca="false">ROUND('Cost of Capital'!B22,4)</f>
        <v>0.1265</v>
      </c>
      <c r="E40" s="24" t="n">
        <f aca="false">D40-C40</f>
        <v>0</v>
      </c>
      <c r="F40" s="40" t="str">
        <f aca="false">IF(ABS(D40-C40)&lt;=0.00005,"PASS","FAIL")</f>
        <v>PASS</v>
      </c>
    </row>
    <row r="41" customFormat="false" ht="15" hidden="false" customHeight="false" outlineLevel="0" collapsed="false">
      <c r="A41" s="7" t="n">
        <v>6</v>
      </c>
      <c r="B41" s="7" t="s">
        <v>204</v>
      </c>
      <c r="C41" s="39" t="n">
        <v>78752060</v>
      </c>
      <c r="D41" s="16" t="n">
        <f aca="false">ROUND(Sensitivity!B9,0)</f>
        <v>78752060</v>
      </c>
      <c r="E41" s="16" t="n">
        <f aca="false">D41-C41</f>
        <v>0</v>
      </c>
      <c r="F41" s="40" t="str">
        <f aca="false">IF(ABS(D41-C41)&lt;=1,"PASS","FAIL")</f>
        <v>PASS</v>
      </c>
    </row>
    <row r="42" customFormat="false" ht="15" hidden="false" customHeight="false" outlineLevel="0" collapsed="false">
      <c r="A42" s="7" t="n">
        <v>6</v>
      </c>
      <c r="B42" s="7" t="s">
        <v>205</v>
      </c>
      <c r="C42" s="39" t="n">
        <v>68129031</v>
      </c>
      <c r="D42" s="16" t="n">
        <f aca="false">ROUND(Sensitivity!B11,0)</f>
        <v>68129031</v>
      </c>
      <c r="E42" s="16" t="n">
        <f aca="false">D42-C42</f>
        <v>0</v>
      </c>
      <c r="F42" s="40" t="str">
        <f aca="false">IF(ABS(D42-C42)&lt;=1,"PASS","FAIL")</f>
        <v>PASS</v>
      </c>
    </row>
    <row r="43" customFormat="false" ht="15" hidden="false" customHeight="false" outlineLevel="0" collapsed="false">
      <c r="A43" s="7" t="n">
        <v>6</v>
      </c>
      <c r="B43" s="7" t="s">
        <v>206</v>
      </c>
      <c r="C43" s="39" t="n">
        <v>12332884</v>
      </c>
      <c r="D43" s="16" t="n">
        <f aca="false">ROUND(Sensitivity!B8-EVDCF,0)</f>
        <v>12332884</v>
      </c>
      <c r="E43" s="16" t="n">
        <f aca="false">D43-C43</f>
        <v>0</v>
      </c>
      <c r="F43" s="40" t="str">
        <f aca="false">IF(ABS(D43-C43)&lt;=1,"PASS","FAIL")</f>
        <v>PASS</v>
      </c>
    </row>
    <row r="44" customFormat="false" ht="15" hidden="false" customHeight="false" outlineLevel="0" collapsed="false">
      <c r="A44" s="7" t="n">
        <v>7</v>
      </c>
      <c r="B44" s="7" t="s">
        <v>207</v>
      </c>
      <c r="C44" s="39" t="n">
        <v>95455033</v>
      </c>
      <c r="D44" s="16" t="n">
        <f aca="false">ROUND('Terminal Value'!B9,0)</f>
        <v>95455037</v>
      </c>
      <c r="E44" s="16" t="n">
        <f aca="false">D44-C44</f>
        <v>4</v>
      </c>
      <c r="F44" s="40" t="str">
        <f aca="false">IF(ABS(D44-C44)&lt;=5,"PASS","FAIL")</f>
        <v>PASS</v>
      </c>
      <c r="G44" s="28" t="s">
        <v>208</v>
      </c>
    </row>
    <row r="45" customFormat="false" ht="15" hidden="false" customHeight="false" outlineLevel="0" collapsed="false">
      <c r="A45" s="7" t="n">
        <v>7</v>
      </c>
      <c r="B45" s="7" t="s">
        <v>209</v>
      </c>
      <c r="C45" s="42" t="n">
        <v>0.167</v>
      </c>
      <c r="D45" s="27" t="n">
        <f aca="false">ROUND('Terminal Value'!B10,3)</f>
        <v>0.167</v>
      </c>
      <c r="E45" s="27" t="n">
        <f aca="false">D45-C45</f>
        <v>0</v>
      </c>
      <c r="F45" s="40" t="str">
        <f aca="false">IF(ABS(D45-C45)&lt;=0.0005,"PASS","FAIL")</f>
        <v>PASS</v>
      </c>
    </row>
    <row r="46" customFormat="false" ht="15" hidden="false" customHeight="false" outlineLevel="0" collapsed="false">
      <c r="A46" s="7" t="n">
        <v>7</v>
      </c>
      <c r="B46" s="7" t="s">
        <v>210</v>
      </c>
      <c r="C46" s="42" t="n">
        <v>0.077</v>
      </c>
      <c r="D46" s="27" t="n">
        <f aca="false">ROUND('Terminal Value'!B14,3)</f>
        <v>0.077</v>
      </c>
      <c r="E46" s="27" t="n">
        <f aca="false">D46-C46</f>
        <v>0</v>
      </c>
      <c r="F46" s="40" t="str">
        <f aca="false">IF(ABS(D46-C46)&lt;=0.0005,"PASS","FAIL")</f>
        <v>PASS</v>
      </c>
    </row>
    <row r="47" customFormat="false" ht="15" hidden="false" customHeight="false" outlineLevel="0" collapsed="false">
      <c r="A47" s="7" t="n">
        <v>7</v>
      </c>
      <c r="B47" s="7" t="s">
        <v>211</v>
      </c>
      <c r="C47" s="39" t="n">
        <v>4735214</v>
      </c>
      <c r="D47" s="16" t="n">
        <f aca="false">ROUND('Terminal Value'!B18,0)</f>
        <v>4735214</v>
      </c>
      <c r="E47" s="16" t="n">
        <f aca="false">D47-C47</f>
        <v>0</v>
      </c>
      <c r="F47" s="40" t="str">
        <f aca="false">IF(ABS(D47-C47)&lt;=1,"PASS","FAIL")</f>
        <v>PASS</v>
      </c>
      <c r="G47" s="28" t="s">
        <v>212</v>
      </c>
    </row>
    <row r="48" customFormat="false" ht="15" hidden="false" customHeight="false" outlineLevel="0" collapsed="false">
      <c r="A48" s="7" t="n">
        <v>8</v>
      </c>
      <c r="B48" s="7" t="s">
        <v>213</v>
      </c>
      <c r="C48" s="39" t="n">
        <v>21578578</v>
      </c>
      <c r="D48" s="16" t="n">
        <f aca="false">ROUND(Ranking!E5,0)</f>
        <v>21578578</v>
      </c>
      <c r="E48" s="16" t="n">
        <f aca="false">D48-C48</f>
        <v>0</v>
      </c>
      <c r="F48" s="40" t="str">
        <f aca="false">IF(ABS(D48-C48)&lt;=1,"PASS","FAIL")</f>
        <v>PASS</v>
      </c>
    </row>
    <row r="49" customFormat="false" ht="15" hidden="false" customHeight="false" outlineLevel="0" collapsed="false">
      <c r="A49" s="7" t="n">
        <v>8</v>
      </c>
      <c r="B49" s="7" t="s">
        <v>214</v>
      </c>
      <c r="C49" s="39" t="n">
        <v>11955368</v>
      </c>
      <c r="D49" s="16" t="n">
        <f aca="false">ROUND(Ranking!E6,0)</f>
        <v>11955368</v>
      </c>
      <c r="E49" s="16" t="n">
        <f aca="false">D49-C49</f>
        <v>0</v>
      </c>
      <c r="F49" s="40" t="str">
        <f aca="false">IF(ABS(D49-C49)&lt;=1,"PASS","FAIL")</f>
        <v>PASS</v>
      </c>
      <c r="G49" s="28" t="s">
        <v>215</v>
      </c>
    </row>
    <row r="50" customFormat="false" ht="15" hidden="false" customHeight="false" outlineLevel="0" collapsed="false">
      <c r="A50" s="7" t="n">
        <v>8</v>
      </c>
      <c r="B50" s="7" t="s">
        <v>216</v>
      </c>
      <c r="C50" s="39" t="n">
        <v>8159608</v>
      </c>
      <c r="D50" s="16" t="n">
        <f aca="false">ROUND(Ranking!E7,0)</f>
        <v>8159608</v>
      </c>
      <c r="E50" s="16" t="n">
        <f aca="false">D50-C50</f>
        <v>0</v>
      </c>
      <c r="F50" s="40" t="str">
        <f aca="false">IF(ABS(D50-C50)&lt;=1,"PASS","FAIL")</f>
        <v>PASS</v>
      </c>
      <c r="G50" s="28" t="s">
        <v>217</v>
      </c>
    </row>
    <row r="51" customFormat="false" ht="15" hidden="false" customHeight="false" outlineLevel="0" collapsed="false">
      <c r="A51" s="7" t="n">
        <v>8</v>
      </c>
      <c r="B51" s="7" t="s">
        <v>218</v>
      </c>
      <c r="C51" s="39" t="n">
        <v>2672016</v>
      </c>
      <c r="D51" s="16" t="n">
        <f aca="false">ROUND(Ranking!E8,0)</f>
        <v>2672016</v>
      </c>
      <c r="E51" s="16" t="n">
        <f aca="false">D51-C51</f>
        <v>0</v>
      </c>
      <c r="F51" s="40" t="str">
        <f aca="false">IF(ABS(D51-C51)&lt;=1,"PASS","FAIL")</f>
        <v>PASS</v>
      </c>
      <c r="G51" s="28" t="s">
        <v>219</v>
      </c>
    </row>
    <row r="52" customFormat="false" ht="15" hidden="false" customHeight="false" outlineLevel="0" collapsed="false">
      <c r="A52" s="7" t="n">
        <v>8</v>
      </c>
      <c r="B52" s="7" t="s">
        <v>220</v>
      </c>
      <c r="C52" s="39" t="n">
        <v>2672016</v>
      </c>
      <c r="D52" s="16" t="n">
        <f aca="false">ROUND(Ranking!E9,0)</f>
        <v>2672016</v>
      </c>
      <c r="E52" s="16" t="n">
        <f aca="false">D52-C52</f>
        <v>0</v>
      </c>
      <c r="F52" s="40" t="str">
        <f aca="false">IF(ABS(D52-C52)&lt;=1,"PASS","FAIL")</f>
        <v>PASS</v>
      </c>
      <c r="G52" s="28" t="s">
        <v>221</v>
      </c>
    </row>
    <row r="53" customFormat="false" ht="15" hidden="false" customHeight="false" outlineLevel="0" collapsed="false">
      <c r="A53" s="7" t="n">
        <v>8</v>
      </c>
      <c r="B53" s="7" t="s">
        <v>222</v>
      </c>
      <c r="C53" s="39" t="n">
        <v>2258236</v>
      </c>
      <c r="D53" s="16" t="n">
        <f aca="false">ROUND(Ranking!E10,0)</f>
        <v>2258236</v>
      </c>
      <c r="E53" s="16" t="n">
        <f aca="false">D53-C53</f>
        <v>0</v>
      </c>
      <c r="F53" s="40" t="str">
        <f aca="false">IF(ABS(D53-C53)&lt;=1,"PASS","FAIL")</f>
        <v>PASS</v>
      </c>
      <c r="G53" s="28" t="s">
        <v>223</v>
      </c>
    </row>
    <row r="54" customFormat="false" ht="15" hidden="false" customHeight="false" outlineLevel="0" collapsed="false">
      <c r="A54" s="7" t="n">
        <v>8</v>
      </c>
      <c r="B54" s="7" t="s">
        <v>224</v>
      </c>
      <c r="C54" s="44" t="n">
        <v>0</v>
      </c>
      <c r="D54" s="37" t="n">
        <f aca="false">ABS(Ranking!G5-1)+ABS(Ranking!G6-2)+ABS(Ranking!G7-3)+ABS(Ranking!G8-4)+ABS(Ranking!G9-4)+ABS(Ranking!G10-6)</f>
        <v>0</v>
      </c>
      <c r="E54" s="37" t="n">
        <f aca="false">D54-C54</f>
        <v>0</v>
      </c>
      <c r="F54" s="40" t="str">
        <f aca="false">IF(ABS(D54-C54)&lt;=0,"PASS","FAIL")</f>
        <v>PASS</v>
      </c>
    </row>
    <row r="55" customFormat="false" ht="15" hidden="false" customHeight="false" outlineLevel="0" collapsed="false">
      <c r="A55" s="7" t="n">
        <v>8</v>
      </c>
      <c r="B55" s="7" t="s">
        <v>225</v>
      </c>
      <c r="C55" s="45" t="n">
        <v>0</v>
      </c>
      <c r="D55" s="38" t="n">
        <f aca="false">Ranking!C13</f>
        <v>0</v>
      </c>
      <c r="E55" s="38" t="n">
        <f aca="false">D55-C55</f>
        <v>0</v>
      </c>
      <c r="F55" s="40" t="str">
        <f aca="false">IF(ABS(D55-C55)&lt;=0.000001,"PASS","FAIL")</f>
        <v>PASS</v>
      </c>
      <c r="G55" s="28" t="s">
        <v>200</v>
      </c>
    </row>
    <row r="56" customFormat="false" ht="15" hidden="false" customHeight="false" outlineLevel="0" collapsed="false">
      <c r="A56" s="7" t="n">
        <v>8</v>
      </c>
      <c r="B56" s="7" t="s">
        <v>226</v>
      </c>
      <c r="C56" s="39" t="n">
        <v>80102000</v>
      </c>
      <c r="D56" s="16" t="n">
        <f aca="false">Sensitivity!B21</f>
        <v>80102194.0420597</v>
      </c>
      <c r="E56" s="16" t="n">
        <f aca="false">D56-C56</f>
        <v>194.042059645057</v>
      </c>
      <c r="F56" s="40" t="str">
        <f aca="false">IF(ABS(D56-C56)&lt;=500,"PASS","FAIL")</f>
        <v>PASS</v>
      </c>
    </row>
    <row r="57" customFormat="false" ht="15" hidden="false" customHeight="false" outlineLevel="0" collapsed="false">
      <c r="A57" s="7" t="n">
        <v>8</v>
      </c>
      <c r="B57" s="7" t="s">
        <v>227</v>
      </c>
      <c r="C57" s="39" t="n">
        <v>91647000</v>
      </c>
      <c r="D57" s="16" t="n">
        <f aca="false">Sensitivity!B23</f>
        <v>91646793.3014318</v>
      </c>
      <c r="E57" s="16" t="n">
        <f aca="false">D57-C57</f>
        <v>-206.698568195105</v>
      </c>
      <c r="F57" s="40" t="str">
        <f aca="false">IF(ABS(D57-C57)&lt;=500,"PASS","FAIL")</f>
        <v>PASS</v>
      </c>
    </row>
    <row r="58" customFormat="false" ht="15" hidden="false" customHeight="false" outlineLevel="0" collapsed="false">
      <c r="A58" s="7" t="n">
        <v>8</v>
      </c>
      <c r="B58" s="7" t="s">
        <v>228</v>
      </c>
      <c r="C58" s="39" t="n">
        <v>69272000</v>
      </c>
      <c r="D58" s="16" t="n">
        <f aca="false">Sensitivity!D21</f>
        <v>69272195.0961092</v>
      </c>
      <c r="E58" s="16" t="n">
        <f aca="false">D58-C58</f>
        <v>195.096109211445</v>
      </c>
      <c r="F58" s="40" t="str">
        <f aca="false">IF(ABS(D58-C58)&lt;=500,"PASS","FAIL")</f>
        <v>PASS</v>
      </c>
    </row>
    <row r="59" customFormat="false" ht="15" hidden="false" customHeight="false" outlineLevel="0" collapsed="false">
      <c r="A59" s="7" t="n">
        <v>8</v>
      </c>
      <c r="B59" s="7" t="s">
        <v>229</v>
      </c>
      <c r="C59" s="39" t="n">
        <v>77432000</v>
      </c>
      <c r="D59" s="16" t="n">
        <f aca="false">Sensitivity!D23</f>
        <v>77431803.5341931</v>
      </c>
      <c r="E59" s="16" t="n">
        <f aca="false">D59-C59</f>
        <v>-196.465806931257</v>
      </c>
      <c r="F59" s="40" t="str">
        <f aca="false">IF(ABS(D59-C59)&lt;=500,"PASS","FAIL")</f>
        <v>PASS</v>
      </c>
    </row>
    <row r="60" customFormat="false" ht="15" hidden="false" customHeight="false" outlineLevel="0" collapsed="false">
      <c r="A60" s="7" t="n">
        <v>8</v>
      </c>
      <c r="B60" s="7" t="s">
        <v>230</v>
      </c>
      <c r="C60" s="39" t="n">
        <v>60995000</v>
      </c>
      <c r="D60" s="16" t="n">
        <f aca="false">Sensitivity!F21</f>
        <v>60994948.2255712</v>
      </c>
      <c r="E60" s="16" t="n">
        <f aca="false">D60-C60</f>
        <v>-51.7744288221002</v>
      </c>
      <c r="F60" s="40" t="str">
        <f aca="false">IF(ABS(D60-C60)&lt;=500,"PASS","FAIL")</f>
        <v>PASS</v>
      </c>
    </row>
    <row r="61" customFormat="false" ht="15" hidden="false" customHeight="false" outlineLevel="0" collapsed="false">
      <c r="A61" s="7" t="n">
        <v>8</v>
      </c>
      <c r="B61" s="7" t="s">
        <v>231</v>
      </c>
      <c r="C61" s="39" t="n">
        <v>67011000</v>
      </c>
      <c r="D61" s="16" t="n">
        <f aca="false">Sensitivity!F23</f>
        <v>67010825.9504132</v>
      </c>
      <c r="E61" s="16" t="n">
        <f aca="false">D61-C61</f>
        <v>-174.049586817622</v>
      </c>
      <c r="F61" s="40" t="str">
        <f aca="false">IF(ABS(D61-C61)&lt;=500,"PASS","FAIL")</f>
        <v>PASS</v>
      </c>
    </row>
    <row r="62" customFormat="false" ht="15" hidden="false" customHeight="false" outlineLevel="0" collapsed="false">
      <c r="A62" s="7" t="n">
        <v>8</v>
      </c>
      <c r="B62" s="7" t="s">
        <v>232</v>
      </c>
      <c r="C62" s="39" t="n">
        <v>30652000</v>
      </c>
      <c r="D62" s="16" t="n">
        <f aca="false">Sensitivity!B29</f>
        <v>30651845.0758606</v>
      </c>
      <c r="E62" s="16" t="n">
        <f aca="false">D62-C62</f>
        <v>-154.924139373004</v>
      </c>
      <c r="F62" s="40" t="str">
        <f aca="false">IF(ABS(D62-C62)&lt;=1000,"PASS","FAIL")</f>
        <v>PASS</v>
      </c>
    </row>
    <row r="63" customFormat="false" ht="15" hidden="false" customHeight="false" outlineLevel="0" collapsed="false">
      <c r="A63" s="7" t="n">
        <v>8</v>
      </c>
      <c r="B63" s="7" t="s">
        <v>233</v>
      </c>
      <c r="C63" s="39" t="n">
        <v>13091000</v>
      </c>
      <c r="D63" s="16" t="n">
        <f aca="false">Sensitivity!B31</f>
        <v>13091368.0916465</v>
      </c>
      <c r="E63" s="16" t="n">
        <f aca="false">D63-C63</f>
        <v>368.091646462679</v>
      </c>
      <c r="F63" s="40" t="str">
        <f aca="false">IF(ABS(D63-C63)&lt;=1000,"PASS","FAIL")</f>
        <v>PASS</v>
      </c>
    </row>
    <row r="65" customFormat="false" ht="15" hidden="false" customHeight="false" outlineLevel="0" collapsed="false">
      <c r="B65" s="12" t="s">
        <v>234</v>
      </c>
      <c r="D65" s="12" t="str">
        <f aca="false">COUNTIF(F6:F63,"PASS")&amp;" of "&amp;58</f>
        <v>58 of 58</v>
      </c>
      <c r="F65" s="12" t="str">
        <f aca="false">IF(COUNTIF(F6:F63,"PASS")=58,"ALL PASS","SOME FAIL")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2026-08-28T18:05:50Z</dcterms:created>
  <dc:creator>openpyxl</dc:creator>
  <dc:description/>
  <dc:language>en-US</dc:language>
  <cp:lastModifiedBy/>
  <dcterms:modified xsi:type="dcterms:W3CDTF">2026-09-24T01:10:50Z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