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The Three Values" sheetId="3" state="visible" r:id="rId5"/>
    <sheet name="The Gap" sheetId="4" state="visible" r:id="rId6"/>
    <sheet name="Checks" sheetId="5" state="visible" r:id="rId7"/>
  </sheets>
  <definedNames>
    <definedName function="false" hidden="false" name="CAPEX0" vbProcedure="false">Inputs!$B$11</definedName>
    <definedName function="false" hidden="false" name="DA0" vbProcedure="false">Inputs!$B$9</definedName>
    <definedName function="false" hidden="false" name="DWC0" vbProcedure="false">Inputs!$B$12</definedName>
    <definedName function="false" hidden="false" name="EBITDA0" vbProcedure="false">Inputs!$B$15</definedName>
    <definedName function="false" hidden="false" name="EVCOMP" vbProcedure="false">'The Three Values'!$B$35</definedName>
    <definedName function="false" hidden="false" name="EVDCF" vbProcedure="false">'The Three Values'!$B$20</definedName>
    <definedName function="false" hidden="false" name="EVTXN" vbProcedure="false">'The Three Values'!$B$47</definedName>
    <definedName function="false" hidden="false" name="FCF5" vbProcedure="false">'The Three Values'!$D$12</definedName>
    <definedName function="false" hidden="false" name="GR" vbProcedure="false">Inputs!$B$22:$B$26</definedName>
    <definedName function="false" hidden="false" name="GTERM" vbProcedure="false">Inputs!$B$20</definedName>
    <definedName function="false" hidden="false" name="MARGIN" vbProcedure="false">Inputs!$B$8</definedName>
    <definedName function="false" hidden="false" name="NETDEBT" vbProcedure="false">Inputs!$B$13</definedName>
    <definedName function="false" hidden="false" name="PVFLOWS" vbProcedure="false">'The Three Values'!$F$13</definedName>
    <definedName function="false" hidden="false" name="REV0" vbProcedure="false">Inputs!$B$7</definedName>
    <definedName function="false" hidden="false" name="SHARES" vbProcedure="false">Inputs!$B$14</definedName>
    <definedName function="false" hidden="false" name="TAXR" vbProcedure="false">Inputs!$B$10</definedName>
    <definedName function="false" hidden="false" name="WACC" vbProcedure="false">Inputs!$B$19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<sst xmlns="http://schemas.openxmlformats.org/spreadsheetml/2006/main" count="173" uniqueCount="128">
  <si>
    <t xml:space="preserve">Workbook 1 - Cawdrey: The Three Values</t>
  </si>
  <si>
    <t xml:space="preserve">Companion to Business Valuation by Julian R. Sterling</t>
  </si>
  <si>
    <t xml:space="preserve">What this workbook does</t>
  </si>
  <si>
    <t xml:space="preserve">It values Cawdrey Instruments three ways from one set of inputs, and then does the thing the book is about: it puts each of the three values back into the same model and solves for the perpetual growth rate that would produce it.</t>
  </si>
  <si>
    <t xml:space="preserve">The result the book turns on</t>
  </si>
  <si>
    <t xml:space="preserve">The three methods land 26.8 per cent apart. Backed onto the same model at the same cost of capital they imply growth of 1.44, 2.00 and 3.41 per cent. The entire gap is 1.96 points of growth - a question a room can settle, rather than an argument about method weightings that no evidence can decide.</t>
  </si>
  <si>
    <t xml:space="preserve">And the parameter nobody argues about</t>
  </si>
  <si>
    <t xml:space="preserve">Hold growth fixed and move the cost of capital two hundred basis points: the value moves 21,578,578, which is 1.17 times the entire spread between the three methods.</t>
  </si>
  <si>
    <t xml:space="preserve">The book</t>
  </si>
  <si>
    <t xml:space="preserve">Business Valuation - A Practitioner's Guide to Three Values for One Company, and the Arithmetic of the Gap, by Julian R. Sterling.</t>
  </si>
  <si>
    <t xml:space="preserve">All four companion workbooks: julianrsterling.com/bizval</t>
  </si>
  <si>
    <t xml:space="preserve">Revised 24 September 2026. The bridge now reaches a value per share for all three methods (14.42, 15.47, 19.04), and The Gap sheet shows the same 18,480,000 in equity: 32.0 per cent of the lowest equity value against 26.8 per cent in enterprise value, because leverage magnifies a proportional disagreement. Nine checks added, 30 in all.</t>
  </si>
  <si>
    <t xml:space="preserve">Inputs</t>
  </si>
  <si>
    <t xml:space="preserve">Yellow cells only. Everything else is a formula.</t>
  </si>
  <si>
    <t xml:space="preserve">Cawdrey Instruments</t>
  </si>
  <si>
    <t xml:space="preserve">Revenue</t>
  </si>
  <si>
    <t xml:space="preserve">EBITDA margin</t>
  </si>
  <si>
    <t xml:space="preserve">Depreciation and amortisation</t>
  </si>
  <si>
    <t xml:space="preserve">Corporate tax rate</t>
  </si>
  <si>
    <t xml:space="preserve">Capital expenditure</t>
  </si>
  <si>
    <t xml:space="preserve">Increase in working capital</t>
  </si>
  <si>
    <t xml:space="preserve">Net debt</t>
  </si>
  <si>
    <t xml:space="preserve">Shares in issue</t>
  </si>
  <si>
    <t xml:space="preserve">EBITDA</t>
  </si>
  <si>
    <t xml:space="preserve">The plan and the discount rate</t>
  </si>
  <si>
    <t xml:space="preserve">Cost of capital</t>
  </si>
  <si>
    <t xml:space="preserve">Terminal growth</t>
  </si>
  <si>
    <t xml:space="preserve">Year</t>
  </si>
  <si>
    <t xml:space="preserve">Revenue growth</t>
  </si>
  <si>
    <t xml:space="preserve">Year 1</t>
  </si>
  <si>
    <t xml:space="preserve">Year 2</t>
  </si>
  <si>
    <t xml:space="preserve">Year 3</t>
  </si>
  <si>
    <t xml:space="preserve">Year 4</t>
  </si>
  <si>
    <t xml:space="preserve">Year 5</t>
  </si>
  <si>
    <t xml:space="preserve">Three values for one company</t>
  </si>
  <si>
    <t xml:space="preserve">Chapters 1, 9 and 11. The same company, three methods, on one set of inputs.</t>
  </si>
  <si>
    <t xml:space="preserve">The five-year build</t>
  </si>
  <si>
    <t xml:space="preserve">Free cash flow</t>
  </si>
  <si>
    <t xml:space="preserve">Discount factor</t>
  </si>
  <si>
    <t xml:space="preserve">Discounted</t>
  </si>
  <si>
    <t xml:space="preserve">Sum of discounted flows</t>
  </si>
  <si>
    <t xml:space="preserve">The terminal value</t>
  </si>
  <si>
    <t xml:space="preserve">Year five free cash flow</t>
  </si>
  <si>
    <t xml:space="preserve">Terminal value</t>
  </si>
  <si>
    <t xml:space="preserve">Discounted to today</t>
  </si>
  <si>
    <t xml:space="preserve">Enterprise value</t>
  </si>
  <si>
    <t xml:space="preserve">  terminal value as a share of it</t>
  </si>
  <si>
    <t xml:space="preserve">  as a multiple of EBITDA</t>
  </si>
  <si>
    <t xml:space="preserve">Equity value</t>
  </si>
  <si>
    <t xml:space="preserve">  per share</t>
  </si>
  <si>
    <t xml:space="preserve">Trading comparables</t>
  </si>
  <si>
    <t xml:space="preserve">Peer</t>
  </si>
  <si>
    <t xml:space="preserve">EV/EBITDA</t>
  </si>
  <si>
    <t xml:space="preserve">Peer A</t>
  </si>
  <si>
    <t xml:space="preserve">Peer B</t>
  </si>
  <si>
    <t xml:space="preserve">Peer C</t>
  </si>
  <si>
    <t xml:space="preserve">Peer D</t>
  </si>
  <si>
    <t xml:space="preserve">Peer E</t>
  </si>
  <si>
    <t xml:space="preserve">Median</t>
  </si>
  <si>
    <t xml:space="preserve">Precedent transactions</t>
  </si>
  <si>
    <t xml:space="preserve">Deal</t>
  </si>
  <si>
    <t xml:space="preserve">Deal 1</t>
  </si>
  <si>
    <t xml:space="preserve">Deal 2</t>
  </si>
  <si>
    <t xml:space="preserve">Deal 3</t>
  </si>
  <si>
    <t xml:space="preserve">Deal 4</t>
  </si>
  <si>
    <t xml:space="preserve">Deal 5</t>
  </si>
  <si>
    <t xml:space="preserve">The gap, and the assumption behind it</t>
  </si>
  <si>
    <t xml:space="preserve">Chapters 1 and 13. Each value put back into the same model, solved for the growth it implies.</t>
  </si>
  <si>
    <t xml:space="preserve">Method</t>
  </si>
  <si>
    <t xml:space="preserve">Multiple</t>
  </si>
  <si>
    <t xml:space="preserve">Implied growth</t>
  </si>
  <si>
    <t xml:space="preserve">Discounted cash flow</t>
  </si>
  <si>
    <t xml:space="preserve">Highest minus lowest</t>
  </si>
  <si>
    <t xml:space="preserve">  as a share of the lowest</t>
  </si>
  <si>
    <t xml:space="preserve">Spread in implied growth, in points</t>
  </si>
  <si>
    <t xml:space="preserve">The three methods are not three opinions about the company. They are three opinions about one parameter.</t>
  </si>
  <si>
    <t xml:space="preserve">Two hundred basis points move the value</t>
  </si>
  <si>
    <t xml:space="preserve">  as a share of the central value</t>
  </si>
  <si>
    <t xml:space="preserve">  as a multiple of the gap between the methods</t>
  </si>
  <si>
    <t xml:space="preserve">The same gap, in the currency the seller cares about (Chapter 2)</t>
  </si>
  <si>
    <t xml:space="preserve">Equity value, lowest of the three</t>
  </si>
  <si>
    <t xml:space="preserve">Equity value, highest of the three</t>
  </si>
  <si>
    <t xml:space="preserve">The gap in equity: the same absolute amount</t>
  </si>
  <si>
    <t xml:space="preserve">  as a share of the lowest equity value: leverage magnifies it</t>
  </si>
  <si>
    <t xml:space="preserve">Spread per share</t>
  </si>
  <si>
    <t xml:space="preserve">Each 1,000,000 of disputed net debt, per share</t>
  </si>
  <si>
    <t xml:space="preserve">10.40x reported as the value of the shares: overstatement, share of the true equity</t>
  </si>
  <si>
    <t xml:space="preserve">The deduction is the same net debt in every row: it is a fact about the balance sheet, not about the method. A different figure in different columns is an error, or an argument smuggled through the bridge.</t>
  </si>
  <si>
    <t xml:space="preserve">Checks against the printed book</t>
  </si>
  <si>
    <t xml:space="preserve">Every line reproduces a figure printed in Business Valuation.</t>
  </si>
  <si>
    <t xml:space="preserve">Ch.</t>
  </si>
  <si>
    <t xml:space="preserve">Figure as printed in the book</t>
  </si>
  <si>
    <t xml:space="preserve">Printed</t>
  </si>
  <si>
    <t xml:space="preserve">Workbook</t>
  </si>
  <si>
    <t xml:space="preserve">Difference</t>
  </si>
  <si>
    <t xml:space="preserve">Result</t>
  </si>
  <si>
    <t xml:space="preserve">1</t>
  </si>
  <si>
    <t xml:space="preserve">7</t>
  </si>
  <si>
    <t xml:space="preserve">  discounted</t>
  </si>
  <si>
    <t xml:space="preserve">  as a share of the answer</t>
  </si>
  <si>
    <t xml:space="preserve">Enterprise value, discounted cash flow</t>
  </si>
  <si>
    <t xml:space="preserve">2</t>
  </si>
  <si>
    <t xml:space="preserve">Equity value, discounted cash flow</t>
  </si>
  <si>
    <t xml:space="preserve">9</t>
  </si>
  <si>
    <t xml:space="preserve">Median trading multiple</t>
  </si>
  <si>
    <t xml:space="preserve">Enterprise value, trading comparables</t>
  </si>
  <si>
    <t xml:space="preserve">11</t>
  </si>
  <si>
    <t xml:space="preserve">Median transaction multiple</t>
  </si>
  <si>
    <t xml:space="preserve">Enterprise value, precedent transactions</t>
  </si>
  <si>
    <t xml:space="preserve">Equity value, precedent transactions</t>
  </si>
  <si>
    <t xml:space="preserve">The gap</t>
  </si>
  <si>
    <t xml:space="preserve">13</t>
  </si>
  <si>
    <t xml:space="preserve">Implied growth, trading comparables</t>
  </si>
  <si>
    <t xml:space="preserve">Implied growth, discounted cash flow</t>
  </si>
  <si>
    <t xml:space="preserve">Implied growth, precedent transactions</t>
  </si>
  <si>
    <t xml:space="preserve">8</t>
  </si>
  <si>
    <t xml:space="preserve">Two hundred basis points of cost of capital</t>
  </si>
  <si>
    <t xml:space="preserve">  as a multiple of the gap</t>
  </si>
  <si>
    <t xml:space="preserve">Per share, trading comparables</t>
  </si>
  <si>
    <t xml:space="preserve">Per share, precedent transactions</t>
  </si>
  <si>
    <t xml:space="preserve">The gap as a share of the lowest equity value</t>
  </si>
  <si>
    <t xml:space="preserve">Each 1,000,000 of net debt, per share</t>
  </si>
  <si>
    <t xml:space="preserve">Overstatement if 87,360,000 is reported as the shares</t>
  </si>
  <si>
    <t xml:space="preserve">The discounted cash flow as a multiple</t>
  </si>
  <si>
    <t xml:space="preserve">The reverse solve returns the terminal growth when fed the model's own value (any inputs)</t>
  </si>
  <si>
    <t xml:space="preserve">identity</t>
  </si>
  <si>
    <t xml:space="preserve">The bridge deducts the same net debt in every row (any inputs)</t>
  </si>
  <si>
    <t xml:space="preserve">Checks passing</t>
  </si>
</sst>
</file>

<file path=xl/styles.xml><?xml version="1.0" encoding="utf-8"?>
<styleSheet xmlns="http://schemas.openxmlformats.org/spreadsheetml/2006/main">
  <numFmts count="9">
    <numFmt numFmtId="164" formatCode="General"/>
    <numFmt numFmtId="165" formatCode="#,##0;\-#,##0"/>
    <numFmt numFmtId="166" formatCode="0.00%;\-0.00%"/>
    <numFmt numFmtId="167" formatCode="0.0%;\-0.0%"/>
    <numFmt numFmtId="168" formatCode="#,##0"/>
    <numFmt numFmtId="169" formatCode="0.0000"/>
    <numFmt numFmtId="170" formatCode="0.00\x"/>
    <numFmt numFmtId="171" formatCode="#,##0.00;\-#,##0.00"/>
    <numFmt numFmtId="172" formatCode="0.000000"/>
  </numFmts>
  <fonts count="14">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1"/>
      <color rgb="FF1A1A1A"/>
      <name val="Calibri"/>
      <family val="0"/>
      <charset val="1"/>
    </font>
    <font>
      <b val="true"/>
      <sz val="10"/>
      <color rgb="FFFFFFFF"/>
      <name val="Calibri"/>
      <family val="0"/>
      <charset val="1"/>
    </font>
    <font>
      <i val="true"/>
      <sz val="9"/>
      <color rgb="FF5A6A70"/>
      <name val="Calibri"/>
      <family val="0"/>
      <charset val="1"/>
    </font>
    <font>
      <sz val="9"/>
      <color rgb="FF5A6A70"/>
      <name val="Calibri"/>
      <family val="0"/>
      <charset val="1"/>
    </font>
    <font>
      <b val="true"/>
      <sz val="11"/>
      <color rgb="FF1E7A3C"/>
      <name val="Cambria"/>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4" fontId="10" fillId="3" borderId="3" xfId="0" applyFont="true" applyBorder="true" applyAlignment="true" applyProtection="false">
      <alignment horizontal="left" vertical="center" textRotation="0" wrapText="true" indent="0" shrinkToFit="false"/>
      <protection locked="true" hidden="false"/>
    </xf>
    <xf numFmtId="164" fontId="10" fillId="3" borderId="3" xfId="0" applyFont="true" applyBorder="true" applyAlignment="true" applyProtection="false">
      <alignment horizontal="right" vertical="center" textRotation="0" wrapText="tru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9" fontId="7" fillId="4"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0" fontId="8" fillId="2" borderId="3" xfId="0" applyFont="true" applyBorder="tru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center"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1E7A3C"/>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45" hidden="false" customHeight="true" outlineLevel="0" collapsed="false">
      <c r="A7" s="5" t="s">
        <v>3</v>
      </c>
    </row>
    <row r="9" customFormat="false" ht="15" hidden="false" customHeight="false" outlineLevel="0" collapsed="false">
      <c r="A9" s="4" t="s">
        <v>4</v>
      </c>
    </row>
    <row r="11" customFormat="false" ht="45" hidden="false" customHeight="true" outlineLevel="0" collapsed="false">
      <c r="A11" s="5" t="s">
        <v>5</v>
      </c>
    </row>
    <row r="13" customFormat="false" ht="15" hidden="false" customHeight="false" outlineLevel="0" collapsed="false">
      <c r="A13" s="4" t="s">
        <v>6</v>
      </c>
    </row>
    <row r="15" customFormat="false" ht="30" hidden="false" customHeight="true" outlineLevel="0" collapsed="false">
      <c r="A15" s="5" t="s">
        <v>7</v>
      </c>
    </row>
    <row r="17" customFormat="false" ht="15" hidden="false" customHeight="false" outlineLevel="0" collapsed="false">
      <c r="A17" s="4" t="s">
        <v>8</v>
      </c>
    </row>
    <row r="19" customFormat="false" ht="30" hidden="false" customHeight="true" outlineLevel="0" collapsed="false">
      <c r="A19" s="5" t="s">
        <v>9</v>
      </c>
    </row>
    <row r="20" customFormat="false" ht="15" hidden="false" customHeight="true" outlineLevel="0" collapsed="false">
      <c r="A20" s="5" t="s">
        <v>10</v>
      </c>
    </row>
    <row r="22" customFormat="false" ht="60" hidden="false" customHeight="true" outlineLevel="0" collapsed="false">
      <c r="A22" s="5"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2" min="2" style="0" width="16"/>
    <col collapsed="false" customWidth="true" hidden="false" outlineLevel="0" max="5" min="3" style="0" width="14"/>
    <col collapsed="false" customWidth="true" hidden="false" outlineLevel="0" max="6" min="6" style="0" width="4"/>
    <col collapsed="false" customWidth="true" hidden="false" outlineLevel="0" max="7" min="7" style="0" width="46"/>
  </cols>
  <sheetData>
    <row r="1" customFormat="false" ht="24" hidden="false" customHeight="true" outlineLevel="0" collapsed="false">
      <c r="A1" s="1" t="s">
        <v>12</v>
      </c>
    </row>
    <row r="2" customFormat="false" ht="15" hidden="false" customHeight="false" outlineLevel="0" collapsed="false">
      <c r="A2" s="2" t="s">
        <v>13</v>
      </c>
    </row>
    <row r="3" customFormat="false" ht="15" hidden="false" customHeight="false" outlineLevel="0" collapsed="false">
      <c r="A3" s="3"/>
      <c r="B3" s="3"/>
      <c r="C3" s="3"/>
      <c r="D3" s="3"/>
      <c r="E3" s="3"/>
    </row>
    <row r="5" customFormat="false" ht="15" hidden="false" customHeight="false" outlineLevel="0" collapsed="false">
      <c r="A5" s="4" t="s">
        <v>14</v>
      </c>
      <c r="B5" s="6"/>
      <c r="C5" s="6"/>
      <c r="D5" s="6"/>
      <c r="E5" s="6"/>
    </row>
    <row r="7" customFormat="false" ht="15" hidden="false" customHeight="false" outlineLevel="0" collapsed="false">
      <c r="A7" s="7" t="s">
        <v>15</v>
      </c>
      <c r="B7" s="8" t="n">
        <v>48000000</v>
      </c>
    </row>
    <row r="8" customFormat="false" ht="15" hidden="false" customHeight="false" outlineLevel="0" collapsed="false">
      <c r="A8" s="7" t="s">
        <v>16</v>
      </c>
      <c r="B8" s="9" t="n">
        <v>0.175</v>
      </c>
    </row>
    <row r="9" customFormat="false" ht="15" hidden="false" customHeight="false" outlineLevel="0" collapsed="false">
      <c r="A9" s="7" t="s">
        <v>17</v>
      </c>
      <c r="B9" s="8" t="n">
        <v>1600000</v>
      </c>
    </row>
    <row r="10" customFormat="false" ht="15" hidden="false" customHeight="false" outlineLevel="0" collapsed="false">
      <c r="A10" s="7" t="s">
        <v>18</v>
      </c>
      <c r="B10" s="10" t="n">
        <v>0.25</v>
      </c>
    </row>
    <row r="11" customFormat="false" ht="15" hidden="false" customHeight="false" outlineLevel="0" collapsed="false">
      <c r="A11" s="7" t="s">
        <v>19</v>
      </c>
      <c r="B11" s="8" t="n">
        <v>1900000</v>
      </c>
    </row>
    <row r="12" customFormat="false" ht="15" hidden="false" customHeight="false" outlineLevel="0" collapsed="false">
      <c r="A12" s="7" t="s">
        <v>20</v>
      </c>
      <c r="B12" s="8" t="n">
        <v>400000</v>
      </c>
    </row>
    <row r="13" customFormat="false" ht="15" hidden="false" customHeight="false" outlineLevel="0" collapsed="false">
      <c r="A13" s="7" t="s">
        <v>21</v>
      </c>
      <c r="B13" s="8" t="n">
        <v>11200000</v>
      </c>
    </row>
    <row r="14" customFormat="false" ht="15" hidden="false" customHeight="false" outlineLevel="0" collapsed="false">
      <c r="A14" s="7" t="s">
        <v>22</v>
      </c>
      <c r="B14" s="11" t="n">
        <v>4000000</v>
      </c>
    </row>
    <row r="15" customFormat="false" ht="15" hidden="false" customHeight="false" outlineLevel="0" collapsed="false">
      <c r="A15" s="12" t="s">
        <v>23</v>
      </c>
      <c r="B15" s="13" t="n">
        <f aca="false">REV0*MARGIN</f>
        <v>8400000</v>
      </c>
    </row>
    <row r="17" customFormat="false" ht="15" hidden="false" customHeight="false" outlineLevel="0" collapsed="false">
      <c r="A17" s="4" t="s">
        <v>24</v>
      </c>
      <c r="B17" s="6"/>
      <c r="C17" s="6"/>
      <c r="D17" s="6"/>
      <c r="E17" s="6"/>
    </row>
    <row r="19" customFormat="false" ht="15" hidden="false" customHeight="false" outlineLevel="0" collapsed="false">
      <c r="A19" s="7" t="s">
        <v>25</v>
      </c>
      <c r="B19" s="10" t="n">
        <v>0.09</v>
      </c>
    </row>
    <row r="20" customFormat="false" ht="15" hidden="false" customHeight="false" outlineLevel="0" collapsed="false">
      <c r="A20" s="7" t="s">
        <v>26</v>
      </c>
      <c r="B20" s="10" t="n">
        <v>0.02</v>
      </c>
    </row>
    <row r="21" customFormat="false" ht="30" hidden="false" customHeight="true" outlineLevel="0" collapsed="false">
      <c r="A21" s="14" t="s">
        <v>27</v>
      </c>
      <c r="B21" s="15" t="s">
        <v>28</v>
      </c>
      <c r="C21" s="15"/>
      <c r="D21" s="15"/>
      <c r="E21" s="15"/>
    </row>
    <row r="22" customFormat="false" ht="15" hidden="false" customHeight="false" outlineLevel="0" collapsed="false">
      <c r="A22" s="7" t="s">
        <v>29</v>
      </c>
      <c r="B22" s="10" t="n">
        <v>0.06</v>
      </c>
    </row>
    <row r="23" customFormat="false" ht="15" hidden="false" customHeight="false" outlineLevel="0" collapsed="false">
      <c r="A23" s="7" t="s">
        <v>30</v>
      </c>
      <c r="B23" s="10" t="n">
        <v>0.055</v>
      </c>
    </row>
    <row r="24" customFormat="false" ht="15" hidden="false" customHeight="false" outlineLevel="0" collapsed="false">
      <c r="A24" s="7" t="s">
        <v>31</v>
      </c>
      <c r="B24" s="10" t="n">
        <v>0.05</v>
      </c>
    </row>
    <row r="25" customFormat="false" ht="15" hidden="false" customHeight="false" outlineLevel="0" collapsed="false">
      <c r="A25" s="7" t="s">
        <v>32</v>
      </c>
      <c r="B25" s="10" t="n">
        <v>0.045</v>
      </c>
    </row>
    <row r="26" customFormat="false" ht="15" hidden="false" customHeight="false" outlineLevel="0" collapsed="false">
      <c r="A26" s="7" t="s">
        <v>33</v>
      </c>
      <c r="B26" s="10" t="n">
        <v>0.04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2" min="2" style="0" width="16"/>
    <col collapsed="false" customWidth="true" hidden="false" outlineLevel="0" max="6" min="3" style="0" width="14"/>
    <col collapsed="false" customWidth="true" hidden="false" outlineLevel="0" max="7" min="7" style="0" width="4"/>
    <col collapsed="false" customWidth="true" hidden="false" outlineLevel="0" max="8" min="8" style="0" width="46"/>
  </cols>
  <sheetData>
    <row r="1" customFormat="false" ht="24" hidden="false" customHeight="true" outlineLevel="0" collapsed="false">
      <c r="A1" s="1" t="s">
        <v>34</v>
      </c>
    </row>
    <row r="2" customFormat="false" ht="15" hidden="false" customHeight="false" outlineLevel="0" collapsed="false">
      <c r="A2" s="2" t="s">
        <v>35</v>
      </c>
    </row>
    <row r="3" customFormat="false" ht="15" hidden="false" customHeight="false" outlineLevel="0" collapsed="false">
      <c r="A3" s="3"/>
      <c r="B3" s="3"/>
      <c r="C3" s="3"/>
      <c r="D3" s="3"/>
      <c r="E3" s="3"/>
      <c r="F3" s="3"/>
    </row>
    <row r="5" customFormat="false" ht="15" hidden="false" customHeight="false" outlineLevel="0" collapsed="false">
      <c r="A5" s="4" t="s">
        <v>36</v>
      </c>
      <c r="B5" s="6"/>
      <c r="C5" s="6"/>
      <c r="D5" s="6"/>
      <c r="E5" s="6"/>
      <c r="F5" s="6"/>
    </row>
    <row r="7" customFormat="false" ht="30" hidden="false" customHeight="true" outlineLevel="0" collapsed="false">
      <c r="A7" s="14" t="s">
        <v>27</v>
      </c>
      <c r="B7" s="15" t="s">
        <v>15</v>
      </c>
      <c r="C7" s="15" t="s">
        <v>23</v>
      </c>
      <c r="D7" s="15" t="s">
        <v>37</v>
      </c>
      <c r="E7" s="15" t="s">
        <v>38</v>
      </c>
      <c r="F7" s="15" t="s">
        <v>39</v>
      </c>
    </row>
    <row r="8" customFormat="false" ht="15" hidden="false" customHeight="false" outlineLevel="0" collapsed="false">
      <c r="A8" s="7" t="s">
        <v>29</v>
      </c>
      <c r="B8" s="16" t="n">
        <f aca="false">REV0*(1+INDEX(GR,1))</f>
        <v>50880000</v>
      </c>
      <c r="C8" s="16" t="n">
        <f aca="false">B8*MARGIN</f>
        <v>8904000</v>
      </c>
      <c r="D8" s="16" t="n">
        <f aca="false">(C8-B8*DA0/REV0)*(1-TAXR)+B8*DA0/REV0-B8*CAPEX0/REV0-B8*DWC0/REV0</f>
        <v>4664000</v>
      </c>
      <c r="E8" s="17" t="n">
        <f aca="false">1/(1+WACC)^1</f>
        <v>0.91743119266055</v>
      </c>
      <c r="F8" s="16" t="n">
        <f aca="false">D8*E8</f>
        <v>4278899.08256881</v>
      </c>
    </row>
    <row r="9" customFormat="false" ht="15" hidden="false" customHeight="false" outlineLevel="0" collapsed="false">
      <c r="A9" s="18" t="s">
        <v>30</v>
      </c>
      <c r="B9" s="19" t="n">
        <f aca="false">B8*(1+INDEX(GR,2))</f>
        <v>53678400</v>
      </c>
      <c r="C9" s="19" t="n">
        <f aca="false">B9*MARGIN</f>
        <v>9393720</v>
      </c>
      <c r="D9" s="19" t="n">
        <f aca="false">(C9-B9*DA0/REV0)*(1-TAXR)+B9*DA0/REV0-B9*CAPEX0/REV0-B9*DWC0/REV0</f>
        <v>4920520</v>
      </c>
      <c r="E9" s="20" t="n">
        <f aca="false">1/(1+WACC)^2</f>
        <v>0.84167999326656</v>
      </c>
      <c r="F9" s="19" t="n">
        <f aca="false">D9*E9</f>
        <v>4141503.24046797</v>
      </c>
    </row>
    <row r="10" customFormat="false" ht="15" hidden="false" customHeight="false" outlineLevel="0" collapsed="false">
      <c r="A10" s="7" t="s">
        <v>31</v>
      </c>
      <c r="B10" s="16" t="n">
        <f aca="false">B9*(1+INDEX(GR,3))</f>
        <v>56362320</v>
      </c>
      <c r="C10" s="16" t="n">
        <f aca="false">B10*MARGIN</f>
        <v>9863406</v>
      </c>
      <c r="D10" s="16" t="n">
        <f aca="false">(C10-B10*DA0/REV0)*(1-TAXR)+B10*DA0/REV0-B10*CAPEX0/REV0-B10*DWC0/REV0</f>
        <v>5166546</v>
      </c>
      <c r="E10" s="17" t="n">
        <f aca="false">1/(1+WACC)^3</f>
        <v>0.772183480061064</v>
      </c>
      <c r="F10" s="16" t="n">
        <f aca="false">D10*E10</f>
        <v>3989521.47017557</v>
      </c>
    </row>
    <row r="11" customFormat="false" ht="15" hidden="false" customHeight="false" outlineLevel="0" collapsed="false">
      <c r="A11" s="18" t="s">
        <v>32</v>
      </c>
      <c r="B11" s="19" t="n">
        <f aca="false">B10*(1+INDEX(GR,4))</f>
        <v>58898624.4</v>
      </c>
      <c r="C11" s="19" t="n">
        <f aca="false">B11*MARGIN</f>
        <v>10307259.27</v>
      </c>
      <c r="D11" s="19" t="n">
        <f aca="false">(C11-B11*DA0/REV0)*(1-TAXR)+B11*DA0/REV0-B11*CAPEX0/REV0-B11*DWC0/REV0</f>
        <v>5399040.57</v>
      </c>
      <c r="E11" s="20" t="n">
        <f aca="false">1/(1+WACC)^4</f>
        <v>0.708425211065196</v>
      </c>
      <c r="F11" s="19" t="n">
        <f aca="false">D11*E11</f>
        <v>3824816.45535181</v>
      </c>
    </row>
    <row r="12" customFormat="false" ht="15" hidden="false" customHeight="false" outlineLevel="0" collapsed="false">
      <c r="A12" s="7" t="s">
        <v>33</v>
      </c>
      <c r="B12" s="16" t="n">
        <f aca="false">B11*(1+INDEX(GR,5))</f>
        <v>61254569.376</v>
      </c>
      <c r="C12" s="16" t="n">
        <f aca="false">B12*MARGIN</f>
        <v>10719549.6408</v>
      </c>
      <c r="D12" s="16" t="n">
        <f aca="false">(C12-B12*DA0/REV0)*(1-TAXR)+B12*DA0/REV0-B12*CAPEX0/REV0-B12*DWC0/REV0</f>
        <v>5615002.1928</v>
      </c>
      <c r="E12" s="17" t="n">
        <f aca="false">1/(1+WACC)^5</f>
        <v>0.649931386298345</v>
      </c>
      <c r="F12" s="16" t="n">
        <f aca="false">D12*E12</f>
        <v>3649366.15923475</v>
      </c>
    </row>
    <row r="13" customFormat="false" ht="15" hidden="false" customHeight="false" outlineLevel="0" collapsed="false">
      <c r="A13" s="12" t="s">
        <v>40</v>
      </c>
      <c r="F13" s="13" t="n">
        <f aca="false">SUM(F8:F12)</f>
        <v>19884106.4077989</v>
      </c>
    </row>
    <row r="15" customFormat="false" ht="15" hidden="false" customHeight="false" outlineLevel="0" collapsed="false">
      <c r="A15" s="4" t="s">
        <v>41</v>
      </c>
      <c r="B15" s="6"/>
      <c r="C15" s="6"/>
      <c r="D15" s="6"/>
      <c r="E15" s="6"/>
      <c r="F15" s="6"/>
    </row>
    <row r="17" customFormat="false" ht="15" hidden="false" customHeight="false" outlineLevel="0" collapsed="false">
      <c r="A17" s="7" t="s">
        <v>42</v>
      </c>
      <c r="B17" s="16" t="n">
        <f aca="false">FCF5</f>
        <v>5615002.1928</v>
      </c>
    </row>
    <row r="18" customFormat="false" ht="15" hidden="false" customHeight="false" outlineLevel="0" collapsed="false">
      <c r="A18" s="12" t="s">
        <v>43</v>
      </c>
      <c r="B18" s="13" t="n">
        <f aca="false">FCF5*(1+GTERM)/(WACC-GTERM)</f>
        <v>81818603.3808</v>
      </c>
    </row>
    <row r="19" customFormat="false" ht="15" hidden="false" customHeight="false" outlineLevel="0" collapsed="false">
      <c r="A19" s="12" t="s">
        <v>44</v>
      </c>
      <c r="B19" s="13" t="n">
        <f aca="false">B18/(1+WACC)^5</f>
        <v>53176478.3202778</v>
      </c>
    </row>
    <row r="20" customFormat="false" ht="15" hidden="false" customHeight="false" outlineLevel="0" collapsed="false">
      <c r="A20" s="12" t="s">
        <v>45</v>
      </c>
      <c r="B20" s="13" t="n">
        <f aca="false">PVFLOWS+B19</f>
        <v>73060584.7280767</v>
      </c>
    </row>
    <row r="21" customFormat="false" ht="15" hidden="false" customHeight="false" outlineLevel="0" collapsed="false">
      <c r="A21" s="12" t="s">
        <v>46</v>
      </c>
      <c r="B21" s="21" t="n">
        <f aca="false">B19/B20</f>
        <v>0.727840853152143</v>
      </c>
    </row>
    <row r="22" customFormat="false" ht="15" hidden="false" customHeight="false" outlineLevel="0" collapsed="false">
      <c r="A22" s="7" t="s">
        <v>47</v>
      </c>
      <c r="B22" s="22" t="n">
        <f aca="false">EVDCF/EBITDA0</f>
        <v>8.69768865810437</v>
      </c>
    </row>
    <row r="23" customFormat="false" ht="15" hidden="false" customHeight="false" outlineLevel="0" collapsed="false">
      <c r="A23" s="7" t="s">
        <v>48</v>
      </c>
      <c r="B23" s="16" t="n">
        <f aca="false">EVDCF-NETDEBT</f>
        <v>61860584.7280767</v>
      </c>
    </row>
    <row r="24" customFormat="false" ht="15" hidden="false" customHeight="false" outlineLevel="0" collapsed="false">
      <c r="A24" s="7" t="s">
        <v>49</v>
      </c>
      <c r="B24" s="23" t="n">
        <f aca="false">B23/SHARES</f>
        <v>15.4651461820192</v>
      </c>
    </row>
    <row r="26" customFormat="false" ht="15" hidden="false" customHeight="false" outlineLevel="0" collapsed="false">
      <c r="A26" s="4" t="s">
        <v>50</v>
      </c>
      <c r="B26" s="6"/>
      <c r="C26" s="6"/>
      <c r="D26" s="6"/>
      <c r="E26" s="6"/>
      <c r="F26" s="6"/>
    </row>
    <row r="28" customFormat="false" ht="30" hidden="false" customHeight="true" outlineLevel="0" collapsed="false">
      <c r="A28" s="14" t="s">
        <v>51</v>
      </c>
      <c r="B28" s="15" t="s">
        <v>52</v>
      </c>
      <c r="C28" s="15"/>
      <c r="D28" s="15"/>
      <c r="E28" s="15"/>
      <c r="F28" s="15"/>
    </row>
    <row r="29" customFormat="false" ht="15" hidden="false" customHeight="false" outlineLevel="0" collapsed="false">
      <c r="A29" s="7" t="s">
        <v>53</v>
      </c>
      <c r="B29" s="24" t="n">
        <v>7.4</v>
      </c>
    </row>
    <row r="30" customFormat="false" ht="15" hidden="false" customHeight="false" outlineLevel="0" collapsed="false">
      <c r="A30" s="7" t="s">
        <v>54</v>
      </c>
      <c r="B30" s="24" t="n">
        <v>8</v>
      </c>
    </row>
    <row r="31" customFormat="false" ht="15" hidden="false" customHeight="false" outlineLevel="0" collapsed="false">
      <c r="A31" s="7" t="s">
        <v>55</v>
      </c>
      <c r="B31" s="24" t="n">
        <v>8.2</v>
      </c>
    </row>
    <row r="32" customFormat="false" ht="15" hidden="false" customHeight="false" outlineLevel="0" collapsed="false">
      <c r="A32" s="7" t="s">
        <v>56</v>
      </c>
      <c r="B32" s="24" t="n">
        <v>8.9</v>
      </c>
    </row>
    <row r="33" customFormat="false" ht="15" hidden="false" customHeight="false" outlineLevel="0" collapsed="false">
      <c r="A33" s="7" t="s">
        <v>57</v>
      </c>
      <c r="B33" s="24" t="n">
        <v>9.6</v>
      </c>
    </row>
    <row r="34" customFormat="false" ht="15" hidden="false" customHeight="false" outlineLevel="0" collapsed="false">
      <c r="A34" s="12" t="s">
        <v>58</v>
      </c>
      <c r="B34" s="25" t="n">
        <f aca="false">MEDIAN(B29:B33)</f>
        <v>8.2</v>
      </c>
    </row>
    <row r="35" customFormat="false" ht="15" hidden="false" customHeight="false" outlineLevel="0" collapsed="false">
      <c r="A35" s="12" t="s">
        <v>45</v>
      </c>
      <c r="B35" s="13" t="n">
        <f aca="false">B34*EBITDA0</f>
        <v>68880000</v>
      </c>
    </row>
    <row r="36" customFormat="false" ht="15" hidden="false" customHeight="false" outlineLevel="0" collapsed="false">
      <c r="A36" s="7" t="s">
        <v>48</v>
      </c>
      <c r="B36" s="16" t="n">
        <f aca="false">EVCOMP-NETDEBT</f>
        <v>57680000</v>
      </c>
    </row>
    <row r="37" customFormat="false" ht="15" hidden="false" customHeight="false" outlineLevel="0" collapsed="false">
      <c r="A37" s="7" t="s">
        <v>49</v>
      </c>
      <c r="B37" s="23" t="n">
        <f aca="false">B36/SHARES</f>
        <v>14.42</v>
      </c>
    </row>
    <row r="38" customFormat="false" ht="15" hidden="false" customHeight="false" outlineLevel="0" collapsed="false">
      <c r="A38" s="4" t="s">
        <v>59</v>
      </c>
      <c r="B38" s="6"/>
      <c r="C38" s="6"/>
      <c r="D38" s="6"/>
      <c r="E38" s="6"/>
      <c r="F38" s="6"/>
    </row>
    <row r="40" customFormat="false" ht="30" hidden="false" customHeight="true" outlineLevel="0" collapsed="false">
      <c r="A40" s="14" t="s">
        <v>60</v>
      </c>
      <c r="B40" s="15" t="s">
        <v>52</v>
      </c>
      <c r="C40" s="15"/>
      <c r="D40" s="15"/>
      <c r="E40" s="15"/>
      <c r="F40" s="15"/>
    </row>
    <row r="41" customFormat="false" ht="15" hidden="false" customHeight="false" outlineLevel="0" collapsed="false">
      <c r="A41" s="7" t="s">
        <v>61</v>
      </c>
      <c r="B41" s="24" t="n">
        <v>9.1</v>
      </c>
    </row>
    <row r="42" customFormat="false" ht="15" hidden="false" customHeight="false" outlineLevel="0" collapsed="false">
      <c r="A42" s="7" t="s">
        <v>62</v>
      </c>
      <c r="B42" s="24" t="n">
        <v>10</v>
      </c>
    </row>
    <row r="43" customFormat="false" ht="15" hidden="false" customHeight="false" outlineLevel="0" collapsed="false">
      <c r="A43" s="7" t="s">
        <v>63</v>
      </c>
      <c r="B43" s="24" t="n">
        <v>10.4</v>
      </c>
    </row>
    <row r="44" customFormat="false" ht="15" hidden="false" customHeight="false" outlineLevel="0" collapsed="false">
      <c r="A44" s="7" t="s">
        <v>64</v>
      </c>
      <c r="B44" s="24" t="n">
        <v>11.2</v>
      </c>
    </row>
    <row r="45" customFormat="false" ht="15" hidden="false" customHeight="false" outlineLevel="0" collapsed="false">
      <c r="A45" s="7" t="s">
        <v>65</v>
      </c>
      <c r="B45" s="24" t="n">
        <v>12.3</v>
      </c>
    </row>
    <row r="46" customFormat="false" ht="15" hidden="false" customHeight="false" outlineLevel="0" collapsed="false">
      <c r="A46" s="12" t="s">
        <v>58</v>
      </c>
      <c r="B46" s="25" t="n">
        <f aca="false">MEDIAN(B41:B45)</f>
        <v>10.4</v>
      </c>
    </row>
    <row r="47" customFormat="false" ht="15" hidden="false" customHeight="false" outlineLevel="0" collapsed="false">
      <c r="A47" s="12" t="s">
        <v>45</v>
      </c>
      <c r="B47" s="13" t="n">
        <f aca="false">B46*EBITDA0</f>
        <v>87360000</v>
      </c>
    </row>
    <row r="48" customFormat="false" ht="15" hidden="false" customHeight="false" outlineLevel="0" collapsed="false">
      <c r="A48" s="7" t="s">
        <v>48</v>
      </c>
      <c r="B48" s="16" t="n">
        <f aca="false">EVTXN-NETDEBT</f>
        <v>76160000</v>
      </c>
    </row>
    <row r="49" customFormat="false" ht="15" hidden="false" customHeight="false" outlineLevel="0" collapsed="false">
      <c r="A49" s="7" t="s">
        <v>49</v>
      </c>
      <c r="B49" s="23" t="n">
        <f aca="false">B48/SHARES</f>
        <v>19.04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2" min="2" style="0" width="16"/>
    <col collapsed="false" customWidth="true" hidden="false" outlineLevel="0" max="4" min="3" style="0" width="14"/>
    <col collapsed="false" customWidth="true" hidden="false" outlineLevel="0" max="5" min="5" style="0" width="4"/>
    <col collapsed="false" customWidth="true" hidden="false" outlineLevel="0" max="6" min="6" style="0" width="48"/>
  </cols>
  <sheetData>
    <row r="1" customFormat="false" ht="24" hidden="false" customHeight="true" outlineLevel="0" collapsed="false">
      <c r="A1" s="1" t="s">
        <v>66</v>
      </c>
    </row>
    <row r="2" customFormat="false" ht="15" hidden="false" customHeight="false" outlineLevel="0" collapsed="false">
      <c r="A2" s="2" t="s">
        <v>67</v>
      </c>
    </row>
    <row r="3" customFormat="false" ht="15" hidden="false" customHeight="false" outlineLevel="0" collapsed="false">
      <c r="A3" s="3"/>
      <c r="B3" s="3"/>
      <c r="C3" s="3"/>
      <c r="D3" s="3"/>
    </row>
    <row r="5" customFormat="false" ht="30" hidden="false" customHeight="true" outlineLevel="0" collapsed="false">
      <c r="A5" s="14" t="s">
        <v>68</v>
      </c>
      <c r="B5" s="15" t="s">
        <v>45</v>
      </c>
      <c r="C5" s="15" t="s">
        <v>69</v>
      </c>
      <c r="D5" s="15" t="s">
        <v>70</v>
      </c>
    </row>
    <row r="6" customFormat="false" ht="15" hidden="false" customHeight="false" outlineLevel="0" collapsed="false">
      <c r="A6" s="7" t="s">
        <v>50</v>
      </c>
      <c r="B6" s="16" t="n">
        <f aca="false">EVCOMP</f>
        <v>68880000</v>
      </c>
      <c r="C6" s="22" t="n">
        <f aca="false">B6/EBITDA0</f>
        <v>8.2</v>
      </c>
      <c r="D6" s="26" t="n">
        <f aca="false">(((B6-PVFLOWS)*(1+WACC)^5)*WACC-FCF5)/(FCF5+((B6-PVFLOWS)*(1+WACC)^5))</f>
        <v>0.0144412672224038</v>
      </c>
    </row>
    <row r="7" customFormat="false" ht="15" hidden="false" customHeight="false" outlineLevel="0" collapsed="false">
      <c r="A7" s="7" t="s">
        <v>71</v>
      </c>
      <c r="B7" s="16" t="n">
        <f aca="false">EVDCF</f>
        <v>73060584.7280767</v>
      </c>
      <c r="C7" s="22" t="n">
        <f aca="false">B7/EBITDA0</f>
        <v>8.69768865810437</v>
      </c>
      <c r="D7" s="26" t="n">
        <f aca="false">(((B7-PVFLOWS)*(1+WACC)^5)*WACC-FCF5)/(FCF5+((B7-PVFLOWS)*(1+WACC)^5))</f>
        <v>0.02</v>
      </c>
    </row>
    <row r="8" customFormat="false" ht="15" hidden="false" customHeight="false" outlineLevel="0" collapsed="false">
      <c r="A8" s="7" t="s">
        <v>59</v>
      </c>
      <c r="B8" s="16" t="n">
        <f aca="false">EVTXN</f>
        <v>87360000</v>
      </c>
      <c r="C8" s="22" t="n">
        <f aca="false">B8/EBITDA0</f>
        <v>10.4</v>
      </c>
      <c r="D8" s="26" t="n">
        <f aca="false">(((B8-PVFLOWS)*(1+WACC)^5)*WACC-FCF5)/(FCF5+((B8-PVFLOWS)*(1+WACC)^5))</f>
        <v>0.0340731868330987</v>
      </c>
    </row>
    <row r="10" customFormat="false" ht="15" hidden="false" customHeight="false" outlineLevel="0" collapsed="false">
      <c r="A10" s="12" t="s">
        <v>72</v>
      </c>
      <c r="B10" s="13" t="n">
        <f aca="false">MAX(B6:B8)-MIN(B6:B8)</f>
        <v>18480000</v>
      </c>
    </row>
    <row r="11" customFormat="false" ht="15" hidden="false" customHeight="false" outlineLevel="0" collapsed="false">
      <c r="A11" s="12" t="s">
        <v>73</v>
      </c>
      <c r="B11" s="27" t="n">
        <f aca="false">B10/MIN(B6:B8)</f>
        <v>0.268292682926829</v>
      </c>
    </row>
    <row r="12" customFormat="false" ht="15" hidden="false" customHeight="false" outlineLevel="0" collapsed="false">
      <c r="A12" s="12" t="s">
        <v>74</v>
      </c>
      <c r="B12" s="21" t="n">
        <f aca="false">MAX(D6:D8)-MIN(D6:D8)</f>
        <v>0.0196319196106948</v>
      </c>
    </row>
    <row r="14" customFormat="false" ht="15" hidden="false" customHeight="false" outlineLevel="0" collapsed="false">
      <c r="A14" s="28" t="s">
        <v>75</v>
      </c>
    </row>
    <row r="16" customFormat="false" ht="15" hidden="false" customHeight="false" outlineLevel="0" collapsed="false">
      <c r="A16" s="4" t="s">
        <v>6</v>
      </c>
      <c r="B16" s="6"/>
      <c r="C16" s="6"/>
      <c r="D16" s="6"/>
    </row>
    <row r="18" customFormat="false" ht="30" hidden="false" customHeight="true" outlineLevel="0" collapsed="false">
      <c r="A18" s="14" t="s">
        <v>25</v>
      </c>
      <c r="B18" s="15" t="s">
        <v>45</v>
      </c>
      <c r="C18" s="15" t="s">
        <v>69</v>
      </c>
      <c r="D18" s="15"/>
    </row>
    <row r="19" customFormat="false" ht="15" hidden="false" customHeight="false" outlineLevel="0" collapsed="false">
      <c r="A19" s="10" t="n">
        <v>0.08</v>
      </c>
      <c r="B19" s="16" t="n">
        <f aca="false">SUMPRODUCT('The Three Values'!$D$8:$D$12,1/(1+A19)^{1;2;3;4;5})+FCF5*(1+GTERM)/(A19-GTERM)/(1+A19)^5</f>
        <v>85393468.7026052</v>
      </c>
      <c r="C19" s="22" t="n">
        <f aca="false">B19/EBITDA0</f>
        <v>10.1658891312625</v>
      </c>
    </row>
    <row r="20" customFormat="false" ht="15" hidden="false" customHeight="false" outlineLevel="0" collapsed="false">
      <c r="A20" s="10" t="n">
        <v>0.085</v>
      </c>
      <c r="B20" s="16" t="n">
        <f aca="false">SUMPRODUCT('The Three Values'!$D$8:$D$12,1/(1+A20)^{1;2;3;4;5})+FCF5*(1+GTERM)/(A20-GTERM)/(1+A20)^5</f>
        <v>78752060.1391614</v>
      </c>
      <c r="C20" s="22" t="n">
        <f aca="false">B20/EBITDA0</f>
        <v>9.37524525466207</v>
      </c>
    </row>
    <row r="21" customFormat="false" ht="15" hidden="false" customHeight="false" outlineLevel="0" collapsed="false">
      <c r="A21" s="10" t="n">
        <v>0.09</v>
      </c>
      <c r="B21" s="16" t="n">
        <f aca="false">SUMPRODUCT('The Three Values'!$D$8:$D$12,1/(1+A21)^{1;2;3;4;5})+FCF5*(1+GTERM)/(A21-GTERM)/(1+A21)^5</f>
        <v>73060584.7280767</v>
      </c>
      <c r="C21" s="22" t="n">
        <f aca="false">B21/EBITDA0</f>
        <v>8.69768865810437</v>
      </c>
    </row>
    <row r="22" customFormat="false" ht="15" hidden="false" customHeight="false" outlineLevel="0" collapsed="false">
      <c r="A22" s="10" t="n">
        <v>0.095</v>
      </c>
      <c r="B22" s="16" t="n">
        <f aca="false">SUMPRODUCT('The Three Values'!$D$8:$D$12,1/(1+A22)^{1;2;3;4;5})+FCF5*(1+GTERM)/(A22-GTERM)/(1+A22)^5</f>
        <v>68129030.9731368</v>
      </c>
      <c r="C22" s="22" t="n">
        <f aca="false">B22/EBITDA0</f>
        <v>8.11059892537343</v>
      </c>
    </row>
    <row r="23" customFormat="false" ht="15" hidden="false" customHeight="false" outlineLevel="0" collapsed="false">
      <c r="A23" s="10" t="n">
        <v>0.1</v>
      </c>
      <c r="B23" s="16" t="n">
        <f aca="false">SUMPRODUCT('The Three Values'!$D$8:$D$12,1/(1+A23)^{1;2;3;4;5})+FCF5*(1+GTERM)/(A23-GTERM)/(1+A23)^5</f>
        <v>63814890.9090909</v>
      </c>
      <c r="C23" s="22" t="n">
        <f aca="false">B23/EBITDA0</f>
        <v>7.59701082251082</v>
      </c>
    </row>
    <row r="25" customFormat="false" ht="15" hidden="false" customHeight="false" outlineLevel="0" collapsed="false">
      <c r="A25" s="12" t="s">
        <v>76</v>
      </c>
      <c r="B25" s="13" t="n">
        <f aca="false">B19-B23</f>
        <v>21578577.7935144</v>
      </c>
    </row>
    <row r="26" customFormat="false" ht="15" hidden="false" customHeight="false" outlineLevel="0" collapsed="false">
      <c r="A26" s="7" t="s">
        <v>77</v>
      </c>
      <c r="B26" s="29" t="n">
        <f aca="false">B25/EVDCF</f>
        <v>0.295351835381928</v>
      </c>
    </row>
    <row r="27" customFormat="false" ht="15" hidden="false" customHeight="false" outlineLevel="0" collapsed="false">
      <c r="A27" s="12" t="s">
        <v>78</v>
      </c>
      <c r="B27" s="25" t="n">
        <f aca="false">B25/'The Gap'!B10</f>
        <v>1.1676719585235</v>
      </c>
    </row>
    <row r="29" customFormat="false" ht="15" hidden="false" customHeight="false" outlineLevel="0" collapsed="false">
      <c r="A29" s="30" t="s">
        <v>79</v>
      </c>
    </row>
    <row r="31" customFormat="false" ht="15" hidden="false" customHeight="false" outlineLevel="0" collapsed="false">
      <c r="A31" s="7" t="s">
        <v>80</v>
      </c>
      <c r="B31" s="16" t="n">
        <f aca="false">MIN('The Three Values'!B23,'The Three Values'!B36,'The Three Values'!B48)</f>
        <v>57680000</v>
      </c>
    </row>
    <row r="32" customFormat="false" ht="15" hidden="false" customHeight="false" outlineLevel="0" collapsed="false">
      <c r="A32" s="7" t="s">
        <v>81</v>
      </c>
      <c r="B32" s="16" t="n">
        <f aca="false">MAX('The Three Values'!B23,'The Three Values'!B36,'The Three Values'!B48)</f>
        <v>76160000</v>
      </c>
    </row>
    <row r="33" customFormat="false" ht="15" hidden="false" customHeight="false" outlineLevel="0" collapsed="false">
      <c r="A33" s="7" t="s">
        <v>82</v>
      </c>
      <c r="B33" s="16" t="n">
        <f aca="false">B32-B31</f>
        <v>18480000</v>
      </c>
    </row>
    <row r="34" customFormat="false" ht="15" hidden="false" customHeight="false" outlineLevel="0" collapsed="false">
      <c r="A34" s="12" t="s">
        <v>83</v>
      </c>
      <c r="B34" s="27" t="n">
        <f aca="false">B33/B31</f>
        <v>0.320388349514563</v>
      </c>
    </row>
    <row r="35" customFormat="false" ht="15" hidden="false" customHeight="false" outlineLevel="0" collapsed="false">
      <c r="A35" s="7" t="s">
        <v>84</v>
      </c>
      <c r="B35" s="23" t="n">
        <f aca="false">MAX('The Three Values'!B24,'The Three Values'!B37,'The Three Values'!B49)-MIN('The Three Values'!B24,'The Three Values'!B37,'The Three Values'!B49)</f>
        <v>4.62</v>
      </c>
    </row>
    <row r="36" customFormat="false" ht="15" hidden="false" customHeight="false" outlineLevel="0" collapsed="false">
      <c r="A36" s="7" t="s">
        <v>85</v>
      </c>
      <c r="B36" s="23" t="n">
        <f aca="false">1000000/SHARES</f>
        <v>0.25</v>
      </c>
    </row>
    <row r="37" customFormat="false" ht="15" hidden="false" customHeight="false" outlineLevel="0" collapsed="false">
      <c r="A37" s="7" t="s">
        <v>86</v>
      </c>
      <c r="B37" s="29" t="n">
        <f aca="false">NETDEBT/'The Three Values'!B48</f>
        <v>0.147058823529412</v>
      </c>
    </row>
    <row r="39" customFormat="false" ht="15" hidden="false" customHeight="false" outlineLevel="0" collapsed="false">
      <c r="A39" s="31" t="s">
        <v>87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2" min="2" style="0" width="58"/>
    <col collapsed="false" customWidth="true" hidden="false" outlineLevel="0" max="4" min="3" style="0" width="18"/>
    <col collapsed="false" customWidth="true" hidden="false" outlineLevel="0" max="5" min="5" style="0" width="14"/>
    <col collapsed="false" customWidth="true" hidden="false" outlineLevel="0" max="6" min="6" style="0" width="11"/>
    <col collapsed="false" customWidth="true" hidden="false" outlineLevel="0" max="7" min="7" style="0" width="60"/>
  </cols>
  <sheetData>
    <row r="1" customFormat="false" ht="24" hidden="false" customHeight="true" outlineLevel="0" collapsed="false">
      <c r="A1" s="1" t="s">
        <v>88</v>
      </c>
    </row>
    <row r="2" customFormat="false" ht="15" hidden="false" customHeight="false" outlineLevel="0" collapsed="false">
      <c r="A2" s="2" t="s">
        <v>89</v>
      </c>
    </row>
    <row r="3" customFormat="false" ht="15" hidden="false" customHeight="false" outlineLevel="0" collapsed="false">
      <c r="A3" s="3"/>
      <c r="B3" s="3"/>
      <c r="C3" s="3"/>
      <c r="D3" s="3"/>
      <c r="E3" s="3"/>
      <c r="F3" s="3"/>
    </row>
    <row r="5" customFormat="false" ht="30" hidden="false" customHeight="true" outlineLevel="0" collapsed="false">
      <c r="A5" s="14" t="s">
        <v>90</v>
      </c>
      <c r="B5" s="15" t="s">
        <v>91</v>
      </c>
      <c r="C5" s="15" t="s">
        <v>92</v>
      </c>
      <c r="D5" s="15" t="s">
        <v>93</v>
      </c>
      <c r="E5" s="15" t="s">
        <v>94</v>
      </c>
      <c r="F5" s="15" t="s">
        <v>95</v>
      </c>
    </row>
    <row r="6" customFormat="false" ht="15" hidden="false" customHeight="false" outlineLevel="0" collapsed="false">
      <c r="A6" s="7" t="s">
        <v>96</v>
      </c>
      <c r="B6" s="7" t="s">
        <v>23</v>
      </c>
      <c r="C6" s="32" t="n">
        <v>8400000</v>
      </c>
      <c r="D6" s="16" t="n">
        <f aca="false">EBITDA0</f>
        <v>8400000</v>
      </c>
      <c r="E6" s="16" t="n">
        <f aca="false">D6-C6</f>
        <v>0</v>
      </c>
      <c r="F6" s="33" t="str">
        <f aca="false">IF(ABS(D6-C6)&lt;=1,"PASS","FAIL")</f>
        <v>PASS</v>
      </c>
    </row>
    <row r="7" customFormat="false" ht="15" hidden="false" customHeight="false" outlineLevel="0" collapsed="false">
      <c r="A7" s="7" t="s">
        <v>97</v>
      </c>
      <c r="B7" s="7" t="s">
        <v>40</v>
      </c>
      <c r="C7" s="32" t="n">
        <v>19884106</v>
      </c>
      <c r="D7" s="16" t="n">
        <f aca="false">ROUND(PVFLOWS,0)</f>
        <v>19884106</v>
      </c>
      <c r="E7" s="16" t="n">
        <f aca="false">D7-C7</f>
        <v>0</v>
      </c>
      <c r="F7" s="33" t="str">
        <f aca="false">IF(ABS(D7-C7)&lt;=1,"PASS","FAIL")</f>
        <v>PASS</v>
      </c>
    </row>
    <row r="8" customFormat="false" ht="15" hidden="false" customHeight="false" outlineLevel="0" collapsed="false">
      <c r="A8" s="7" t="s">
        <v>97</v>
      </c>
      <c r="B8" s="7" t="s">
        <v>43</v>
      </c>
      <c r="C8" s="32" t="n">
        <v>81818603</v>
      </c>
      <c r="D8" s="16" t="n">
        <f aca="false">ROUND('The Three Values'!B18,0)</f>
        <v>81818603</v>
      </c>
      <c r="E8" s="16" t="n">
        <f aca="false">D8-C8</f>
        <v>0</v>
      </c>
      <c r="F8" s="33" t="str">
        <f aca="false">IF(ABS(D8-C8)&lt;=1,"PASS","FAIL")</f>
        <v>PASS</v>
      </c>
    </row>
    <row r="9" customFormat="false" ht="15" hidden="false" customHeight="false" outlineLevel="0" collapsed="false">
      <c r="A9" s="7" t="s">
        <v>97</v>
      </c>
      <c r="B9" s="7" t="s">
        <v>98</v>
      </c>
      <c r="C9" s="32" t="n">
        <v>53176478</v>
      </c>
      <c r="D9" s="16" t="n">
        <f aca="false">ROUND('The Three Values'!B19,0)</f>
        <v>53176478</v>
      </c>
      <c r="E9" s="16" t="n">
        <f aca="false">D9-C9</f>
        <v>0</v>
      </c>
      <c r="F9" s="33" t="str">
        <f aca="false">IF(ABS(D9-C9)&lt;=1,"PASS","FAIL")</f>
        <v>PASS</v>
      </c>
    </row>
    <row r="10" customFormat="false" ht="15" hidden="false" customHeight="false" outlineLevel="0" collapsed="false">
      <c r="A10" s="7" t="s">
        <v>97</v>
      </c>
      <c r="B10" s="7" t="s">
        <v>99</v>
      </c>
      <c r="C10" s="34" t="n">
        <v>0.7278</v>
      </c>
      <c r="D10" s="26" t="n">
        <f aca="false">ROUND('The Three Values'!B21,4)</f>
        <v>0.7278</v>
      </c>
      <c r="E10" s="26" t="n">
        <f aca="false">D10-C10</f>
        <v>0</v>
      </c>
      <c r="F10" s="33" t="str">
        <f aca="false">IF(ABS(D10-C10)&lt;=0.00005,"PASS","FAIL")</f>
        <v>PASS</v>
      </c>
    </row>
    <row r="11" customFormat="false" ht="15" hidden="false" customHeight="false" outlineLevel="0" collapsed="false">
      <c r="A11" s="7" t="s">
        <v>96</v>
      </c>
      <c r="B11" s="7" t="s">
        <v>100</v>
      </c>
      <c r="C11" s="32" t="n">
        <v>73060585</v>
      </c>
      <c r="D11" s="16" t="n">
        <f aca="false">ROUND(EVDCF,0)</f>
        <v>73060585</v>
      </c>
      <c r="E11" s="16" t="n">
        <f aca="false">D11-C11</f>
        <v>0</v>
      </c>
      <c r="F11" s="33" t="str">
        <f aca="false">IF(ABS(D11-C11)&lt;=1,"PASS","FAIL")</f>
        <v>PASS</v>
      </c>
    </row>
    <row r="12" customFormat="false" ht="15" hidden="false" customHeight="false" outlineLevel="0" collapsed="false">
      <c r="A12" s="7" t="s">
        <v>101</v>
      </c>
      <c r="B12" s="7" t="s">
        <v>102</v>
      </c>
      <c r="C12" s="32" t="n">
        <v>61860585</v>
      </c>
      <c r="D12" s="16" t="n">
        <f aca="false">ROUND('The Three Values'!B23,0)</f>
        <v>61860585</v>
      </c>
      <c r="E12" s="16" t="n">
        <f aca="false">D12-C12</f>
        <v>0</v>
      </c>
      <c r="F12" s="33" t="str">
        <f aca="false">IF(ABS(D12-C12)&lt;=1,"PASS","FAIL")</f>
        <v>PASS</v>
      </c>
    </row>
    <row r="13" customFormat="false" ht="15" hidden="false" customHeight="false" outlineLevel="0" collapsed="false">
      <c r="A13" s="7" t="s">
        <v>101</v>
      </c>
      <c r="B13" s="7" t="s">
        <v>49</v>
      </c>
      <c r="C13" s="35" t="n">
        <v>15.47</v>
      </c>
      <c r="D13" s="23" t="n">
        <f aca="false">ROUND('The Three Values'!B24,2)</f>
        <v>15.47</v>
      </c>
      <c r="E13" s="23" t="n">
        <f aca="false">D13-C13</f>
        <v>0</v>
      </c>
      <c r="F13" s="33" t="str">
        <f aca="false">IF(ABS(D13-C13)&lt;=0.005,"PASS","FAIL")</f>
        <v>PASS</v>
      </c>
    </row>
    <row r="14" customFormat="false" ht="15" hidden="false" customHeight="false" outlineLevel="0" collapsed="false">
      <c r="A14" s="7" t="s">
        <v>103</v>
      </c>
      <c r="B14" s="7" t="s">
        <v>104</v>
      </c>
      <c r="C14" s="36" t="n">
        <v>8.2</v>
      </c>
      <c r="D14" s="22" t="n">
        <f aca="false">ROUND('The Three Values'!B34,2)</f>
        <v>8.2</v>
      </c>
      <c r="E14" s="22" t="n">
        <f aca="false">D14-C14</f>
        <v>0</v>
      </c>
      <c r="F14" s="33" t="str">
        <f aca="false">IF(ABS(D14-C14)&lt;=0.005,"PASS","FAIL")</f>
        <v>PASS</v>
      </c>
    </row>
    <row r="15" customFormat="false" ht="15" hidden="false" customHeight="false" outlineLevel="0" collapsed="false">
      <c r="A15" s="7" t="s">
        <v>103</v>
      </c>
      <c r="B15" s="7" t="s">
        <v>105</v>
      </c>
      <c r="C15" s="32" t="n">
        <v>68880000</v>
      </c>
      <c r="D15" s="16" t="n">
        <f aca="false">EVCOMP</f>
        <v>68880000</v>
      </c>
      <c r="E15" s="16" t="n">
        <f aca="false">D15-C15</f>
        <v>0</v>
      </c>
      <c r="F15" s="33" t="str">
        <f aca="false">IF(ABS(D15-C15)&lt;=1,"PASS","FAIL")</f>
        <v>PASS</v>
      </c>
    </row>
    <row r="16" customFormat="false" ht="15" hidden="false" customHeight="false" outlineLevel="0" collapsed="false">
      <c r="A16" s="7" t="s">
        <v>106</v>
      </c>
      <c r="B16" s="7" t="s">
        <v>107</v>
      </c>
      <c r="C16" s="36" t="n">
        <v>10.4</v>
      </c>
      <c r="D16" s="22" t="n">
        <f aca="false">ROUND('The Three Values'!B46,2)</f>
        <v>10.4</v>
      </c>
      <c r="E16" s="22" t="n">
        <f aca="false">D16-C16</f>
        <v>0</v>
      </c>
      <c r="F16" s="33" t="str">
        <f aca="false">IF(ABS(D16-C16)&lt;=0.005,"PASS","FAIL")</f>
        <v>PASS</v>
      </c>
    </row>
    <row r="17" customFormat="false" ht="15" hidden="false" customHeight="false" outlineLevel="0" collapsed="false">
      <c r="A17" s="7" t="s">
        <v>106</v>
      </c>
      <c r="B17" s="7" t="s">
        <v>108</v>
      </c>
      <c r="C17" s="32" t="n">
        <v>87360000</v>
      </c>
      <c r="D17" s="16" t="n">
        <f aca="false">EVTXN</f>
        <v>87360000</v>
      </c>
      <c r="E17" s="16" t="n">
        <f aca="false">D17-C17</f>
        <v>0</v>
      </c>
      <c r="F17" s="33" t="str">
        <f aca="false">IF(ABS(D17-C17)&lt;=1,"PASS","FAIL")</f>
        <v>PASS</v>
      </c>
    </row>
    <row r="18" customFormat="false" ht="15" hidden="false" customHeight="false" outlineLevel="0" collapsed="false">
      <c r="A18" s="7" t="s">
        <v>106</v>
      </c>
      <c r="B18" s="7" t="s">
        <v>109</v>
      </c>
      <c r="C18" s="32" t="n">
        <v>76160000</v>
      </c>
      <c r="D18" s="16" t="n">
        <f aca="false">'The Three Values'!B48</f>
        <v>76160000</v>
      </c>
      <c r="E18" s="16" t="n">
        <f aca="false">D18-C18</f>
        <v>0</v>
      </c>
      <c r="F18" s="33" t="str">
        <f aca="false">IF(ABS(D18-C18)&lt;=1,"PASS","FAIL")</f>
        <v>PASS</v>
      </c>
    </row>
    <row r="19" customFormat="false" ht="15" hidden="false" customHeight="false" outlineLevel="0" collapsed="false">
      <c r="A19" s="7" t="s">
        <v>96</v>
      </c>
      <c r="B19" s="7" t="s">
        <v>110</v>
      </c>
      <c r="C19" s="32" t="n">
        <v>18480000</v>
      </c>
      <c r="D19" s="16" t="n">
        <f aca="false">'The Gap'!B10</f>
        <v>18480000</v>
      </c>
      <c r="E19" s="16" t="n">
        <f aca="false">D19-C19</f>
        <v>0</v>
      </c>
      <c r="F19" s="33" t="str">
        <f aca="false">IF(ABS(D19-C19)&lt;=1,"PASS","FAIL")</f>
        <v>PASS</v>
      </c>
    </row>
    <row r="20" customFormat="false" ht="15" hidden="false" customHeight="false" outlineLevel="0" collapsed="false">
      <c r="A20" s="7" t="s">
        <v>96</v>
      </c>
      <c r="B20" s="7" t="s">
        <v>73</v>
      </c>
      <c r="C20" s="37" t="n">
        <v>0.268</v>
      </c>
      <c r="D20" s="29" t="n">
        <f aca="false">ROUND('The Gap'!B11,3)</f>
        <v>0.268</v>
      </c>
      <c r="E20" s="29" t="n">
        <f aca="false">D20-C20</f>
        <v>0</v>
      </c>
      <c r="F20" s="33" t="str">
        <f aca="false">IF(ABS(D20-C20)&lt;=0.0005,"PASS","FAIL")</f>
        <v>PASS</v>
      </c>
    </row>
    <row r="21" customFormat="false" ht="15" hidden="false" customHeight="false" outlineLevel="0" collapsed="false">
      <c r="A21" s="7" t="s">
        <v>111</v>
      </c>
      <c r="B21" s="7" t="s">
        <v>112</v>
      </c>
      <c r="C21" s="34" t="n">
        <v>0.0144</v>
      </c>
      <c r="D21" s="26" t="n">
        <f aca="false">ROUND('The Gap'!D6,4)</f>
        <v>0.0144</v>
      </c>
      <c r="E21" s="26" t="n">
        <f aca="false">D21-C21</f>
        <v>0</v>
      </c>
      <c r="F21" s="33" t="str">
        <f aca="false">IF(ABS(D21-C21)&lt;=0.00005,"PASS","FAIL")</f>
        <v>PASS</v>
      </c>
    </row>
    <row r="22" customFormat="false" ht="15" hidden="false" customHeight="false" outlineLevel="0" collapsed="false">
      <c r="A22" s="7" t="s">
        <v>111</v>
      </c>
      <c r="B22" s="7" t="s">
        <v>113</v>
      </c>
      <c r="C22" s="34" t="n">
        <v>0.02</v>
      </c>
      <c r="D22" s="26" t="n">
        <f aca="false">ROUND('The Gap'!D7,4)</f>
        <v>0.02</v>
      </c>
      <c r="E22" s="26" t="n">
        <f aca="false">D22-C22</f>
        <v>0</v>
      </c>
      <c r="F22" s="33" t="str">
        <f aca="false">IF(ABS(D22-C22)&lt;=0.00005,"PASS","FAIL")</f>
        <v>PASS</v>
      </c>
    </row>
    <row r="23" customFormat="false" ht="15" hidden="false" customHeight="false" outlineLevel="0" collapsed="false">
      <c r="A23" s="7" t="s">
        <v>111</v>
      </c>
      <c r="B23" s="7" t="s">
        <v>114</v>
      </c>
      <c r="C23" s="34" t="n">
        <v>0.0341</v>
      </c>
      <c r="D23" s="26" t="n">
        <f aca="false">ROUND('The Gap'!D8,4)</f>
        <v>0.0341</v>
      </c>
      <c r="E23" s="26" t="n">
        <f aca="false">D23-C23</f>
        <v>0</v>
      </c>
      <c r="F23" s="33" t="str">
        <f aca="false">IF(ABS(D23-C23)&lt;=0.00005,"PASS","FAIL")</f>
        <v>PASS</v>
      </c>
    </row>
    <row r="24" customFormat="false" ht="15" hidden="false" customHeight="false" outlineLevel="0" collapsed="false">
      <c r="A24" s="7" t="s">
        <v>111</v>
      </c>
      <c r="B24" s="7" t="s">
        <v>74</v>
      </c>
      <c r="C24" s="34" t="n">
        <v>0.0196</v>
      </c>
      <c r="D24" s="26" t="n">
        <f aca="false">ROUND('The Gap'!B12,4)</f>
        <v>0.0196</v>
      </c>
      <c r="E24" s="26" t="n">
        <f aca="false">D24-C24</f>
        <v>0</v>
      </c>
      <c r="F24" s="33" t="str">
        <f aca="false">IF(ABS(D24-C24)&lt;=0.00005,"PASS","FAIL")</f>
        <v>PASS</v>
      </c>
    </row>
    <row r="25" customFormat="false" ht="15" hidden="false" customHeight="false" outlineLevel="0" collapsed="false">
      <c r="A25" s="7" t="s">
        <v>115</v>
      </c>
      <c r="B25" s="7" t="s">
        <v>116</v>
      </c>
      <c r="C25" s="32" t="n">
        <v>21578578</v>
      </c>
      <c r="D25" s="16" t="n">
        <f aca="false">ROUND('The Gap'!B25,0)</f>
        <v>21578578</v>
      </c>
      <c r="E25" s="16" t="n">
        <f aca="false">D25-C25</f>
        <v>0</v>
      </c>
      <c r="F25" s="33" t="str">
        <f aca="false">IF(ABS(D25-C25)&lt;=1,"PASS","FAIL")</f>
        <v>PASS</v>
      </c>
    </row>
    <row r="26" customFormat="false" ht="15" hidden="false" customHeight="false" outlineLevel="0" collapsed="false">
      <c r="A26" s="7" t="s">
        <v>115</v>
      </c>
      <c r="B26" s="7" t="s">
        <v>117</v>
      </c>
      <c r="C26" s="36" t="n">
        <v>1.17</v>
      </c>
      <c r="D26" s="22" t="n">
        <f aca="false">ROUND('The Gap'!B27,2)</f>
        <v>1.17</v>
      </c>
      <c r="E26" s="22" t="n">
        <f aca="false">D26-C26</f>
        <v>0</v>
      </c>
      <c r="F26" s="33" t="str">
        <f aca="false">IF(ABS(D26-C26)&lt;=0.005,"PASS","FAIL")</f>
        <v>PASS</v>
      </c>
    </row>
    <row r="27" customFormat="false" ht="15" hidden="false" customHeight="false" outlineLevel="0" collapsed="false">
      <c r="A27" s="7" t="n">
        <v>2</v>
      </c>
      <c r="B27" s="7" t="s">
        <v>118</v>
      </c>
      <c r="C27" s="35" t="n">
        <v>14.42</v>
      </c>
      <c r="D27" s="23" t="n">
        <f aca="false">ROUND('The Three Values'!B37,2)</f>
        <v>14.42</v>
      </c>
      <c r="E27" s="23" t="n">
        <f aca="false">D27-C27</f>
        <v>0</v>
      </c>
      <c r="F27" s="33" t="str">
        <f aca="false">IF(ABS(D27-C27)&lt;=0.005,"PASS","FAIL")</f>
        <v>PASS</v>
      </c>
    </row>
    <row r="28" customFormat="false" ht="15" hidden="false" customHeight="false" outlineLevel="0" collapsed="false">
      <c r="A28" s="7" t="n">
        <v>2</v>
      </c>
      <c r="B28" s="7" t="s">
        <v>119</v>
      </c>
      <c r="C28" s="35" t="n">
        <v>19.04</v>
      </c>
      <c r="D28" s="23" t="n">
        <f aca="false">ROUND('The Three Values'!B49,2)</f>
        <v>19.04</v>
      </c>
      <c r="E28" s="23" t="n">
        <f aca="false">D28-C28</f>
        <v>0</v>
      </c>
      <c r="F28" s="33" t="str">
        <f aca="false">IF(ABS(D28-C28)&lt;=0.005,"PASS","FAIL")</f>
        <v>PASS</v>
      </c>
    </row>
    <row r="29" customFormat="false" ht="15" hidden="false" customHeight="false" outlineLevel="0" collapsed="false">
      <c r="A29" s="7" t="n">
        <v>2</v>
      </c>
      <c r="B29" s="7" t="s">
        <v>120</v>
      </c>
      <c r="C29" s="37" t="n">
        <v>0.32</v>
      </c>
      <c r="D29" s="29" t="n">
        <f aca="false">ROUND('The Gap'!B34,3)</f>
        <v>0.32</v>
      </c>
      <c r="E29" s="29" t="n">
        <f aca="false">D29-C29</f>
        <v>0</v>
      </c>
      <c r="F29" s="33" t="str">
        <f aca="false">IF(ABS(D29-C29)&lt;=0.0005,"PASS","FAIL")</f>
        <v>PASS</v>
      </c>
    </row>
    <row r="30" customFormat="false" ht="15" hidden="false" customHeight="false" outlineLevel="0" collapsed="false">
      <c r="A30" s="7" t="n">
        <v>2</v>
      </c>
      <c r="B30" s="7" t="s">
        <v>84</v>
      </c>
      <c r="C30" s="35" t="n">
        <v>4.62</v>
      </c>
      <c r="D30" s="23" t="n">
        <f aca="false">ROUND('The Gap'!B35,2)</f>
        <v>4.62</v>
      </c>
      <c r="E30" s="23" t="n">
        <f aca="false">D30-C30</f>
        <v>0</v>
      </c>
      <c r="F30" s="33" t="str">
        <f aca="false">IF(ABS(D30-C30)&lt;=0.005,"PASS","FAIL")</f>
        <v>PASS</v>
      </c>
    </row>
    <row r="31" customFormat="false" ht="15" hidden="false" customHeight="false" outlineLevel="0" collapsed="false">
      <c r="A31" s="7" t="n">
        <v>2</v>
      </c>
      <c r="B31" s="7" t="s">
        <v>121</v>
      </c>
      <c r="C31" s="35" t="n">
        <v>0.25</v>
      </c>
      <c r="D31" s="23" t="n">
        <f aca="false">'The Gap'!B36</f>
        <v>0.25</v>
      </c>
      <c r="E31" s="23" t="n">
        <f aca="false">D31-C31</f>
        <v>0</v>
      </c>
      <c r="F31" s="33" t="str">
        <f aca="false">IF(ABS(D31-C31)&lt;=0.000000001,"PASS","FAIL")</f>
        <v>PASS</v>
      </c>
    </row>
    <row r="32" customFormat="false" ht="15" hidden="false" customHeight="false" outlineLevel="0" collapsed="false">
      <c r="A32" s="7" t="n">
        <v>2</v>
      </c>
      <c r="B32" s="7" t="s">
        <v>122</v>
      </c>
      <c r="C32" s="37" t="n">
        <v>0.147</v>
      </c>
      <c r="D32" s="29" t="n">
        <f aca="false">ROUND('The Gap'!B37,3)</f>
        <v>0.147</v>
      </c>
      <c r="E32" s="29" t="n">
        <f aca="false">D32-C32</f>
        <v>0</v>
      </c>
      <c r="F32" s="33" t="str">
        <f aca="false">IF(ABS(D32-C32)&lt;=0.0005,"PASS","FAIL")</f>
        <v>PASS</v>
      </c>
    </row>
    <row r="33" customFormat="false" ht="15" hidden="false" customHeight="false" outlineLevel="0" collapsed="false">
      <c r="A33" s="7" t="n">
        <v>3</v>
      </c>
      <c r="B33" s="7" t="s">
        <v>123</v>
      </c>
      <c r="C33" s="36" t="n">
        <v>8.7</v>
      </c>
      <c r="D33" s="22" t="n">
        <f aca="false">ROUND(EVDCF/EBITDA0,2)</f>
        <v>8.7</v>
      </c>
      <c r="E33" s="22" t="n">
        <f aca="false">D33-C33</f>
        <v>0</v>
      </c>
      <c r="F33" s="33" t="str">
        <f aca="false">IF(ABS(D33-C33)&lt;=0.005,"PASS","FAIL")</f>
        <v>PASS</v>
      </c>
    </row>
    <row r="34" customFormat="false" ht="15" hidden="false" customHeight="false" outlineLevel="0" collapsed="false">
      <c r="A34" s="7" t="n">
        <v>13</v>
      </c>
      <c r="B34" s="7" t="s">
        <v>124</v>
      </c>
      <c r="C34" s="38" t="n">
        <v>0</v>
      </c>
      <c r="D34" s="39" t="n">
        <f aca="false">'The Gap'!D7-GTERM</f>
        <v>0</v>
      </c>
      <c r="E34" s="39" t="n">
        <f aca="false">D34-C34</f>
        <v>0</v>
      </c>
      <c r="F34" s="33" t="str">
        <f aca="false">IF(ABS(D34-C34)&lt;=0.000000000001,"PASS","FAIL")</f>
        <v>PASS</v>
      </c>
      <c r="G34" s="31" t="s">
        <v>125</v>
      </c>
    </row>
    <row r="35" customFormat="false" ht="15" hidden="false" customHeight="false" outlineLevel="0" collapsed="false">
      <c r="A35" s="7" t="n">
        <v>2</v>
      </c>
      <c r="B35" s="7" t="s">
        <v>126</v>
      </c>
      <c r="C35" s="32" t="n">
        <v>0</v>
      </c>
      <c r="D35" s="16" t="n">
        <f aca="false">('The Three Values'!B20-'The Three Values'!B23)-('The Three Values'!B35-'The Three Values'!B36)+('The Three Values'!B47-'The Three Values'!B48)-NETDEBT</f>
        <v>0</v>
      </c>
      <c r="E35" s="16" t="n">
        <f aca="false">D35-C35</f>
        <v>0</v>
      </c>
      <c r="F35" s="33" t="str">
        <f aca="false">IF(ABS(D35-C35)&lt;=0.000001,"PASS","FAIL")</f>
        <v>PASS</v>
      </c>
      <c r="G35" s="31" t="s">
        <v>125</v>
      </c>
    </row>
    <row r="37" customFormat="false" ht="15" hidden="false" customHeight="false" outlineLevel="0" collapsed="false">
      <c r="B37" s="12" t="s">
        <v>127</v>
      </c>
      <c r="D37" s="12" t="str">
        <f aca="false">COUNTIF(F6:F35,"PASS")&amp;" of "&amp;30</f>
        <v>30 of 30</v>
      </c>
      <c r="F37" s="12" t="str">
        <f aca="false">IF(COUNTIF(F6:F35,"PASS")=30,"ALL PASS","SOME FAIL")</f>
        <v>ALL 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2026-08-28T18:06:38Z</dcterms:created>
  <dc:creator>openpyxl</dc:creator>
  <dc:description/>
  <dc:language>en-US</dc:language>
  <cp:lastModifiedBy/>
  <dcterms:modified xsi:type="dcterms:W3CDTF">2026-09-24T01:10:50Z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