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_Here" sheetId="1" state="visible" r:id="rId3"/>
    <sheet name="Inputs" sheetId="2" state="visible" r:id="rId4"/>
    <sheet name="SDE_Bridge" sheetId="3" state="visible" r:id="rId5"/>
    <sheet name="Sources_Uses" sheetId="4" state="visible" r:id="rId6"/>
    <sheet name="Operations" sheetId="5" state="visible" r:id="rId7"/>
    <sheet name="Exit_Returns" sheetId="6" state="visible" r:id="rId8"/>
    <sheet name="Scenarios" sheetId="7" state="visible" r:id="rId9"/>
    <sheet name="Check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<sst xmlns="http://schemas.openxmlformats.org/spreadsheetml/2006/main" count="308" uniqueCount="302">
  <si>
    <t xml:space="preserve">Tri-County Commercial Cleaning — acquisition model</t>
  </si>
  <si>
    <t xml:space="preserve">Companion workbook to Buying a Small Business, by Julian R. Sterling.</t>
  </si>
  <si>
    <t xml:space="preserve">Deal B: contract cleaning, one hospital customer is 34% of revenue. Shipped at a $1.59 million price, just under the lender's maximum; asking was $1.85 million. Set 'Revenue lost' to 34% to lose the hospital.</t>
  </si>
  <si>
    <t xml:space="preserve">Units: thousands of dollars (1,590.0 = $1.59 million).</t>
  </si>
  <si>
    <t xml:space="preserve">Colors: blue = input you may change (sheet Inputs only); black = formula; yellow = the assumptions that decide the answer.</t>
  </si>
  <si>
    <t xml:space="preserve">No circular reference: the SBA loan and its guaranty fee are solved in closed form on sheet Sources_Uses.</t>
  </si>
  <si>
    <t xml:space="preserve">Sheet Check compares every live result with the figure printed in the book, and tests 28 more lines. Status must read OK: 62 checks.</t>
  </si>
  <si>
    <t xml:space="preserve">Change any blue cell and every sheet recalculates. Nothing is locked, protected or hidden.</t>
  </si>
  <si>
    <t xml:space="preserve">Regulatory inputs follow SBA SOP 50 10 8.1 (effective October 1, 2026) and the FY2027 fee notice. SBA revises both; confirm with your lender.</t>
  </si>
  <si>
    <t xml:space="preserve">Illustrative deal. Not investment, tax or legal advice.</t>
  </si>
  <si>
    <t xml:space="preserve">Revised 24 September 2026</t>
  </si>
  <si>
    <t xml:space="preserve">Recalculated with no errors. The Check sheet now carries a tolerance on each line: 0.0005 on ratios, where 0.05 had let an IRR drift five points and still read OK.</t>
  </si>
  <si>
    <t xml:space="preserve">Added: the figures the page and the read-me state (coverage to two decimals, the asking price, the book's years-3-to-5 test, the lender's maximum price in closed form) and twenty identities that hold for any inputs the model is built for.</t>
  </si>
  <si>
    <t xml:space="preserve">Corrected: under the price-only reading of the valuation cap, the cap carried the guaranty fee on the uncapped loan. With an appraisal below the price the loan exceeded its own cap; the cap is now solved with the fee on the capped loan (Sources_Uses, rows 37 to 43). The shipped figures do not change.</t>
  </si>
  <si>
    <t xml:space="preserve">The units line said 2,600.0 = $2.60 million, Cedar Ridge's price; it now gives Tri-County's.</t>
  </si>
  <si>
    <t xml:space="preserve">Inputs</t>
  </si>
  <si>
    <t xml:space="preserve">Seller's reported results (last three years)</t>
  </si>
  <si>
    <t xml:space="preserve">Revenue, year 1 of 3</t>
  </si>
  <si>
    <t xml:space="preserve">Reported pre-tax income, year 1 of 3</t>
  </si>
  <si>
    <t xml:space="preserve">Revenue, year 2 of 3</t>
  </si>
  <si>
    <t xml:space="preserve">Reported pre-tax income, year 2 of 3</t>
  </si>
  <si>
    <t xml:space="preserve">Revenue, year 3 of 3</t>
  </si>
  <si>
    <t xml:space="preserve">Reported pre-tax income, year 3 of 3</t>
  </si>
  <si>
    <t xml:space="preserve">Add-backs claimed by the broker (latest year)</t>
  </si>
  <si>
    <t xml:space="preserve">Broker: Owner's salary</t>
  </si>
  <si>
    <t xml:space="preserve">Broker: Owner's vehicle, phone and insurance</t>
  </si>
  <si>
    <t xml:space="preserve">Broker: Depreciation</t>
  </si>
  <si>
    <t xml:space="preserve">Broker: Interest</t>
  </si>
  <si>
    <t xml:space="preserve">Broker: One-time recruiting fees</t>
  </si>
  <si>
    <t xml:space="preserve">Broker: Employer payroll taxes on owner pay</t>
  </si>
  <si>
    <t xml:space="preserve">Add-backs accepted after quality of earnings</t>
  </si>
  <si>
    <t xml:space="preserve">QoE: Owner's salary</t>
  </si>
  <si>
    <t xml:space="preserve">QoE: Owner's vehicle, phone and insurance</t>
  </si>
  <si>
    <t xml:space="preserve">QoE: Depreciation</t>
  </si>
  <si>
    <t xml:space="preserve">QoE: Interest</t>
  </si>
  <si>
    <t xml:space="preserve">QoE: One-time recruiting fees</t>
  </si>
  <si>
    <t xml:space="preserve">QoE: Employer payroll taxes on owner pay</t>
  </si>
  <si>
    <t xml:space="preserve">Rent paid to seller (related party)</t>
  </si>
  <si>
    <t xml:space="preserve">Market rent the buyer will pay</t>
  </si>
  <si>
    <t xml:space="preserve">QoE: Crew paid as 1099 contractors, reclassified as employees</t>
  </si>
  <si>
    <t xml:space="preserve">Market salary for the buyer as manager (incl. payroll burden)</t>
  </si>
  <si>
    <t xml:space="preserve">Price, working capital and structure</t>
  </si>
  <si>
    <t xml:space="preserve">Asking multiple of broker SDE</t>
  </si>
  <si>
    <t xml:space="preserve">Purchase price</t>
  </si>
  <si>
    <t xml:space="preserve">Appraised value (blank = supports the price)</t>
  </si>
  <si>
    <t xml:space="preserve">caps SBA loan + paying seller note</t>
  </si>
  <si>
    <t xml:space="preserve">Working capital delivered at the peg: Receivables</t>
  </si>
  <si>
    <t xml:space="preserve">Working capital delivered at the peg: Supplies</t>
  </si>
  <si>
    <t xml:space="preserve">Working capital delivered at the peg: Less payables and accrued payroll</t>
  </si>
  <si>
    <t xml:space="preserve">Operating cash cushion funded by the buyer (seller keeps the cash)</t>
  </si>
  <si>
    <t xml:space="preserve">Closing costs: QoE, valuation, legal, other (capitalized into tax basis)</t>
  </si>
  <si>
    <t xml:space="preserve">Valuation cap applies to: 1 = the whole loan (book's base case), 0 = the price only</t>
  </si>
  <si>
    <t xml:space="preserve">confirm the reading with your lender</t>
  </si>
  <si>
    <t xml:space="preserve">Catch-up capex financed at closing (0 = paid from cash flow)</t>
  </si>
  <si>
    <t xml:space="preserve">Equity injection, % of total uses (SOP 50 10 8.1)</t>
  </si>
  <si>
    <t xml:space="preserve">Seller note on full standby, % of uses (max half the injection)</t>
  </si>
  <si>
    <t xml:space="preserve">Standby note interest rate (accrues, unpaid)</t>
  </si>
  <si>
    <t xml:space="preserve">Amortizing seller note, % of price</t>
  </si>
  <si>
    <t xml:space="preserve">Amortizing seller note rate</t>
  </si>
  <si>
    <t xml:space="preserve">Amortizing seller note term (years)</t>
  </si>
  <si>
    <t xml:space="preserve">SBA 7(a) loan and FY2027 guaranty fee</t>
  </si>
  <si>
    <t xml:space="preserve">Prime rate (WSJ, 18 Sept 2026)</t>
  </si>
  <si>
    <t xml:space="preserve">stress here: the spread is capped</t>
  </si>
  <si>
    <t xml:space="preserve">Spread over prime (cap for loans &gt; $350,000 is 3.00%)</t>
  </si>
  <si>
    <t xml:space="preserve">Term (years; 10 max for non-real-estate)</t>
  </si>
  <si>
    <t xml:space="preserve">Minimum DSCR, initial acquisition</t>
  </si>
  <si>
    <t xml:space="preserve">Fee, loans up to $150,000 (85% guaranteed)</t>
  </si>
  <si>
    <t xml:space="preserve">Fee, loans $150,001-$700,000 (75% guaranteed)</t>
  </si>
  <si>
    <t xml:space="preserve">Fee above $700,000: on guaranteed portion up to the tier</t>
  </si>
  <si>
    <t xml:space="preserve">Fee above $700,000: on guaranteed portion above the tier</t>
  </si>
  <si>
    <t xml:space="preserve">Tier (guaranteed portion)</t>
  </si>
  <si>
    <t xml:space="preserve">Operations and tax</t>
  </si>
  <si>
    <t xml:space="preserve">Revenue and EBITDA growth a year</t>
  </si>
  <si>
    <t xml:space="preserve">assumption, not a forecast</t>
  </si>
  <si>
    <t xml:space="preserve">Normal capex, year 1 (grows)</t>
  </si>
  <si>
    <t xml:space="preserve">Catch-up capex, year 1</t>
  </si>
  <si>
    <t xml:space="preserve">Catch-up capex, year 2</t>
  </si>
  <si>
    <t xml:space="preserve">Price allocated to equipment and vehicles</t>
  </si>
  <si>
    <t xml:space="preserve">Bonus depreciation (1 = 100% expensing, 0 = straight line)</t>
  </si>
  <si>
    <t xml:space="preserve">applies unless you elect out; states may not follow it</t>
  </si>
  <si>
    <t xml:space="preserve">Straight-line life, equipment (years)</t>
  </si>
  <si>
    <t xml:space="preserve">Straight-line life, capex (years)</t>
  </si>
  <si>
    <t xml:space="preserve">Goodwill tax life (years)</t>
  </si>
  <si>
    <t xml:space="preserve">Effective ordinary tax rate (simplified)</t>
  </si>
  <si>
    <t xml:space="preserve">Loss carryforward usable per year, % of taxable income</t>
  </si>
  <si>
    <t xml:space="preserve">Tax loss use: 1 = carried forward, 2 = against other household income, 3 = never used</t>
  </si>
  <si>
    <t xml:space="preserve">book's base case: 1</t>
  </si>
  <si>
    <t xml:space="preserve">Economic life of the fleet, for its market value at exit (years)</t>
  </si>
  <si>
    <t xml:space="preserve">assumption</t>
  </si>
  <si>
    <t xml:space="preserve">Capital gains rate on gain above recapture</t>
  </si>
  <si>
    <t xml:space="preserve">Exit</t>
  </si>
  <si>
    <t xml:space="preserve">Exit at end of year</t>
  </si>
  <si>
    <t xml:space="preserve">Exit multiple of exit-year EBITDA (blank = entry multiple)</t>
  </si>
  <si>
    <t xml:space="preserve">Selling costs, % of gross value</t>
  </si>
  <si>
    <t xml:space="preserve">Stress switch (0 = base case)</t>
  </si>
  <si>
    <t xml:space="preserve">Revenue shock starts in year</t>
  </si>
  <si>
    <t xml:space="preserve">Revenue lost, % of latest-year revenue</t>
  </si>
  <si>
    <t xml:space="preserve">Cedar Ridge: 10%, 15%, 20%. Tri-County hospital: 34%</t>
  </si>
  <si>
    <t xml:space="preserve">Contribution margin on lost revenue</t>
  </si>
  <si>
    <t xml:space="preserve">declared: variable costs only</t>
  </si>
  <si>
    <t xml:space="preserve">From reported profit to the lender's EBITDA</t>
  </si>
  <si>
    <t xml:space="preserve">Line</t>
  </si>
  <si>
    <t xml:space="preserve">Broker</t>
  </si>
  <si>
    <t xml:space="preserve">After QoE</t>
  </si>
  <si>
    <t xml:space="preserve">Removed</t>
  </si>
  <si>
    <t xml:space="preserve">Reported pre-tax income, latest year</t>
  </si>
  <si>
    <t xml:space="preserve">+ Owner's salary</t>
  </si>
  <si>
    <t xml:space="preserve">+ Owner's vehicle, phone and insurance</t>
  </si>
  <si>
    <t xml:space="preserve">+ Depreciation</t>
  </si>
  <si>
    <t xml:space="preserve">+ Interest</t>
  </si>
  <si>
    <t xml:space="preserve">+ One-time recruiting fees</t>
  </si>
  <si>
    <t xml:space="preserve">+ Employer payroll taxes on owner pay</t>
  </si>
  <si>
    <t xml:space="preserve">- Related-party rent brought to market</t>
  </si>
  <si>
    <t xml:space="preserve">- Crew paid as 1099 contractors, reclassified as employees</t>
  </si>
  <si>
    <t xml:space="preserve">SDE (seller's discretionary earnings)</t>
  </si>
  <si>
    <t xml:space="preserve">- Market salary for the buyer as manager</t>
  </si>
  <si>
    <t xml:space="preserve">Adjusted EBITDA (only the QoE column is the lender's number)</t>
  </si>
  <si>
    <t xml:space="preserve">Asking price (multiple x broker SDE)</t>
  </si>
  <si>
    <t xml:space="preserve">Asking price / adjusted EBITDA</t>
  </si>
  <si>
    <t xml:space="preserve">Price paid / broker SDE</t>
  </si>
  <si>
    <t xml:space="preserve">Price paid / QoE SDE</t>
  </si>
  <si>
    <t xml:space="preserve">Price paid / adjusted EBITDA (entry multiple)</t>
  </si>
  <si>
    <t xml:space="preserve">Sources and uses, the valuation cap, and the loan that sizes itself</t>
  </si>
  <si>
    <t xml:space="preserve">The fee depends on the loan and the loan funds the fee. Each fee tier is solved in closed form; the consistent one is kept. No iteration, no circular reference.</t>
  </si>
  <si>
    <t xml:space="preserve">Operating cash cushion</t>
  </si>
  <si>
    <t xml:space="preserve">Closing costs</t>
  </si>
  <si>
    <t xml:space="preserve">Catch-up capex financed at closing</t>
  </si>
  <si>
    <t xml:space="preserve">Subtotal before guaranty fee</t>
  </si>
  <si>
    <t xml:space="preserve">Amortizing seller note</t>
  </si>
  <si>
    <t xml:space="preserve">Appraised value used for the cap</t>
  </si>
  <si>
    <t xml:space="preserve">Uncapped loan if &lt;= $150,000 (2%, 85%)</t>
  </si>
  <si>
    <t xml:space="preserve">Uncapped loan if $150,001-$700,000 (3%, 75%)</t>
  </si>
  <si>
    <t xml:space="preserve">Uncapped loan if &gt; $700,000, guaranteed portion &lt;= tier</t>
  </si>
  <si>
    <t xml:space="preserve">Uncapped loan if &gt; $700,000, guaranteed portion &gt; tier</t>
  </si>
  <si>
    <t xml:space="preserve">Uncapped loan (consistent tier)</t>
  </si>
  <si>
    <t xml:space="preserve">SBA 7(a) LOAN = MIN(uncapped, cap - paying seller note)</t>
  </si>
  <si>
    <t xml:space="preserve">Guaranteed portion</t>
  </si>
  <si>
    <t xml:space="preserve">SBA guaranty fee (financed)</t>
  </si>
  <si>
    <t xml:space="preserve">TOTAL USES</t>
  </si>
  <si>
    <t xml:space="preserve">Seller note on full standby</t>
  </si>
  <si>
    <t xml:space="preserve">Buyer cash</t>
  </si>
  <si>
    <t xml:space="preserve">  of which required (injection less standby)</t>
  </si>
  <si>
    <t xml:space="preserve">  of which extra because of the valuation cap</t>
  </si>
  <si>
    <t xml:space="preserve">Check: sources = uses</t>
  </si>
  <si>
    <t xml:space="preserve">Check: loan + paying seller note &lt;= the cap (appraisal; plus the other uses under the price-only reading)</t>
  </si>
  <si>
    <t xml:space="preserve">Seller cash at closing</t>
  </si>
  <si>
    <t xml:space="preserve">SBA rate (prime + spread)</t>
  </si>
  <si>
    <t xml:space="preserve">SBA annual debt service (level monthly x 12)</t>
  </si>
  <si>
    <t xml:space="preserve">Seller note annual service (level monthly x 12)</t>
  </si>
  <si>
    <t xml:space="preserve">Total debt service, year 1</t>
  </si>
  <si>
    <t xml:space="preserve">LENDER'S DSCR (adjusted EBITDA / total service)</t>
  </si>
  <si>
    <t xml:space="preserve">Minimum required</t>
  </si>
  <si>
    <t xml:space="preserve">Result</t>
  </si>
  <si>
    <t xml:space="preserve">Net working capital delivered at the peg</t>
  </si>
  <si>
    <t xml:space="preserve">Goodwill and intangibles (price - equipment - working capital)</t>
  </si>
  <si>
    <t xml:space="preserve">Cap under the price-only reading, with the fee on the capped loan (each tier in closed form)</t>
  </si>
  <si>
    <t xml:space="preserve">Appraisal + other uses - paying seller note, before the fee</t>
  </si>
  <si>
    <t xml:space="preserve">Capped loan if &lt;= $150,000 (2%, 85%)</t>
  </si>
  <si>
    <t xml:space="preserve">Capped loan if $150,001-$700,000 (3%, 75%)</t>
  </si>
  <si>
    <t xml:space="preserve">Capped loan if &gt; $700,000, guaranteed portion &lt;= tier</t>
  </si>
  <si>
    <t xml:space="preserve">Capped loan if &gt; $700,000, guaranteed portion &gt; tier</t>
  </si>
  <si>
    <t xml:space="preserve">Cap under the price-only reading (consistent tier)</t>
  </si>
  <si>
    <t xml:space="preserve">Until 24 September 2026 the price-only cap carried the fee on the uncapped loan, which let the loan exceed its cap by a few hundred dollars when the appraisal came in below the price. Row 43 solves it exactly.</t>
  </si>
  <si>
    <t xml:space="preserve">Lender's maximum price, closed form (appraisal equal to the price, whole-loan reading, fee tier above 1,000 guaranteed)</t>
  </si>
  <si>
    <t xml:space="preserve">Price at which the lender's DSCR is the minimum, the cap binding</t>
  </si>
  <si>
    <t xml:space="preserve">Price at which the lender's DSCR is the minimum, the injection binding</t>
  </si>
  <si>
    <t xml:space="preserve">LENDER'S MAXIMUM PRICE (the loan is the smaller of the two, so the price is the larger)</t>
  </si>
  <si>
    <t xml:space="preserve">Ten years of operations, tax, debt and cash to the buyer</t>
  </si>
  <si>
    <t xml:space="preserve">Year</t>
  </si>
  <si>
    <t xml:space="preserve">Growth index</t>
  </si>
  <si>
    <t xml:space="preserve">Revenue</t>
  </si>
  <si>
    <t xml:space="preserve">Adjusted EBITDA</t>
  </si>
  <si>
    <t xml:space="preserve">Capex (economic)</t>
  </si>
  <si>
    <t xml:space="preserve">Capex paid from cash flow</t>
  </si>
  <si>
    <t xml:space="preserve">Working-capital build</t>
  </si>
  <si>
    <t xml:space="preserve">Tax depreciation</t>
  </si>
  <si>
    <t xml:space="preserve">Goodwill + closing costs amortization</t>
  </si>
  <si>
    <t xml:space="preserve">Guaranty fee amortization</t>
  </si>
  <si>
    <t xml:space="preserve">SBA interest</t>
  </si>
  <si>
    <t xml:space="preserve">Seller note interest</t>
  </si>
  <si>
    <t xml:space="preserve">Standby interest accrued</t>
  </si>
  <si>
    <t xml:space="preserve">Taxable income before losses</t>
  </si>
  <si>
    <t xml:space="preserve">Loss carryforward used</t>
  </si>
  <si>
    <t xml:space="preserve">Loss carryforward, end of year</t>
  </si>
  <si>
    <t xml:space="preserve">Tax</t>
  </si>
  <si>
    <t xml:space="preserve">SBA service</t>
  </si>
  <si>
    <t xml:space="preserve">Seller note service</t>
  </si>
  <si>
    <t xml:space="preserve">Total debt service</t>
  </si>
  <si>
    <t xml:space="preserve">Lender's DSCR (EBITDA / service)</t>
  </si>
  <si>
    <t xml:space="preserve">Cash DSCR ((EBITDA - capex - WC build - tax) / service)</t>
  </si>
  <si>
    <t xml:space="preserve">Free cash to buyer</t>
  </si>
  <si>
    <t xml:space="preserve">Cumulative free cash</t>
  </si>
  <si>
    <t xml:space="preserve">SBA balance, end of year</t>
  </si>
  <si>
    <t xml:space="preserve">Seller note balance, end of year</t>
  </si>
  <si>
    <t xml:space="preserve">Standby note incl. accrued interest</t>
  </si>
  <si>
    <t xml:space="preserve">Exit and returns</t>
  </si>
  <si>
    <t xml:space="preserve">Exit multiple used (trailing, same basis as entry)</t>
  </si>
  <si>
    <t xml:space="preserve">EBITDA of the exit year</t>
  </si>
  <si>
    <t xml:space="preserve">Gross value (cash-free, debt-free, normal working capital)</t>
  </si>
  <si>
    <t xml:space="preserve">Selling costs</t>
  </si>
  <si>
    <t xml:space="preserve">Debt repaid (SBA + seller note + standby with interest)</t>
  </si>
  <si>
    <t xml:space="preserve">Working capital at exit (at book, no gain)</t>
  </si>
  <si>
    <t xml:space="preserve">Equipment market value at exit (economic wear)</t>
  </si>
  <si>
    <t xml:space="preserve">Equipment tax deductions taken</t>
  </si>
  <si>
    <t xml:space="preserve">Equipment gain (value - remaining tax basis)</t>
  </si>
  <si>
    <t xml:space="preserve">Goodwill value (residual after selling costs)</t>
  </si>
  <si>
    <t xml:space="preserve">Goodwill amortization taken</t>
  </si>
  <si>
    <t xml:space="preserve">Goodwill gain</t>
  </si>
  <si>
    <t xml:space="preserve">Ordinary income (recapture by class, plus any net section 1231 loss)</t>
  </si>
  <si>
    <t xml:space="preserve">Capital gain (net section 1231 gain)</t>
  </si>
  <si>
    <t xml:space="preserve">Unamortized guaranty fee deducted at exit</t>
  </si>
  <si>
    <t xml:space="preserve">Exit tax</t>
  </si>
  <si>
    <t xml:space="preserve">Cash cushion the buyer keeps</t>
  </si>
  <si>
    <t xml:space="preserve">NET EXIT PROCEEDS TO BUYER</t>
  </si>
  <si>
    <t xml:space="preserve">Buyer's cash flows</t>
  </si>
  <si>
    <t xml:space="preserve">Flow</t>
  </si>
  <si>
    <t xml:space="preserve">IRR on cash equity</t>
  </si>
  <si>
    <t xml:space="preserve">Multiple = cash received / cash paid in</t>
  </si>
  <si>
    <t xml:space="preserve">Cumulative cash trough over the hold</t>
  </si>
  <si>
    <t xml:space="preserve">SBA debt the buyer personally guarantees</t>
  </si>
  <si>
    <t xml:space="preserve">Read B27 with B30 beside it: the return is computed on the cash, the risk is carried on the guarantee.</t>
  </si>
  <si>
    <t xml:space="preserve">How to reproduce each sensitivity printed in the book</t>
  </si>
  <si>
    <t xml:space="preserve">Change ONE input on sheet Inputs, read the result, then restore the shipped value (the Check sheet only holds for the shipped inputs).</t>
  </si>
  <si>
    <t xml:space="preserve">Price sweep: change 'Purchase price' (Cedar Ridge: 2,400 / 2,800 / 3,000 / asking; Tri-County: 1,338 / 1,590 / 1,850). The loan, fee, cap and every year re-size.</t>
  </si>
  <si>
    <t xml:space="preserve">Rate stress: raise 'Prime rate' by 1, 2 or 3 points. Do not raise the spread: 3.00% is the legal cap above $350,000.</t>
  </si>
  <si>
    <t xml:space="preserve">Revenue shock: set 'Revenue lost' to 10%, 15% or 20% (start year 2). Watch the lender's DSCR and the cumulative free cash.</t>
  </si>
  <si>
    <t xml:space="preserve">Bonus depreciation: set it to 0 (the buyer elects out, or the state does not follow it) for straight-line depreciation and compare year 1 and the exit tax.</t>
  </si>
  <si>
    <t xml:space="preserve">Exit: type 3 or 4.5 in 'Exit multiple'.</t>
  </si>
  <si>
    <t xml:space="preserve">Valuation: type an appraised value below the price and watch the buyer's cash rise on Sources_Uses.</t>
  </si>
  <si>
    <t xml:space="preserve">Cap reading: set 'Valuation cap applies to' to 0 to see the price-only reading; then set 'Catch-up capex financed at closing' to the year-1 catch-up.</t>
  </si>
  <si>
    <t xml:space="preserve">Tax: set 'Loss carryforward usable per year' to 100% to see what the 80% limit costs; set 'Tax loss use' to 2 or 3 for the other cases of Chapter 9.</t>
  </si>
  <si>
    <t xml:space="preserve">Tri-County: shipped at $1.59 million, just under the lender's maximum. The book shows this price FAILS its own test in years 3-5; its buyer's price is about $1.34 million. Try both, and set 'Revenue lost' to 34% to lose the hospital.</t>
  </si>
  <si>
    <t xml:space="preserve">Appraisal under the price-only reading: set 'Valuation cap applies to' to 0 and type an appraisal below the price. The loan stops at the appraisal plus the other uses, the guaranty fee on the capped loan included (Sources_Uses row 43).</t>
  </si>
  <si>
    <t xml:space="preserve">Every figure the book prints, reproduced by live formula</t>
  </si>
  <si>
    <t xml:space="preserve">Valid with the inputs as shipped and the stress switch at 0. Each line carries its own tolerance: 0.05 on amounts (the rounding of printed figures), 0.0005 on ratios, and nought on figures printed to two decimals.</t>
  </si>
  <si>
    <t xml:space="preserve">Figure</t>
  </si>
  <si>
    <t xml:space="preserve">Live</t>
  </si>
  <si>
    <t xml:space="preserve">Book</t>
  </si>
  <si>
    <t xml:space="preserve">Variance</t>
  </si>
  <si>
    <t xml:space="preserve">Status</t>
  </si>
  <si>
    <t xml:space="preserve">Tolerance</t>
  </si>
  <si>
    <t xml:space="preserve">Broker SDE</t>
  </si>
  <si>
    <t xml:space="preserve">QoE SDE</t>
  </si>
  <si>
    <t xml:space="preserve">Asking price</t>
  </si>
  <si>
    <t xml:space="preserve">Entry multiple (price / adjusted EBITDA)</t>
  </si>
  <si>
    <t xml:space="preserve">SBA guaranty fee</t>
  </si>
  <si>
    <t xml:space="preserve">Total uses</t>
  </si>
  <si>
    <t xml:space="preserve">SBA loan</t>
  </si>
  <si>
    <t xml:space="preserve">Standby seller note</t>
  </si>
  <si>
    <t xml:space="preserve">SBA annual service</t>
  </si>
  <si>
    <t xml:space="preserve">Total service year 1</t>
  </si>
  <si>
    <t xml:space="preserve">Lender's DSCR</t>
  </si>
  <si>
    <t xml:space="preserve">Goodwill</t>
  </si>
  <si>
    <t xml:space="preserve">Cash DSCR year 1</t>
  </si>
  <si>
    <t xml:space="preserve">Free cash to buyer year 1</t>
  </si>
  <si>
    <t xml:space="preserve">Tax year 1</t>
  </si>
  <si>
    <t xml:space="preserve">Cash DSCR year 2</t>
  </si>
  <si>
    <t xml:space="preserve">Free cash to buyer year 2</t>
  </si>
  <si>
    <t xml:space="preserve">Tax year 2</t>
  </si>
  <si>
    <t xml:space="preserve">Cash DSCR year 3</t>
  </si>
  <si>
    <t xml:space="preserve">Free cash to buyer year 3</t>
  </si>
  <si>
    <t xml:space="preserve">Tax year 3</t>
  </si>
  <si>
    <t xml:space="preserve">Cash DSCR year 4</t>
  </si>
  <si>
    <t xml:space="preserve">Free cash to buyer year 4</t>
  </si>
  <si>
    <t xml:space="preserve">Tax year 4</t>
  </si>
  <si>
    <t xml:space="preserve">Cash DSCR year 5</t>
  </si>
  <si>
    <t xml:space="preserve">Free cash to buyer year 5</t>
  </si>
  <si>
    <t xml:space="preserve">Tax year 5</t>
  </si>
  <si>
    <t xml:space="preserve">Net exit proceeds</t>
  </si>
  <si>
    <t xml:space="preserve">Multiple (received / paid in)</t>
  </si>
  <si>
    <t xml:space="preserve">Cash trough</t>
  </si>
  <si>
    <t xml:space="preserve">Figures on the page and in the read-me, and the book's two price tests (added 24 September 2026)</t>
  </si>
  <si>
    <t xml:space="preserve">Page: the lender's coverage, to two decimals (just over 1.25x)</t>
  </si>
  <si>
    <t xml:space="preserve">Page: cash coverage years 3 to 5, lowest, two decimals (1.10x)</t>
  </si>
  <si>
    <t xml:space="preserve">Page: cash coverage years 3 to 5, highest, two decimals (1.12x)</t>
  </si>
  <si>
    <t xml:space="preserve">Page: the hospital, 34% of revenue, is about 77% of profit (two decimals)</t>
  </si>
  <si>
    <t xml:space="preserve">Page: asking was 1.85 million (millions, two decimals)</t>
  </si>
  <si>
    <t xml:space="preserve">Book's test, cash DSCR of at least 1.25 in years 3 to 5 (1 = passes, 0 = fails)</t>
  </si>
  <si>
    <t xml:space="preserve">Lender's maximum price at 1.25 (closed form, Sources_Uses row 49)</t>
  </si>
  <si>
    <t xml:space="preserve">Page: shipped just under the lender's maximum (1 = below it by less than 1%)</t>
  </si>
  <si>
    <t xml:space="preserve">Identities: they hold for any inputs (added 24 September 2026)</t>
  </si>
  <si>
    <t xml:space="preserve">Bridge: broker SDE less QoE SDE is the sum of the Removed column</t>
  </si>
  <si>
    <t xml:space="preserve">Goodwill is not negative: the price covers the equipment and working capital it buys (shortfall, if any)</t>
  </si>
  <si>
    <t xml:space="preserve">Sources equal uses</t>
  </si>
  <si>
    <t xml:space="preserve">The uncapped loan satisfies its own equation, fee included</t>
  </si>
  <si>
    <t xml:space="preserve">The price-only cap satisfies its own equation, fee on the capped loan</t>
  </si>
  <si>
    <t xml:space="preserve">Loan + paying seller note stay within the cap (excess, if any)</t>
  </si>
  <si>
    <t xml:space="preserve">Buyer cash + standby note cover the required injection (shortfall, if any)</t>
  </si>
  <si>
    <t xml:space="preserve">The SBA loan repays exactly: ten years of principal sum to the loan</t>
  </si>
  <si>
    <t xml:space="preserve">The paying seller note repays exactly</t>
  </si>
  <si>
    <t xml:space="preserve">SBA balance, year 1, is the loan less year-1 principal</t>
  </si>
  <si>
    <t xml:space="preserve">Loss ledger: losses created less losses used is the balance carried</t>
  </si>
  <si>
    <t xml:space="preserve">No year uses losses beyond the percentage limit (years in breach)</t>
  </si>
  <si>
    <t xml:space="preserve">Free cash is cash coverage less one, times service (year 1)</t>
  </si>
  <si>
    <t xml:space="preserve">Lender's coverage on Sources_Uses is year 1 of Operations</t>
  </si>
  <si>
    <t xml:space="preserve">Standby note: the note plus ten years of accrued interest is its year-10 balance</t>
  </si>
  <si>
    <t xml:space="preserve">Exit: ordinary income plus capital gain equals the two gains</t>
  </si>
  <si>
    <t xml:space="preserve">Exit: recapture never exceeds the deductions taken (excess, if any)</t>
  </si>
  <si>
    <t xml:space="preserve">Exit: working capital is the peg grown with revenue</t>
  </si>
  <si>
    <t xml:space="preserve">Exit: the equipment's remaining tax basis is not negative (shortfall, if any)</t>
  </si>
  <si>
    <t xml:space="preserve">IRR: the buyer's flows discount to nought at the IRR</t>
  </si>
  <si>
    <t xml:space="preserve">All checks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</si>
</sst>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;\(#,##0.0\);\-"/>
    <numFmt numFmtId="166" formatCode="0.00\x"/>
    <numFmt numFmtId="167" formatCode="0"/>
    <numFmt numFmtId="168" formatCode="0.00%"/>
    <numFmt numFmtId="169" formatCode="0.0000"/>
    <numFmt numFmtId="170" formatCode="0.000000"/>
    <numFmt numFmtId="171" formatCode="0.00"/>
    <numFmt numFmtId="172" formatCode="0.0E+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 t="s">
        <v>7</v>
      </c>
    </row>
    <row r="10" customFormat="false" ht="15" hidden="false" customHeight="true" outlineLevel="0" collapsed="false">
      <c r="A10" s="3" t="s">
        <v>8</v>
      </c>
    </row>
    <row r="11" customFormat="false" ht="15" hidden="false" customHeight="true" outlineLevel="0" collapsed="false">
      <c r="A11" s="3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5" t="s">
        <v>11</v>
      </c>
    </row>
    <row r="15" customFormat="false" ht="23.85" hidden="false" customHeight="false" outlineLevel="0" collapsed="false">
      <c r="A15" s="5" t="s">
        <v>12</v>
      </c>
    </row>
    <row r="16" customFormat="false" ht="23.85" hidden="false" customHeight="false" outlineLevel="0" collapsed="false">
      <c r="A16" s="5" t="s">
        <v>13</v>
      </c>
    </row>
    <row r="17" customFormat="false" ht="15" hidden="false" customHeight="false" outlineLevel="0" collapsed="false">
      <c r="A17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4"/>
    <col collapsed="false" customWidth="true" hidden="false" outlineLevel="0" max="3" min="3" style="1" width="60"/>
  </cols>
  <sheetData>
    <row r="1" customFormat="false" ht="17.25" hidden="false" customHeight="true" outlineLevel="0" collapsed="false">
      <c r="A1" s="2" t="s">
        <v>15</v>
      </c>
    </row>
    <row r="4" customFormat="false" ht="15" hidden="false" customHeight="true" outlineLevel="0" collapsed="false">
      <c r="A4" s="6" t="s">
        <v>16</v>
      </c>
      <c r="B4" s="7"/>
      <c r="C4" s="7"/>
    </row>
    <row r="5" customFormat="false" ht="15" hidden="false" customHeight="true" outlineLevel="0" collapsed="false">
      <c r="A5" s="3" t="s">
        <v>17</v>
      </c>
      <c r="B5" s="8" t="n">
        <v>3050</v>
      </c>
      <c r="C5" s="3"/>
    </row>
    <row r="6" customFormat="false" ht="15" hidden="false" customHeight="true" outlineLevel="0" collapsed="false">
      <c r="A6" s="3" t="s">
        <v>18</v>
      </c>
      <c r="B6" s="8" t="n">
        <v>262</v>
      </c>
      <c r="C6" s="3"/>
    </row>
    <row r="7" customFormat="false" ht="15" hidden="false" customHeight="true" outlineLevel="0" collapsed="false">
      <c r="A7" s="3" t="s">
        <v>19</v>
      </c>
      <c r="B7" s="8" t="n">
        <v>3260</v>
      </c>
      <c r="C7" s="3"/>
    </row>
    <row r="8" customFormat="false" ht="15" hidden="false" customHeight="true" outlineLevel="0" collapsed="false">
      <c r="A8" s="3" t="s">
        <v>20</v>
      </c>
      <c r="B8" s="8" t="n">
        <v>291</v>
      </c>
      <c r="C8" s="3"/>
    </row>
    <row r="9" customFormat="false" ht="15" hidden="false" customHeight="true" outlineLevel="0" collapsed="false">
      <c r="A9" s="3" t="s">
        <v>21</v>
      </c>
      <c r="B9" s="8" t="n">
        <v>3400</v>
      </c>
      <c r="C9" s="3"/>
    </row>
    <row r="10" customFormat="false" ht="15" hidden="false" customHeight="true" outlineLevel="0" collapsed="false">
      <c r="A10" s="3" t="s">
        <v>22</v>
      </c>
      <c r="B10" s="8" t="n">
        <v>318</v>
      </c>
      <c r="C10" s="3"/>
    </row>
    <row r="12" customFormat="false" ht="15" hidden="false" customHeight="true" outlineLevel="0" collapsed="false">
      <c r="A12" s="6" t="s">
        <v>23</v>
      </c>
      <c r="B12" s="7"/>
      <c r="C12" s="7"/>
    </row>
    <row r="13" customFormat="false" ht="15" hidden="false" customHeight="true" outlineLevel="0" collapsed="false">
      <c r="A13" s="3" t="s">
        <v>24</v>
      </c>
      <c r="B13" s="8" t="n">
        <v>120</v>
      </c>
      <c r="C13" s="3"/>
    </row>
    <row r="14" customFormat="false" ht="15" hidden="false" customHeight="true" outlineLevel="0" collapsed="false">
      <c r="A14" s="3" t="s">
        <v>25</v>
      </c>
      <c r="B14" s="8" t="n">
        <v>22</v>
      </c>
      <c r="C14" s="3"/>
    </row>
    <row r="15" customFormat="false" ht="15" hidden="false" customHeight="true" outlineLevel="0" collapsed="false">
      <c r="A15" s="3" t="s">
        <v>26</v>
      </c>
      <c r="B15" s="8" t="n">
        <v>18</v>
      </c>
      <c r="C15" s="3"/>
    </row>
    <row r="16" customFormat="false" ht="15" hidden="false" customHeight="true" outlineLevel="0" collapsed="false">
      <c r="A16" s="3" t="s">
        <v>27</v>
      </c>
      <c r="B16" s="8" t="n">
        <v>6</v>
      </c>
      <c r="C16" s="3"/>
    </row>
    <row r="17" customFormat="false" ht="15" hidden="false" customHeight="true" outlineLevel="0" collapsed="false">
      <c r="A17" s="3" t="s">
        <v>28</v>
      </c>
      <c r="B17" s="8" t="n">
        <v>30</v>
      </c>
      <c r="C17" s="3"/>
    </row>
    <row r="18" customFormat="false" ht="15" hidden="false" customHeight="true" outlineLevel="0" collapsed="false">
      <c r="A18" s="3" t="s">
        <v>29</v>
      </c>
      <c r="B18" s="8" t="n">
        <v>0</v>
      </c>
      <c r="C18" s="3"/>
    </row>
    <row r="20" customFormat="false" ht="15" hidden="false" customHeight="true" outlineLevel="0" collapsed="false">
      <c r="A20" s="6" t="s">
        <v>30</v>
      </c>
      <c r="B20" s="7"/>
      <c r="C20" s="7"/>
    </row>
    <row r="21" customFormat="false" ht="15" hidden="false" customHeight="true" outlineLevel="0" collapsed="false">
      <c r="A21" s="3" t="s">
        <v>31</v>
      </c>
      <c r="B21" s="9" t="n">
        <v>120</v>
      </c>
      <c r="C21" s="3"/>
    </row>
    <row r="22" customFormat="false" ht="15" hidden="false" customHeight="true" outlineLevel="0" collapsed="false">
      <c r="A22" s="3" t="s">
        <v>32</v>
      </c>
      <c r="B22" s="9" t="n">
        <v>12</v>
      </c>
      <c r="C22" s="3"/>
    </row>
    <row r="23" customFormat="false" ht="15" hidden="false" customHeight="true" outlineLevel="0" collapsed="false">
      <c r="A23" s="3" t="s">
        <v>33</v>
      </c>
      <c r="B23" s="9" t="n">
        <v>18</v>
      </c>
      <c r="C23" s="3"/>
    </row>
    <row r="24" customFormat="false" ht="15" hidden="false" customHeight="true" outlineLevel="0" collapsed="false">
      <c r="A24" s="3" t="s">
        <v>34</v>
      </c>
      <c r="B24" s="9" t="n">
        <v>6</v>
      </c>
      <c r="C24" s="3"/>
    </row>
    <row r="25" customFormat="false" ht="15" hidden="false" customHeight="true" outlineLevel="0" collapsed="false">
      <c r="A25" s="3" t="s">
        <v>35</v>
      </c>
      <c r="B25" s="9" t="n">
        <v>0</v>
      </c>
      <c r="C25" s="3"/>
    </row>
    <row r="26" customFormat="false" ht="15" hidden="false" customHeight="true" outlineLevel="0" collapsed="false">
      <c r="A26" s="3" t="s">
        <v>36</v>
      </c>
      <c r="B26" s="9" t="n">
        <v>9</v>
      </c>
      <c r="C26" s="3"/>
    </row>
    <row r="27" customFormat="false" ht="15" hidden="false" customHeight="true" outlineLevel="0" collapsed="false">
      <c r="A27" s="3" t="s">
        <v>37</v>
      </c>
      <c r="B27" s="8" t="n">
        <v>0</v>
      </c>
      <c r="C27" s="3"/>
    </row>
    <row r="28" customFormat="false" ht="15" hidden="false" customHeight="true" outlineLevel="0" collapsed="false">
      <c r="A28" s="3" t="s">
        <v>38</v>
      </c>
      <c r="B28" s="8" t="n">
        <v>0</v>
      </c>
      <c r="C28" s="3"/>
    </row>
    <row r="29" customFormat="false" ht="15" hidden="false" customHeight="true" outlineLevel="0" collapsed="false">
      <c r="A29" s="3" t="s">
        <v>39</v>
      </c>
      <c r="B29" s="9" t="n">
        <v>-41</v>
      </c>
      <c r="C29" s="3"/>
    </row>
    <row r="30" customFormat="false" ht="15" hidden="false" customHeight="true" outlineLevel="0" collapsed="false">
      <c r="A30" s="3" t="s">
        <v>40</v>
      </c>
      <c r="B30" s="9" t="n">
        <v>110</v>
      </c>
      <c r="C30" s="3"/>
    </row>
    <row r="32" customFormat="false" ht="15" hidden="false" customHeight="true" outlineLevel="0" collapsed="false">
      <c r="A32" s="6" t="s">
        <v>41</v>
      </c>
      <c r="B32" s="7"/>
      <c r="C32" s="7"/>
    </row>
    <row r="33" customFormat="false" ht="15" hidden="false" customHeight="true" outlineLevel="0" collapsed="false">
      <c r="A33" s="3" t="s">
        <v>42</v>
      </c>
      <c r="B33" s="10" t="n">
        <v>3.59922178988327</v>
      </c>
      <c r="C33" s="3"/>
    </row>
    <row r="34" customFormat="false" ht="15" hidden="false" customHeight="true" outlineLevel="0" collapsed="false">
      <c r="A34" s="3" t="s">
        <v>43</v>
      </c>
      <c r="B34" s="9" t="n">
        <v>1590</v>
      </c>
      <c r="C34" s="3"/>
    </row>
    <row r="35" customFormat="false" ht="15" hidden="false" customHeight="true" outlineLevel="0" collapsed="false">
      <c r="A35" s="3" t="s">
        <v>44</v>
      </c>
      <c r="B35" s="8"/>
      <c r="C35" s="3" t="s">
        <v>45</v>
      </c>
    </row>
    <row r="36" customFormat="false" ht="15" hidden="false" customHeight="true" outlineLevel="0" collapsed="false">
      <c r="A36" s="3" t="s">
        <v>46</v>
      </c>
      <c r="B36" s="8" t="n">
        <v>330</v>
      </c>
      <c r="C36" s="3"/>
    </row>
    <row r="37" customFormat="false" ht="15" hidden="false" customHeight="true" outlineLevel="0" collapsed="false">
      <c r="A37" s="3" t="s">
        <v>47</v>
      </c>
      <c r="B37" s="8" t="n">
        <v>20</v>
      </c>
      <c r="C37" s="3"/>
    </row>
    <row r="38" customFormat="false" ht="15" hidden="false" customHeight="true" outlineLevel="0" collapsed="false">
      <c r="A38" s="3" t="s">
        <v>48</v>
      </c>
      <c r="B38" s="8" t="n">
        <v>-150</v>
      </c>
      <c r="C38" s="3"/>
    </row>
    <row r="39" customFormat="false" ht="15" hidden="false" customHeight="true" outlineLevel="0" collapsed="false">
      <c r="A39" s="3" t="s">
        <v>49</v>
      </c>
      <c r="B39" s="8" t="n">
        <v>100</v>
      </c>
      <c r="C39" s="3"/>
    </row>
    <row r="40" customFormat="false" ht="15" hidden="false" customHeight="true" outlineLevel="0" collapsed="false">
      <c r="A40" s="3" t="s">
        <v>50</v>
      </c>
      <c r="B40" s="8" t="n">
        <v>70</v>
      </c>
      <c r="C40" s="3"/>
    </row>
    <row r="41" customFormat="false" ht="15" hidden="false" customHeight="true" outlineLevel="0" collapsed="false">
      <c r="A41" s="3" t="s">
        <v>51</v>
      </c>
      <c r="B41" s="11" t="n">
        <v>1</v>
      </c>
      <c r="C41" s="3" t="s">
        <v>52</v>
      </c>
    </row>
    <row r="42" customFormat="false" ht="15" hidden="false" customHeight="true" outlineLevel="0" collapsed="false">
      <c r="A42" s="3" t="s">
        <v>53</v>
      </c>
      <c r="B42" s="8" t="n">
        <v>0</v>
      </c>
      <c r="C42" s="3"/>
    </row>
    <row r="43" customFormat="false" ht="15" hidden="false" customHeight="true" outlineLevel="0" collapsed="false">
      <c r="A43" s="3" t="s">
        <v>54</v>
      </c>
      <c r="B43" s="12" t="n">
        <v>0.1</v>
      </c>
      <c r="C43" s="3"/>
    </row>
    <row r="44" customFormat="false" ht="15" hidden="false" customHeight="true" outlineLevel="0" collapsed="false">
      <c r="A44" s="3" t="s">
        <v>55</v>
      </c>
      <c r="B44" s="12" t="n">
        <v>0.05</v>
      </c>
      <c r="C44" s="3"/>
    </row>
    <row r="45" customFormat="false" ht="15" hidden="false" customHeight="true" outlineLevel="0" collapsed="false">
      <c r="A45" s="3" t="s">
        <v>56</v>
      </c>
      <c r="B45" s="12" t="n">
        <v>0.06</v>
      </c>
      <c r="C45" s="3"/>
    </row>
    <row r="46" customFormat="false" ht="15" hidden="false" customHeight="true" outlineLevel="0" collapsed="false">
      <c r="A46" s="3" t="s">
        <v>57</v>
      </c>
      <c r="B46" s="12" t="n">
        <v>0.1</v>
      </c>
      <c r="C46" s="3"/>
    </row>
    <row r="47" customFormat="false" ht="15" hidden="false" customHeight="true" outlineLevel="0" collapsed="false">
      <c r="A47" s="3" t="s">
        <v>58</v>
      </c>
      <c r="B47" s="12" t="n">
        <v>0.07</v>
      </c>
      <c r="C47" s="3"/>
    </row>
    <row r="48" customFormat="false" ht="15" hidden="false" customHeight="true" outlineLevel="0" collapsed="false">
      <c r="A48" s="3" t="s">
        <v>59</v>
      </c>
      <c r="B48" s="13" t="n">
        <v>5</v>
      </c>
      <c r="C48" s="3"/>
    </row>
    <row r="50" customFormat="false" ht="15" hidden="false" customHeight="true" outlineLevel="0" collapsed="false">
      <c r="A50" s="6" t="s">
        <v>60</v>
      </c>
      <c r="B50" s="7"/>
      <c r="C50" s="7"/>
    </row>
    <row r="51" customFormat="false" ht="15" hidden="false" customHeight="true" outlineLevel="0" collapsed="false">
      <c r="A51" s="3" t="s">
        <v>61</v>
      </c>
      <c r="B51" s="14" t="n">
        <v>0.07</v>
      </c>
      <c r="C51" s="3" t="s">
        <v>62</v>
      </c>
    </row>
    <row r="52" customFormat="false" ht="15" hidden="false" customHeight="true" outlineLevel="0" collapsed="false">
      <c r="A52" s="3" t="s">
        <v>63</v>
      </c>
      <c r="B52" s="12" t="n">
        <v>0.03</v>
      </c>
      <c r="C52" s="3"/>
    </row>
    <row r="53" customFormat="false" ht="15" hidden="false" customHeight="true" outlineLevel="0" collapsed="false">
      <c r="A53" s="3" t="s">
        <v>64</v>
      </c>
      <c r="B53" s="13" t="n">
        <v>10</v>
      </c>
      <c r="C53" s="3"/>
    </row>
    <row r="54" customFormat="false" ht="15" hidden="false" customHeight="true" outlineLevel="0" collapsed="false">
      <c r="A54" s="3" t="s">
        <v>65</v>
      </c>
      <c r="B54" s="10" t="n">
        <v>1.25</v>
      </c>
      <c r="C54" s="3"/>
    </row>
    <row r="55" customFormat="false" ht="15" hidden="false" customHeight="true" outlineLevel="0" collapsed="false">
      <c r="A55" s="3" t="s">
        <v>66</v>
      </c>
      <c r="B55" s="12" t="n">
        <v>0.02</v>
      </c>
      <c r="C55" s="3"/>
    </row>
    <row r="56" customFormat="false" ht="15" hidden="false" customHeight="true" outlineLevel="0" collapsed="false">
      <c r="A56" s="3" t="s">
        <v>67</v>
      </c>
      <c r="B56" s="12" t="n">
        <v>0.03</v>
      </c>
      <c r="C56" s="3"/>
    </row>
    <row r="57" customFormat="false" ht="15" hidden="false" customHeight="true" outlineLevel="0" collapsed="false">
      <c r="A57" s="3" t="s">
        <v>68</v>
      </c>
      <c r="B57" s="12" t="n">
        <v>0.035</v>
      </c>
      <c r="C57" s="3"/>
    </row>
    <row r="58" customFormat="false" ht="15" hidden="false" customHeight="true" outlineLevel="0" collapsed="false">
      <c r="A58" s="3" t="s">
        <v>69</v>
      </c>
      <c r="B58" s="12" t="n">
        <v>0.0375</v>
      </c>
      <c r="C58" s="3"/>
    </row>
    <row r="59" customFormat="false" ht="15" hidden="false" customHeight="true" outlineLevel="0" collapsed="false">
      <c r="A59" s="3" t="s">
        <v>70</v>
      </c>
      <c r="B59" s="8" t="n">
        <v>1000</v>
      </c>
      <c r="C59" s="3"/>
    </row>
    <row r="61" customFormat="false" ht="15" hidden="false" customHeight="true" outlineLevel="0" collapsed="false">
      <c r="A61" s="6" t="s">
        <v>71</v>
      </c>
      <c r="B61" s="7"/>
      <c r="C61" s="7"/>
    </row>
    <row r="62" customFormat="false" ht="15" hidden="false" customHeight="true" outlineLevel="0" collapsed="false">
      <c r="A62" s="3" t="s">
        <v>72</v>
      </c>
      <c r="B62" s="14" t="n">
        <v>0.03</v>
      </c>
      <c r="C62" s="3" t="s">
        <v>73</v>
      </c>
    </row>
    <row r="63" customFormat="false" ht="15" hidden="false" customHeight="true" outlineLevel="0" collapsed="false">
      <c r="A63" s="3" t="s">
        <v>74</v>
      </c>
      <c r="B63" s="9" t="n">
        <v>25</v>
      </c>
      <c r="C63" s="3"/>
    </row>
    <row r="64" customFormat="false" ht="15" hidden="false" customHeight="true" outlineLevel="0" collapsed="false">
      <c r="A64" s="3" t="s">
        <v>75</v>
      </c>
      <c r="B64" s="9" t="n">
        <v>0</v>
      </c>
      <c r="C64" s="3"/>
    </row>
    <row r="65" customFormat="false" ht="15" hidden="false" customHeight="true" outlineLevel="0" collapsed="false">
      <c r="A65" s="3" t="s">
        <v>76</v>
      </c>
      <c r="B65" s="8" t="n">
        <v>0</v>
      </c>
      <c r="C65" s="3"/>
    </row>
    <row r="66" customFormat="false" ht="15" hidden="false" customHeight="true" outlineLevel="0" collapsed="false">
      <c r="A66" s="3" t="s">
        <v>77</v>
      </c>
      <c r="B66" s="8" t="n">
        <v>90</v>
      </c>
      <c r="C66" s="3"/>
    </row>
    <row r="67" customFormat="false" ht="15" hidden="false" customHeight="true" outlineLevel="0" collapsed="false">
      <c r="A67" s="3" t="s">
        <v>78</v>
      </c>
      <c r="B67" s="11" t="n">
        <v>1</v>
      </c>
      <c r="C67" s="3" t="s">
        <v>79</v>
      </c>
    </row>
    <row r="68" customFormat="false" ht="15" hidden="false" customHeight="true" outlineLevel="0" collapsed="false">
      <c r="A68" s="3" t="s">
        <v>80</v>
      </c>
      <c r="B68" s="13" t="n">
        <v>5</v>
      </c>
      <c r="C68" s="3"/>
    </row>
    <row r="69" customFormat="false" ht="15" hidden="false" customHeight="true" outlineLevel="0" collapsed="false">
      <c r="A69" s="3" t="s">
        <v>81</v>
      </c>
      <c r="B69" s="13" t="n">
        <v>5</v>
      </c>
      <c r="C69" s="3"/>
    </row>
    <row r="70" customFormat="false" ht="15" hidden="false" customHeight="true" outlineLevel="0" collapsed="false">
      <c r="A70" s="3" t="s">
        <v>82</v>
      </c>
      <c r="B70" s="13" t="n">
        <v>15</v>
      </c>
      <c r="C70" s="3"/>
    </row>
    <row r="71" customFormat="false" ht="15" hidden="false" customHeight="true" outlineLevel="0" collapsed="false">
      <c r="A71" s="3" t="s">
        <v>83</v>
      </c>
      <c r="B71" s="12" t="n">
        <v>0.3</v>
      </c>
      <c r="C71" s="3"/>
    </row>
    <row r="72" customFormat="false" ht="15" hidden="false" customHeight="true" outlineLevel="0" collapsed="false">
      <c r="A72" s="3" t="s">
        <v>84</v>
      </c>
      <c r="B72" s="12" t="n">
        <v>0.8</v>
      </c>
      <c r="C72" s="3"/>
    </row>
    <row r="73" customFormat="false" ht="15" hidden="false" customHeight="true" outlineLevel="0" collapsed="false">
      <c r="A73" s="3" t="s">
        <v>85</v>
      </c>
      <c r="B73" s="11" t="n">
        <v>1</v>
      </c>
      <c r="C73" s="3" t="s">
        <v>86</v>
      </c>
    </row>
    <row r="74" customFormat="false" ht="15" hidden="false" customHeight="true" outlineLevel="0" collapsed="false">
      <c r="A74" s="3" t="s">
        <v>87</v>
      </c>
      <c r="B74" s="11" t="n">
        <v>7</v>
      </c>
      <c r="C74" s="3" t="s">
        <v>88</v>
      </c>
    </row>
    <row r="75" customFormat="false" ht="15" hidden="false" customHeight="true" outlineLevel="0" collapsed="false">
      <c r="A75" s="3" t="s">
        <v>89</v>
      </c>
      <c r="B75" s="12" t="n">
        <v>0.2</v>
      </c>
      <c r="C75" s="3"/>
    </row>
    <row r="77" customFormat="false" ht="15" hidden="false" customHeight="true" outlineLevel="0" collapsed="false">
      <c r="A77" s="6" t="s">
        <v>90</v>
      </c>
      <c r="B77" s="7"/>
      <c r="C77" s="7"/>
    </row>
    <row r="78" customFormat="false" ht="15" hidden="false" customHeight="true" outlineLevel="0" collapsed="false">
      <c r="A78" s="3" t="s">
        <v>91</v>
      </c>
      <c r="B78" s="13" t="n">
        <v>5</v>
      </c>
      <c r="C78" s="3"/>
    </row>
    <row r="79" customFormat="false" ht="15" hidden="false" customHeight="true" outlineLevel="0" collapsed="false">
      <c r="A79" s="3" t="s">
        <v>92</v>
      </c>
      <c r="B79" s="10"/>
      <c r="C79" s="3"/>
    </row>
    <row r="80" customFormat="false" ht="15" hidden="false" customHeight="true" outlineLevel="0" collapsed="false">
      <c r="A80" s="3" t="s">
        <v>93</v>
      </c>
      <c r="B80" s="12" t="n">
        <v>0.06</v>
      </c>
      <c r="C80" s="3"/>
    </row>
    <row r="82" customFormat="false" ht="15" hidden="false" customHeight="true" outlineLevel="0" collapsed="false">
      <c r="A82" s="6" t="s">
        <v>94</v>
      </c>
      <c r="B82" s="7"/>
      <c r="C82" s="7"/>
    </row>
    <row r="83" customFormat="false" ht="15" hidden="false" customHeight="true" outlineLevel="0" collapsed="false">
      <c r="A83" s="3" t="s">
        <v>95</v>
      </c>
      <c r="B83" s="13" t="n">
        <v>2</v>
      </c>
      <c r="C83" s="3"/>
    </row>
    <row r="84" customFormat="false" ht="15" hidden="false" customHeight="true" outlineLevel="0" collapsed="false">
      <c r="A84" s="3" t="s">
        <v>96</v>
      </c>
      <c r="B84" s="14" t="n">
        <v>0</v>
      </c>
      <c r="C84" s="3" t="s">
        <v>97</v>
      </c>
    </row>
    <row r="85" customFormat="false" ht="15" hidden="false" customHeight="true" outlineLevel="0" collapsed="false">
      <c r="A85" s="3" t="s">
        <v>98</v>
      </c>
      <c r="B85" s="14" t="n">
        <v>0.22</v>
      </c>
      <c r="C85" s="3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4" min="2" style="1" width="14"/>
  </cols>
  <sheetData>
    <row r="1" customFormat="false" ht="17.25" hidden="false" customHeight="true" outlineLevel="0" collapsed="false">
      <c r="A1" s="2" t="s">
        <v>100</v>
      </c>
    </row>
    <row r="3" customFormat="false" ht="15" hidden="false" customHeight="true" outlineLevel="0" collapsed="false">
      <c r="A3" s="6" t="s">
        <v>101</v>
      </c>
      <c r="B3" s="6" t="s">
        <v>102</v>
      </c>
      <c r="C3" s="6" t="s">
        <v>103</v>
      </c>
      <c r="D3" s="6" t="s">
        <v>104</v>
      </c>
    </row>
    <row r="4" customFormat="false" ht="15" hidden="false" customHeight="true" outlineLevel="0" collapsed="false">
      <c r="A4" s="1" t="s">
        <v>105</v>
      </c>
      <c r="B4" s="15" t="n">
        <f aca="false">Inputs!$B$10</f>
        <v>318</v>
      </c>
      <c r="C4" s="15" t="n">
        <f aca="false">Inputs!$B$10</f>
        <v>318</v>
      </c>
      <c r="D4" s="15" t="n">
        <f aca="false">B4-C4</f>
        <v>0</v>
      </c>
    </row>
    <row r="5" customFormat="false" ht="15" hidden="false" customHeight="true" outlineLevel="0" collapsed="false">
      <c r="A5" s="1" t="s">
        <v>106</v>
      </c>
      <c r="B5" s="15" t="n">
        <f aca="false">Inputs!$B$13</f>
        <v>120</v>
      </c>
      <c r="C5" s="15" t="n">
        <f aca="false">Inputs!$B$21</f>
        <v>120</v>
      </c>
      <c r="D5" s="15" t="n">
        <f aca="false">B5-C5</f>
        <v>0</v>
      </c>
    </row>
    <row r="6" customFormat="false" ht="15" hidden="false" customHeight="true" outlineLevel="0" collapsed="false">
      <c r="A6" s="1" t="s">
        <v>107</v>
      </c>
      <c r="B6" s="15" t="n">
        <f aca="false">Inputs!$B$14</f>
        <v>22</v>
      </c>
      <c r="C6" s="15" t="n">
        <f aca="false">Inputs!$B$22</f>
        <v>12</v>
      </c>
      <c r="D6" s="15" t="n">
        <f aca="false">B6-C6</f>
        <v>10</v>
      </c>
    </row>
    <row r="7" customFormat="false" ht="15" hidden="false" customHeight="true" outlineLevel="0" collapsed="false">
      <c r="A7" s="1" t="s">
        <v>108</v>
      </c>
      <c r="B7" s="15" t="n">
        <f aca="false">Inputs!$B$15</f>
        <v>18</v>
      </c>
      <c r="C7" s="15" t="n">
        <f aca="false">Inputs!$B$23</f>
        <v>18</v>
      </c>
      <c r="D7" s="15" t="n">
        <f aca="false">B7-C7</f>
        <v>0</v>
      </c>
    </row>
    <row r="8" customFormat="false" ht="15" hidden="false" customHeight="true" outlineLevel="0" collapsed="false">
      <c r="A8" s="1" t="s">
        <v>109</v>
      </c>
      <c r="B8" s="15" t="n">
        <f aca="false">Inputs!$B$16</f>
        <v>6</v>
      </c>
      <c r="C8" s="15" t="n">
        <f aca="false">Inputs!$B$24</f>
        <v>6</v>
      </c>
      <c r="D8" s="15" t="n">
        <f aca="false">B8-C8</f>
        <v>0</v>
      </c>
    </row>
    <row r="9" customFormat="false" ht="15" hidden="false" customHeight="true" outlineLevel="0" collapsed="false">
      <c r="A9" s="1" t="s">
        <v>110</v>
      </c>
      <c r="B9" s="15" t="n">
        <f aca="false">Inputs!$B$17</f>
        <v>30</v>
      </c>
      <c r="C9" s="15" t="n">
        <f aca="false">Inputs!$B$25</f>
        <v>0</v>
      </c>
      <c r="D9" s="15" t="n">
        <f aca="false">B9-C9</f>
        <v>30</v>
      </c>
    </row>
    <row r="10" customFormat="false" ht="15" hidden="false" customHeight="true" outlineLevel="0" collapsed="false">
      <c r="A10" s="1" t="s">
        <v>111</v>
      </c>
      <c r="B10" s="15" t="n">
        <f aca="false">Inputs!$B$18</f>
        <v>0</v>
      </c>
      <c r="C10" s="15" t="n">
        <f aca="false">Inputs!$B$26</f>
        <v>9</v>
      </c>
      <c r="D10" s="15" t="n">
        <f aca="false">B10-C10</f>
        <v>-9</v>
      </c>
    </row>
    <row r="11" customFormat="false" ht="15" hidden="false" customHeight="true" outlineLevel="0" collapsed="false">
      <c r="A11" s="1" t="s">
        <v>112</v>
      </c>
      <c r="B11" s="15" t="n">
        <v>0</v>
      </c>
      <c r="C11" s="15" t="n">
        <f aca="false">Inputs!$B$27-Inputs!$B$28</f>
        <v>0</v>
      </c>
      <c r="D11" s="15" t="n">
        <f aca="false">B11-C11</f>
        <v>0</v>
      </c>
    </row>
    <row r="12" customFormat="false" ht="15" hidden="false" customHeight="true" outlineLevel="0" collapsed="false">
      <c r="A12" s="1" t="s">
        <v>113</v>
      </c>
      <c r="B12" s="15" t="n">
        <v>0</v>
      </c>
      <c r="C12" s="15" t="n">
        <f aca="false">Inputs!$B$29</f>
        <v>-41</v>
      </c>
      <c r="D12" s="15" t="n">
        <f aca="false">B12-C12</f>
        <v>41</v>
      </c>
    </row>
    <row r="13" customFormat="false" ht="15" hidden="false" customHeight="true" outlineLevel="0" collapsed="false">
      <c r="A13" s="16" t="s">
        <v>114</v>
      </c>
      <c r="B13" s="17" t="n">
        <f aca="false">SUM(B4:B12)</f>
        <v>514</v>
      </c>
      <c r="C13" s="17" t="n">
        <f aca="false">SUM(C4:C12)</f>
        <v>442</v>
      </c>
      <c r="D13" s="17" t="n">
        <f aca="false">B13-C13</f>
        <v>72</v>
      </c>
    </row>
    <row r="14" customFormat="false" ht="15" hidden="false" customHeight="true" outlineLevel="0" collapsed="false">
      <c r="A14" s="1" t="s">
        <v>115</v>
      </c>
      <c r="B14" s="15" t="n">
        <f aca="false">-Inputs!$B$30</f>
        <v>-110</v>
      </c>
      <c r="C14" s="15" t="n">
        <f aca="false">-Inputs!$B$30</f>
        <v>-110</v>
      </c>
      <c r="D14" s="15"/>
    </row>
    <row r="15" customFormat="false" ht="15" hidden="false" customHeight="true" outlineLevel="0" collapsed="false">
      <c r="A15" s="16" t="s">
        <v>116</v>
      </c>
      <c r="B15" s="15" t="n">
        <f aca="false">B13+B14</f>
        <v>404</v>
      </c>
      <c r="C15" s="17" t="n">
        <f aca="false">C13+C14</f>
        <v>332</v>
      </c>
      <c r="D15" s="15"/>
    </row>
    <row r="17" customFormat="false" ht="15" hidden="false" customHeight="true" outlineLevel="0" collapsed="false">
      <c r="A17" s="1" t="s">
        <v>117</v>
      </c>
      <c r="C17" s="15" t="n">
        <f aca="false">Inputs!$B$33*B13</f>
        <v>1850</v>
      </c>
    </row>
    <row r="18" customFormat="false" ht="15" hidden="false" customHeight="true" outlineLevel="0" collapsed="false">
      <c r="A18" s="1" t="s">
        <v>118</v>
      </c>
      <c r="C18" s="18" t="n">
        <f aca="false">C17/C15</f>
        <v>5.57228915662651</v>
      </c>
    </row>
    <row r="19" customFormat="false" ht="15" hidden="false" customHeight="true" outlineLevel="0" collapsed="false">
      <c r="A19" s="1" t="s">
        <v>119</v>
      </c>
      <c r="C19" s="18" t="n">
        <f aca="false">Inputs!$B$34/B13</f>
        <v>3.09338521400778</v>
      </c>
    </row>
    <row r="20" customFormat="false" ht="15" hidden="false" customHeight="true" outlineLevel="0" collapsed="false">
      <c r="A20" s="1" t="s">
        <v>120</v>
      </c>
      <c r="C20" s="18" t="n">
        <f aca="false">Inputs!$B$34/C13</f>
        <v>3.5972850678733</v>
      </c>
    </row>
    <row r="21" customFormat="false" ht="15" hidden="false" customHeight="true" outlineLevel="0" collapsed="false">
      <c r="A21" s="1" t="s">
        <v>121</v>
      </c>
      <c r="C21" s="18" t="n">
        <f aca="false">Inputs!$B$34/C15</f>
        <v>4.78915662650602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" t="s">
        <v>122</v>
      </c>
    </row>
    <row r="2" customFormat="false" ht="15" hidden="false" customHeight="true" outlineLevel="0" collapsed="false">
      <c r="A2" s="1" t="s">
        <v>123</v>
      </c>
    </row>
    <row r="4" customFormat="false" ht="15" hidden="false" customHeight="true" outlineLevel="0" collapsed="false">
      <c r="A4" s="3" t="s">
        <v>43</v>
      </c>
      <c r="B4" s="15" t="n">
        <f aca="false">Inputs!$B$34</f>
        <v>1590</v>
      </c>
    </row>
    <row r="5" customFormat="false" ht="15" hidden="false" customHeight="true" outlineLevel="0" collapsed="false">
      <c r="A5" s="3" t="s">
        <v>124</v>
      </c>
      <c r="B5" s="15" t="n">
        <f aca="false">Inputs!$B$39</f>
        <v>100</v>
      </c>
    </row>
    <row r="6" customFormat="false" ht="15" hidden="false" customHeight="true" outlineLevel="0" collapsed="false">
      <c r="A6" s="3" t="s">
        <v>125</v>
      </c>
      <c r="B6" s="15" t="n">
        <f aca="false">Inputs!$B$40</f>
        <v>70</v>
      </c>
    </row>
    <row r="7" customFormat="false" ht="15" hidden="false" customHeight="true" outlineLevel="0" collapsed="false">
      <c r="A7" s="3" t="s">
        <v>126</v>
      </c>
      <c r="B7" s="15" t="n">
        <f aca="false">Inputs!$B$42</f>
        <v>0</v>
      </c>
    </row>
    <row r="8" customFormat="false" ht="15" hidden="false" customHeight="true" outlineLevel="0" collapsed="false">
      <c r="A8" s="3" t="s">
        <v>127</v>
      </c>
      <c r="B8" s="15" t="n">
        <f aca="false">SUM(B4:B7)</f>
        <v>1760</v>
      </c>
    </row>
    <row r="9" customFormat="false" ht="15" hidden="false" customHeight="true" outlineLevel="0" collapsed="false">
      <c r="A9" s="3" t="s">
        <v>128</v>
      </c>
      <c r="B9" s="15" t="n">
        <f aca="false">Inputs!$B$46*Inputs!$B$34</f>
        <v>159</v>
      </c>
    </row>
    <row r="10" customFormat="false" ht="15" hidden="false" customHeight="true" outlineLevel="0" collapsed="false">
      <c r="A10" s="3" t="s">
        <v>129</v>
      </c>
      <c r="B10" s="15" t="n">
        <f aca="false">IF(ISBLANK(Inputs!$B$35),Inputs!$B$34,Inputs!$B$35)</f>
        <v>1590</v>
      </c>
    </row>
    <row r="11" customFormat="false" ht="15" hidden="false" customHeight="true" outlineLevel="0" collapsed="false">
      <c r="A11" s="3" t="s">
        <v>130</v>
      </c>
      <c r="B11" s="15" t="n">
        <f aca="false">((1-Inputs!$B$43)*B8-B9)/(1-(1-Inputs!$B$43)*Inputs!$B$55*0.85)</f>
        <v>1447.14126129786</v>
      </c>
    </row>
    <row r="12" customFormat="false" ht="15" hidden="false" customHeight="true" outlineLevel="0" collapsed="false">
      <c r="A12" s="3" t="s">
        <v>131</v>
      </c>
      <c r="B12" s="15" t="n">
        <f aca="false">((1-Inputs!$B$43)*B8-B9)/(1-(1-Inputs!$B$43)*Inputs!$B$56*0.75)</f>
        <v>1454.45266649656</v>
      </c>
    </row>
    <row r="13" customFormat="false" ht="15" hidden="false" customHeight="true" outlineLevel="0" collapsed="false">
      <c r="A13" s="3" t="s">
        <v>132</v>
      </c>
      <c r="B13" s="15" t="n">
        <f aca="false">((1-Inputs!$B$43)*B8-B9)/(1-(1-Inputs!$B$43)*Inputs!$B$57*0.75)</f>
        <v>1459.48022020228</v>
      </c>
    </row>
    <row r="14" customFormat="false" ht="15" hidden="false" customHeight="true" outlineLevel="0" collapsed="false">
      <c r="A14" s="3" t="s">
        <v>133</v>
      </c>
      <c r="B14" s="15" t="n">
        <f aca="false">((1-Inputs!$B$43)*B8-B9+(1-Inputs!$B$43)*(Inputs!$B$57-Inputs!$B$58)*Inputs!$B$59)/(1-(1-Inputs!$B$43)*Inputs!$B$58*0.75)</f>
        <v>1459.698621353</v>
      </c>
    </row>
    <row r="15" customFormat="false" ht="15" hidden="false" customHeight="true" outlineLevel="0" collapsed="false">
      <c r="A15" s="3" t="s">
        <v>134</v>
      </c>
      <c r="B15" s="15" t="n">
        <f aca="false">IF(B11&lt;=150,B11,IF(B12&lt;=700,B12,IF(0.75*B13&lt;=Inputs!$B$59,B13,B14)))</f>
        <v>1459.698621353</v>
      </c>
    </row>
    <row r="16" customFormat="false" ht="15" hidden="false" customHeight="true" outlineLevel="0" collapsed="false">
      <c r="A16" s="16" t="s">
        <v>135</v>
      </c>
      <c r="B16" s="15" t="n">
        <f aca="false">MIN(B15,IF(Inputs!$B$41=1,B10-B9,B43))</f>
        <v>1431</v>
      </c>
    </row>
    <row r="17" customFormat="false" ht="15" hidden="false" customHeight="true" outlineLevel="0" collapsed="false">
      <c r="A17" s="3" t="s">
        <v>136</v>
      </c>
      <c r="B17" s="15" t="n">
        <f aca="false">IF(B16&lt;=150,0.85,0.75)*B16</f>
        <v>1073.25</v>
      </c>
    </row>
    <row r="18" customFormat="false" ht="15" hidden="false" customHeight="true" outlineLevel="0" collapsed="false">
      <c r="A18" s="3" t="s">
        <v>137</v>
      </c>
      <c r="B18" s="15" t="n">
        <f aca="false">IF(B16&lt;=150,Inputs!$B$55*B17,IF(B16&lt;=700,Inputs!$B$56*B17,Inputs!$B$57*MIN(B17,Inputs!$B$59)+Inputs!$B$58*MAX(B17-Inputs!$B$59,0)))</f>
        <v>37.746875</v>
      </c>
    </row>
    <row r="19" customFormat="false" ht="15" hidden="false" customHeight="true" outlineLevel="0" collapsed="false">
      <c r="A19" s="16" t="s">
        <v>138</v>
      </c>
      <c r="B19" s="15" t="n">
        <f aca="false">B8+B18</f>
        <v>1797.746875</v>
      </c>
    </row>
    <row r="20" customFormat="false" ht="15" hidden="false" customHeight="true" outlineLevel="0" collapsed="false">
      <c r="A20" s="3" t="s">
        <v>139</v>
      </c>
      <c r="B20" s="15" t="n">
        <f aca="false">Inputs!$B$44*B19</f>
        <v>89.88734375</v>
      </c>
    </row>
    <row r="21" customFormat="false" ht="15" hidden="false" customHeight="true" outlineLevel="0" collapsed="false">
      <c r="A21" s="16" t="s">
        <v>140</v>
      </c>
      <c r="B21" s="15" t="n">
        <f aca="false">B19-B16-B9-B20</f>
        <v>117.85953125</v>
      </c>
    </row>
    <row r="22" customFormat="false" ht="15" hidden="false" customHeight="true" outlineLevel="0" collapsed="false">
      <c r="A22" s="3" t="s">
        <v>141</v>
      </c>
      <c r="B22" s="15" t="n">
        <f aca="false">Inputs!$B$43*B19-B20</f>
        <v>89.88734375</v>
      </c>
    </row>
    <row r="23" customFormat="false" ht="15" hidden="false" customHeight="true" outlineLevel="0" collapsed="false">
      <c r="A23" s="3" t="s">
        <v>142</v>
      </c>
      <c r="B23" s="15" t="n">
        <f aca="false">B21-B22</f>
        <v>27.9721875</v>
      </c>
    </row>
    <row r="24" customFormat="false" ht="15" hidden="false" customHeight="true" outlineLevel="0" collapsed="false">
      <c r="A24" s="3" t="s">
        <v>143</v>
      </c>
      <c r="B24" s="15" t="n">
        <f aca="false">ROUND(B16+B9+B20+B21-B19,6)</f>
        <v>0</v>
      </c>
    </row>
    <row r="25" customFormat="false" ht="15" hidden="false" customHeight="true" outlineLevel="0" collapsed="false">
      <c r="A25" s="3" t="s">
        <v>144</v>
      </c>
      <c r="B25" s="15" t="str">
        <f aca="false">IF(B16+B9&lt;=B10+IF(Inputs!$B$41=1,0,B8-B4+B18)+0.000001,"OK","BREACH")</f>
        <v>OK</v>
      </c>
    </row>
    <row r="26" customFormat="false" ht="15" hidden="false" customHeight="true" outlineLevel="0" collapsed="false">
      <c r="A26" s="3" t="s">
        <v>145</v>
      </c>
      <c r="B26" s="15" t="n">
        <f aca="false">Inputs!$B$34-B9-B20</f>
        <v>1341.11265625</v>
      </c>
    </row>
    <row r="27" customFormat="false" ht="15" hidden="false" customHeight="true" outlineLevel="0" collapsed="false">
      <c r="A27" s="3" t="s">
        <v>146</v>
      </c>
      <c r="B27" s="19" t="n">
        <f aca="false">Inputs!$B$51+Inputs!$B$52</f>
        <v>0.1</v>
      </c>
    </row>
    <row r="28" customFormat="false" ht="15" hidden="false" customHeight="true" outlineLevel="0" collapsed="false">
      <c r="A28" s="3" t="s">
        <v>147</v>
      </c>
      <c r="B28" s="15" t="n">
        <f aca="false">-PMT(B27/12,Inputs!$B$53*12,B16)*12</f>
        <v>226.929245373361</v>
      </c>
    </row>
    <row r="29" customFormat="false" ht="15" hidden="false" customHeight="true" outlineLevel="0" collapsed="false">
      <c r="A29" s="3" t="s">
        <v>148</v>
      </c>
      <c r="B29" s="15" t="n">
        <f aca="false">-PMT(Inputs!$B$47/12,Inputs!$B$48*12,B9)*12</f>
        <v>37.7806868149869</v>
      </c>
    </row>
    <row r="30" customFormat="false" ht="15" hidden="false" customHeight="true" outlineLevel="0" collapsed="false">
      <c r="A30" s="3" t="s">
        <v>149</v>
      </c>
      <c r="B30" s="15" t="n">
        <f aca="false">B28+B29</f>
        <v>264.709932188348</v>
      </c>
    </row>
    <row r="31" customFormat="false" ht="15" hidden="false" customHeight="true" outlineLevel="0" collapsed="false">
      <c r="A31" s="16" t="s">
        <v>150</v>
      </c>
      <c r="B31" s="18" t="n">
        <f aca="false">SDE_Bridge!$C$15/B30</f>
        <v>1.25420303369567</v>
      </c>
    </row>
    <row r="32" customFormat="false" ht="15" hidden="false" customHeight="true" outlineLevel="0" collapsed="false">
      <c r="A32" s="3" t="s">
        <v>151</v>
      </c>
      <c r="B32" s="18" t="n">
        <f aca="false">Inputs!$B$54</f>
        <v>1.25</v>
      </c>
    </row>
    <row r="33" customFormat="false" ht="15" hidden="false" customHeight="true" outlineLevel="0" collapsed="false">
      <c r="A33" s="3" t="s">
        <v>152</v>
      </c>
      <c r="B33" s="15" t="str">
        <f aca="false">IF(B31&gt;=B32,"PASSES","FAILS")</f>
        <v>PASSES</v>
      </c>
    </row>
    <row r="34" customFormat="false" ht="15" hidden="false" customHeight="true" outlineLevel="0" collapsed="false">
      <c r="A34" s="3" t="s">
        <v>153</v>
      </c>
      <c r="B34" s="15" t="n">
        <f aca="false">Inputs!$B$36+Inputs!$B$37+Inputs!$B$38</f>
        <v>200</v>
      </c>
    </row>
    <row r="35" customFormat="false" ht="15" hidden="false" customHeight="true" outlineLevel="0" collapsed="false">
      <c r="A35" s="3" t="s">
        <v>154</v>
      </c>
      <c r="B35" s="15" t="n">
        <f aca="false">Inputs!$B$34-Inputs!$B$66-B34</f>
        <v>1300</v>
      </c>
    </row>
    <row r="37" customFormat="false" ht="15" hidden="false" customHeight="false" outlineLevel="0" collapsed="false">
      <c r="A37" s="4" t="s">
        <v>155</v>
      </c>
    </row>
    <row r="38" customFormat="false" ht="15" hidden="false" customHeight="false" outlineLevel="0" collapsed="false">
      <c r="A38" s="20" t="s">
        <v>156</v>
      </c>
      <c r="B38" s="21" t="n">
        <f aca="false">B10+B8-B4-B9</f>
        <v>1601</v>
      </c>
    </row>
    <row r="39" customFormat="false" ht="15" hidden="false" customHeight="false" outlineLevel="0" collapsed="false">
      <c r="A39" s="20" t="s">
        <v>157</v>
      </c>
      <c r="B39" s="21" t="n">
        <f aca="false">B38/(1-Inputs!$B$55*0.85)</f>
        <v>1628.68769074262</v>
      </c>
    </row>
    <row r="40" customFormat="false" ht="15" hidden="false" customHeight="false" outlineLevel="0" collapsed="false">
      <c r="A40" s="20" t="s">
        <v>158</v>
      </c>
      <c r="B40" s="21" t="n">
        <f aca="false">B38/(1-Inputs!$B$56*0.75)</f>
        <v>1637.85166240409</v>
      </c>
    </row>
    <row r="41" customFormat="false" ht="15" hidden="false" customHeight="false" outlineLevel="0" collapsed="false">
      <c r="A41" s="20" t="s">
        <v>159</v>
      </c>
      <c r="B41" s="21" t="n">
        <f aca="false">B38/(1-Inputs!$B$57*0.75)</f>
        <v>1644.15917843389</v>
      </c>
    </row>
    <row r="42" customFormat="false" ht="15" hidden="false" customHeight="false" outlineLevel="0" collapsed="false">
      <c r="A42" s="20" t="s">
        <v>160</v>
      </c>
      <c r="B42" s="21" t="n">
        <f aca="false">(B38-(Inputs!$B$58-Inputs!$B$57)*Inputs!$B$59)/(1-Inputs!$B$58*0.75)</f>
        <v>1644.75884244373</v>
      </c>
    </row>
    <row r="43" customFormat="false" ht="15" hidden="false" customHeight="false" outlineLevel="0" collapsed="false">
      <c r="A43" s="20" t="s">
        <v>161</v>
      </c>
      <c r="B43" s="21" t="n">
        <f aca="false">IF(B39&lt;=150,B39,IF(B40&lt;=700,B40,IF(0.75*B41&lt;=Inputs!$B$59,B41,B42)))</f>
        <v>1644.75884244373</v>
      </c>
    </row>
    <row r="44" customFormat="false" ht="15" hidden="false" customHeight="false" outlineLevel="0" collapsed="false">
      <c r="A44" s="22" t="s">
        <v>162</v>
      </c>
    </row>
    <row r="46" customFormat="false" ht="15" hidden="false" customHeight="false" outlineLevel="0" collapsed="false">
      <c r="A46" s="4" t="s">
        <v>163</v>
      </c>
    </row>
    <row r="47" customFormat="false" ht="15" hidden="false" customHeight="false" outlineLevel="0" collapsed="false">
      <c r="A47" s="20" t="s">
        <v>164</v>
      </c>
      <c r="B47" s="21" t="n">
        <f aca="false">SDE_Bridge!$C$15/(Inputs!$B$54*((-PMT((Inputs!$B$51+Inputs!$B$52)/12,Inputs!$B$53*12,1)*12)*(1-Inputs!$B$46)+(-PMT(Inputs!$B$47/12,Inputs!$B$48*12,1)*12)*Inputs!$B$46))</f>
        <v>1595.34625886089</v>
      </c>
    </row>
    <row r="48" customFormat="false" ht="15" hidden="false" customHeight="false" outlineLevel="0" collapsed="false">
      <c r="A48" s="20" t="s">
        <v>165</v>
      </c>
      <c r="B48" s="21" t="n">
        <f aca="false">(SDE_Bridge!$C$15/Inputs!$B$54-(-PMT((Inputs!$B$51+Inputs!$B$52)/12,Inputs!$B$53*12,1)*12)*((1-Inputs!$B$43)*(B8-B4)+(1-Inputs!$B$43)*(Inputs!$B$57-Inputs!$B$58)*Inputs!$B$59)/(1-(1-Inputs!$B$43)*Inputs!$B$58*0.75))/((-PMT((Inputs!$B$51+Inputs!$B$52)/12,Inputs!$B$53*12,1)*12)*((1-Inputs!$B$43)-Inputs!$B$46)/(1-(1-Inputs!$B$43)*Inputs!$B$58*0.75)+(-PMT(Inputs!$B$47/12,Inputs!$B$48*12,1)*12)*Inputs!$B$46)</f>
        <v>1566.21513902148</v>
      </c>
    </row>
    <row r="49" customFormat="false" ht="15" hidden="false" customHeight="false" outlineLevel="0" collapsed="false">
      <c r="A49" s="20" t="s">
        <v>166</v>
      </c>
      <c r="B49" s="21" t="n">
        <f aca="false">MAX(B47,B48)</f>
        <v>1595.34625886089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11" min="2" style="1" width="11"/>
  </cols>
  <sheetData>
    <row r="1" customFormat="false" ht="17.25" hidden="false" customHeight="true" outlineLevel="0" collapsed="false">
      <c r="A1" s="2" t="s">
        <v>167</v>
      </c>
    </row>
    <row r="3" customFormat="false" ht="15" hidden="false" customHeight="true" outlineLevel="0" collapsed="false">
      <c r="A3" s="16" t="s">
        <v>168</v>
      </c>
      <c r="B3" s="16" t="n">
        <v>1</v>
      </c>
      <c r="C3" s="16" t="n">
        <v>2</v>
      </c>
      <c r="D3" s="16" t="n">
        <v>3</v>
      </c>
      <c r="E3" s="16" t="n">
        <v>4</v>
      </c>
      <c r="F3" s="16" t="n">
        <v>5</v>
      </c>
      <c r="G3" s="16" t="n">
        <v>6</v>
      </c>
      <c r="H3" s="16" t="n">
        <v>7</v>
      </c>
      <c r="I3" s="16" t="n">
        <v>8</v>
      </c>
      <c r="J3" s="16" t="n">
        <v>9</v>
      </c>
      <c r="K3" s="16" t="n">
        <v>10</v>
      </c>
    </row>
    <row r="4" customFormat="false" ht="15" hidden="false" customHeight="true" outlineLevel="0" collapsed="false">
      <c r="A4" s="3" t="s">
        <v>169</v>
      </c>
      <c r="B4" s="23" t="n">
        <f aca="false">(1+Inputs!$B$62)^(B$3-1)</f>
        <v>1</v>
      </c>
      <c r="C4" s="23" t="n">
        <f aca="false">(1+Inputs!$B$62)^(C$3-1)</f>
        <v>1.03</v>
      </c>
      <c r="D4" s="23" t="n">
        <f aca="false">(1+Inputs!$B$62)^(D$3-1)</f>
        <v>1.0609</v>
      </c>
      <c r="E4" s="23" t="n">
        <f aca="false">(1+Inputs!$B$62)^(E$3-1)</f>
        <v>1.092727</v>
      </c>
      <c r="F4" s="23" t="n">
        <f aca="false">(1+Inputs!$B$62)^(F$3-1)</f>
        <v>1.12550881</v>
      </c>
      <c r="G4" s="23" t="n">
        <f aca="false">(1+Inputs!$B$62)^(G$3-1)</f>
        <v>1.1592740743</v>
      </c>
      <c r="H4" s="23" t="n">
        <f aca="false">(1+Inputs!$B$62)^(H$3-1)</f>
        <v>1.194052296529</v>
      </c>
      <c r="I4" s="23" t="n">
        <f aca="false">(1+Inputs!$B$62)^(I$3-1)</f>
        <v>1.22987386542487</v>
      </c>
      <c r="J4" s="23" t="n">
        <f aca="false">(1+Inputs!$B$62)^(J$3-1)</f>
        <v>1.26677008138762</v>
      </c>
      <c r="K4" s="23" t="n">
        <f aca="false">(1+Inputs!$B$62)^(K$3-1)</f>
        <v>1.30477318382925</v>
      </c>
    </row>
    <row r="5" customFormat="false" ht="15" hidden="false" customHeight="true" outlineLevel="0" collapsed="false">
      <c r="A5" s="3" t="s">
        <v>170</v>
      </c>
      <c r="B5" s="15" t="n">
        <f aca="false">Inputs!$B$9*B4*(1-IF(B$3&gt;=Inputs!$B$83,Inputs!$B$84,0))</f>
        <v>3400</v>
      </c>
      <c r="C5" s="15" t="n">
        <f aca="false">Inputs!$B$9*C4*(1-IF(C$3&gt;=Inputs!$B$83,Inputs!$B$84,0))</f>
        <v>3502</v>
      </c>
      <c r="D5" s="15" t="n">
        <f aca="false">Inputs!$B$9*D4*(1-IF(D$3&gt;=Inputs!$B$83,Inputs!$B$84,0))</f>
        <v>3607.06</v>
      </c>
      <c r="E5" s="15" t="n">
        <f aca="false">Inputs!$B$9*E4*(1-IF(E$3&gt;=Inputs!$B$83,Inputs!$B$84,0))</f>
        <v>3715.2718</v>
      </c>
      <c r="F5" s="15" t="n">
        <f aca="false">Inputs!$B$9*F4*(1-IF(F$3&gt;=Inputs!$B$83,Inputs!$B$84,0))</f>
        <v>3826.729954</v>
      </c>
      <c r="G5" s="15" t="n">
        <f aca="false">Inputs!$B$9*G4*(1-IF(G$3&gt;=Inputs!$B$83,Inputs!$B$84,0))</f>
        <v>3941.53185262</v>
      </c>
      <c r="H5" s="15" t="n">
        <f aca="false">Inputs!$B$9*H4*(1-IF(H$3&gt;=Inputs!$B$83,Inputs!$B$84,0))</f>
        <v>4059.7778081986</v>
      </c>
      <c r="I5" s="15" t="n">
        <f aca="false">Inputs!$B$9*I4*(1-IF(I$3&gt;=Inputs!$B$83,Inputs!$B$84,0))</f>
        <v>4181.57114244456</v>
      </c>
      <c r="J5" s="15" t="n">
        <f aca="false">Inputs!$B$9*J4*(1-IF(J$3&gt;=Inputs!$B$83,Inputs!$B$84,0))</f>
        <v>4307.0182767179</v>
      </c>
      <c r="K5" s="15" t="n">
        <f aca="false">Inputs!$B$9*K4*(1-IF(K$3&gt;=Inputs!$B$83,Inputs!$B$84,0))</f>
        <v>4436.22882501943</v>
      </c>
    </row>
    <row r="6" customFormat="false" ht="15" hidden="false" customHeight="true" outlineLevel="0" collapsed="false">
      <c r="A6" s="3" t="s">
        <v>171</v>
      </c>
      <c r="B6" s="15" t="n">
        <f aca="false">SDE_Bridge!$C$15*B4-Inputs!$B$9*IF(B$3&gt;=Inputs!$B$83,Inputs!$B$84,0)*Inputs!$B$85*B4</f>
        <v>332</v>
      </c>
      <c r="C6" s="15" t="n">
        <f aca="false">SDE_Bridge!$C$15*C4-Inputs!$B$9*IF(C$3&gt;=Inputs!$B$83,Inputs!$B$84,0)*Inputs!$B$85*C4</f>
        <v>341.96</v>
      </c>
      <c r="D6" s="15" t="n">
        <f aca="false">SDE_Bridge!$C$15*D4-Inputs!$B$9*IF(D$3&gt;=Inputs!$B$83,Inputs!$B$84,0)*Inputs!$B$85*D4</f>
        <v>352.2188</v>
      </c>
      <c r="E6" s="15" t="n">
        <f aca="false">SDE_Bridge!$C$15*E4-Inputs!$B$9*IF(E$3&gt;=Inputs!$B$83,Inputs!$B$84,0)*Inputs!$B$85*E4</f>
        <v>362.785364</v>
      </c>
      <c r="F6" s="15" t="n">
        <f aca="false">SDE_Bridge!$C$15*F4-Inputs!$B$9*IF(F$3&gt;=Inputs!$B$83,Inputs!$B$84,0)*Inputs!$B$85*F4</f>
        <v>373.66892492</v>
      </c>
      <c r="G6" s="15" t="n">
        <f aca="false">SDE_Bridge!$C$15*G4-Inputs!$B$9*IF(G$3&gt;=Inputs!$B$83,Inputs!$B$84,0)*Inputs!$B$85*G4</f>
        <v>384.8789926676</v>
      </c>
      <c r="H6" s="15" t="n">
        <f aca="false">SDE_Bridge!$C$15*H4-Inputs!$B$9*IF(H$3&gt;=Inputs!$B$83,Inputs!$B$84,0)*Inputs!$B$85*H4</f>
        <v>396.425362447628</v>
      </c>
      <c r="I6" s="15" t="n">
        <f aca="false">SDE_Bridge!$C$15*I4-Inputs!$B$9*IF(I$3&gt;=Inputs!$B$83,Inputs!$B$84,0)*Inputs!$B$85*I4</f>
        <v>408.318123321057</v>
      </c>
      <c r="J6" s="15" t="n">
        <f aca="false">SDE_Bridge!$C$15*J4-Inputs!$B$9*IF(J$3&gt;=Inputs!$B$83,Inputs!$B$84,0)*Inputs!$B$85*J4</f>
        <v>420.567667020689</v>
      </c>
      <c r="K6" s="15" t="n">
        <f aca="false">SDE_Bridge!$C$15*K4-Inputs!$B$9*IF(K$3&gt;=Inputs!$B$83,Inputs!$B$84,0)*Inputs!$B$85*K4</f>
        <v>433.184697031309</v>
      </c>
    </row>
    <row r="7" customFormat="false" ht="15" hidden="false" customHeight="true" outlineLevel="0" collapsed="false">
      <c r="A7" s="3" t="s">
        <v>172</v>
      </c>
      <c r="B7" s="15" t="n">
        <f aca="false">Inputs!$B$63*B4+IF(B$3=1,Inputs!$B$64,0)+IF(B$3=2,Inputs!$B$65,0)</f>
        <v>25</v>
      </c>
      <c r="C7" s="15" t="n">
        <f aca="false">Inputs!$B$63*C4+IF(C$3=1,Inputs!$B$64,0)+IF(C$3=2,Inputs!$B$65,0)</f>
        <v>25.75</v>
      </c>
      <c r="D7" s="15" t="n">
        <f aca="false">Inputs!$B$63*D4+IF(D$3=1,Inputs!$B$64,0)+IF(D$3=2,Inputs!$B$65,0)</f>
        <v>26.5225</v>
      </c>
      <c r="E7" s="15" t="n">
        <f aca="false">Inputs!$B$63*E4+IF(E$3=1,Inputs!$B$64,0)+IF(E$3=2,Inputs!$B$65,0)</f>
        <v>27.318175</v>
      </c>
      <c r="F7" s="15" t="n">
        <f aca="false">Inputs!$B$63*F4+IF(F$3=1,Inputs!$B$64,0)+IF(F$3=2,Inputs!$B$65,0)</f>
        <v>28.13772025</v>
      </c>
      <c r="G7" s="15" t="n">
        <f aca="false">Inputs!$B$63*G4+IF(G$3=1,Inputs!$B$64,0)+IF(G$3=2,Inputs!$B$65,0)</f>
        <v>28.9818518575</v>
      </c>
      <c r="H7" s="15" t="n">
        <f aca="false">Inputs!$B$63*H4+IF(H$3=1,Inputs!$B$64,0)+IF(H$3=2,Inputs!$B$65,0)</f>
        <v>29.851307413225</v>
      </c>
      <c r="I7" s="15" t="n">
        <f aca="false">Inputs!$B$63*I4+IF(I$3=1,Inputs!$B$64,0)+IF(I$3=2,Inputs!$B$65,0)</f>
        <v>30.7468466356218</v>
      </c>
      <c r="J7" s="15" t="n">
        <f aca="false">Inputs!$B$63*J4+IF(J$3=1,Inputs!$B$64,0)+IF(J$3=2,Inputs!$B$65,0)</f>
        <v>31.6692520346904</v>
      </c>
      <c r="K7" s="15" t="n">
        <f aca="false">Inputs!$B$63*K4+IF(K$3=1,Inputs!$B$64,0)+IF(K$3=2,Inputs!$B$65,0)</f>
        <v>32.6193295957311</v>
      </c>
    </row>
    <row r="8" customFormat="false" ht="15" hidden="false" customHeight="true" outlineLevel="0" collapsed="false">
      <c r="A8" s="3" t="s">
        <v>173</v>
      </c>
      <c r="B8" s="15" t="n">
        <f aca="false">B7-IF(B$3=1,Inputs!$B$42,0)</f>
        <v>25</v>
      </c>
      <c r="C8" s="15" t="n">
        <f aca="false">C7-IF(C$3=1,Inputs!$B$42,0)</f>
        <v>25.75</v>
      </c>
      <c r="D8" s="15" t="n">
        <f aca="false">D7-IF(D$3=1,Inputs!$B$42,0)</f>
        <v>26.5225</v>
      </c>
      <c r="E8" s="15" t="n">
        <f aca="false">E7-IF(E$3=1,Inputs!$B$42,0)</f>
        <v>27.318175</v>
      </c>
      <c r="F8" s="15" t="n">
        <f aca="false">F7-IF(F$3=1,Inputs!$B$42,0)</f>
        <v>28.13772025</v>
      </c>
      <c r="G8" s="15" t="n">
        <f aca="false">G7-IF(G$3=1,Inputs!$B$42,0)</f>
        <v>28.9818518575</v>
      </c>
      <c r="H8" s="15" t="n">
        <f aca="false">H7-IF(H$3=1,Inputs!$B$42,0)</f>
        <v>29.851307413225</v>
      </c>
      <c r="I8" s="15" t="n">
        <f aca="false">I7-IF(I$3=1,Inputs!$B$42,0)</f>
        <v>30.7468466356218</v>
      </c>
      <c r="J8" s="15" t="n">
        <f aca="false">J7-IF(J$3=1,Inputs!$B$42,0)</f>
        <v>31.6692520346904</v>
      </c>
      <c r="K8" s="15" t="n">
        <f aca="false">K7-IF(K$3=1,Inputs!$B$42,0)</f>
        <v>32.6193295957311</v>
      </c>
    </row>
    <row r="9" customFormat="false" ht="15" hidden="false" customHeight="true" outlineLevel="0" collapsed="false">
      <c r="A9" s="3" t="s">
        <v>174</v>
      </c>
      <c r="B9" s="15" t="n">
        <f aca="false">(Sources_Uses!$B$34/Inputs!$B$9)*(B5-Inputs!$B$9)</f>
        <v>0</v>
      </c>
      <c r="C9" s="15" t="n">
        <f aca="false">(Sources_Uses!$B$34/Inputs!$B$9)*(C5-B5)</f>
        <v>6</v>
      </c>
      <c r="D9" s="15" t="n">
        <f aca="false">(Sources_Uses!$B$34/Inputs!$B$9)*(D5-C5)</f>
        <v>6.18</v>
      </c>
      <c r="E9" s="15" t="n">
        <f aca="false">(Sources_Uses!$B$34/Inputs!$B$9)*(E5-D5)</f>
        <v>6.3654</v>
      </c>
      <c r="F9" s="15" t="n">
        <f aca="false">(Sources_Uses!$B$34/Inputs!$B$9)*(F5-E5)</f>
        <v>6.55636200000002</v>
      </c>
      <c r="G9" s="15" t="n">
        <f aca="false">(Sources_Uses!$B$34/Inputs!$B$9)*(G5-F5)</f>
        <v>6.75305286</v>
      </c>
      <c r="H9" s="15" t="n">
        <f aca="false">(Sources_Uses!$B$34/Inputs!$B$9)*(H5-G5)</f>
        <v>6.9556444458</v>
      </c>
      <c r="I9" s="15" t="n">
        <f aca="false">(Sources_Uses!$B$34/Inputs!$B$9)*(I5-H5)</f>
        <v>7.16431377917404</v>
      </c>
      <c r="J9" s="15" t="n">
        <f aca="false">(Sources_Uses!$B$34/Inputs!$B$9)*(J5-I5)</f>
        <v>7.37924319254922</v>
      </c>
      <c r="K9" s="15" t="n">
        <f aca="false">(Sources_Uses!$B$34/Inputs!$B$9)*(K5-J5)</f>
        <v>7.60062048832568</v>
      </c>
    </row>
    <row r="10" customFormat="false" ht="15" hidden="false" customHeight="true" outlineLevel="0" collapsed="false">
      <c r="A10" s="3" t="s">
        <v>175</v>
      </c>
      <c r="B10" s="15" t="n">
        <f aca="false">IF(Inputs!$B$67=1,B7+IF(B$3=1,Inputs!$B$66,0),IF(B$3&lt;=Inputs!$B$68,Inputs!$B$66/Inputs!$B$68,0)+SUM(B7:B7)/Inputs!$B$69)</f>
        <v>115</v>
      </c>
      <c r="C10" s="15" t="n">
        <f aca="false">IF(Inputs!$B$67=1,C7+IF(C$3=1,Inputs!$B$66,0),IF(C$3&lt;=Inputs!$B$68,Inputs!$B$66/Inputs!$B$68,0)+SUM(B7:C7)/Inputs!$B$69)</f>
        <v>25.75</v>
      </c>
      <c r="D10" s="15" t="n">
        <f aca="false">IF(Inputs!$B$67=1,D7+IF(D$3=1,Inputs!$B$66,0),IF(D$3&lt;=Inputs!$B$68,Inputs!$B$66/Inputs!$B$68,0)+SUM(B7:D7)/Inputs!$B$69)</f>
        <v>26.5225</v>
      </c>
      <c r="E10" s="15" t="n">
        <f aca="false">IF(Inputs!$B$67=1,E7+IF(E$3=1,Inputs!$B$66,0),IF(E$3&lt;=Inputs!$B$68,Inputs!$B$66/Inputs!$B$68,0)+SUM(B7:E7)/Inputs!$B$69)</f>
        <v>27.318175</v>
      </c>
      <c r="F10" s="15" t="n">
        <f aca="false">IF(Inputs!$B$67=1,F7+IF(F$3=1,Inputs!$B$66,0),IF(F$3&lt;=Inputs!$B$68,Inputs!$B$66/Inputs!$B$68,0)+SUM(B7:F7)/Inputs!$B$69)</f>
        <v>28.13772025</v>
      </c>
      <c r="G10" s="15" t="n">
        <f aca="false">IF(Inputs!$B$67=1,G7+IF(G$3=1,Inputs!$B$66,0),IF(G$3&lt;=Inputs!$B$68,Inputs!$B$66/Inputs!$B$68,0)+SUM(C7:G7)/Inputs!$B$69)</f>
        <v>28.9818518575</v>
      </c>
      <c r="H10" s="15" t="n">
        <f aca="false">IF(Inputs!$B$67=1,H7+IF(H$3=1,Inputs!$B$66,0),IF(H$3&lt;=Inputs!$B$68,Inputs!$B$66/Inputs!$B$68,0)+SUM(D7:H7)/Inputs!$B$69)</f>
        <v>29.851307413225</v>
      </c>
      <c r="I10" s="15" t="n">
        <f aca="false">IF(Inputs!$B$67=1,I7+IF(I$3=1,Inputs!$B$66,0),IF(I$3&lt;=Inputs!$B$68,Inputs!$B$66/Inputs!$B$68,0)+SUM(E7:I7)/Inputs!$B$69)</f>
        <v>30.7468466356218</v>
      </c>
      <c r="J10" s="15" t="n">
        <f aca="false">IF(Inputs!$B$67=1,J7+IF(J$3=1,Inputs!$B$66,0),IF(J$3&lt;=Inputs!$B$68,Inputs!$B$66/Inputs!$B$68,0)+SUM(F7:J7)/Inputs!$B$69)</f>
        <v>31.6692520346904</v>
      </c>
      <c r="K10" s="15" t="n">
        <f aca="false">IF(Inputs!$B$67=1,K7+IF(K$3=1,Inputs!$B$66,0),IF(K$3&lt;=Inputs!$B$68,Inputs!$B$66/Inputs!$B$68,0)+SUM(G7:K7)/Inputs!$B$69)</f>
        <v>32.6193295957311</v>
      </c>
    </row>
    <row r="11" customFormat="false" ht="15" hidden="false" customHeight="true" outlineLevel="0" collapsed="false">
      <c r="A11" s="3" t="s">
        <v>176</v>
      </c>
      <c r="B11" s="15" t="n">
        <f aca="false">(Sources_Uses!$B$35+Inputs!$B$40)/Inputs!$B$70</f>
        <v>91.3333333333333</v>
      </c>
      <c r="C11" s="15" t="n">
        <f aca="false">(Sources_Uses!$B$35+Inputs!$B$40)/Inputs!$B$70</f>
        <v>91.3333333333333</v>
      </c>
      <c r="D11" s="15" t="n">
        <f aca="false">(Sources_Uses!$B$35+Inputs!$B$40)/Inputs!$B$70</f>
        <v>91.3333333333333</v>
      </c>
      <c r="E11" s="15" t="n">
        <f aca="false">(Sources_Uses!$B$35+Inputs!$B$40)/Inputs!$B$70</f>
        <v>91.3333333333333</v>
      </c>
      <c r="F11" s="15" t="n">
        <f aca="false">(Sources_Uses!$B$35+Inputs!$B$40)/Inputs!$B$70</f>
        <v>91.3333333333333</v>
      </c>
      <c r="G11" s="15" t="n">
        <f aca="false">(Sources_Uses!$B$35+Inputs!$B$40)/Inputs!$B$70</f>
        <v>91.3333333333333</v>
      </c>
      <c r="H11" s="15" t="n">
        <f aca="false">(Sources_Uses!$B$35+Inputs!$B$40)/Inputs!$B$70</f>
        <v>91.3333333333333</v>
      </c>
      <c r="I11" s="15" t="n">
        <f aca="false">(Sources_Uses!$B$35+Inputs!$B$40)/Inputs!$B$70</f>
        <v>91.3333333333333</v>
      </c>
      <c r="J11" s="15" t="n">
        <f aca="false">(Sources_Uses!$B$35+Inputs!$B$40)/Inputs!$B$70</f>
        <v>91.3333333333333</v>
      </c>
      <c r="K11" s="15" t="n">
        <f aca="false">(Sources_Uses!$B$35+Inputs!$B$40)/Inputs!$B$70</f>
        <v>91.3333333333333</v>
      </c>
    </row>
    <row r="12" customFormat="false" ht="15" hidden="false" customHeight="true" outlineLevel="0" collapsed="false">
      <c r="A12" s="3" t="s">
        <v>177</v>
      </c>
      <c r="B12" s="15" t="n">
        <f aca="false">IF(B$3&lt;=Inputs!$B$53,Sources_Uses!$B$18/Inputs!$B$53,0)</f>
        <v>3.7746875</v>
      </c>
      <c r="C12" s="15" t="n">
        <f aca="false">IF(C$3&lt;=Inputs!$B$53,Sources_Uses!$B$18/Inputs!$B$53,0)</f>
        <v>3.7746875</v>
      </c>
      <c r="D12" s="15" t="n">
        <f aca="false">IF(D$3&lt;=Inputs!$B$53,Sources_Uses!$B$18/Inputs!$B$53,0)</f>
        <v>3.7746875</v>
      </c>
      <c r="E12" s="15" t="n">
        <f aca="false">IF(E$3&lt;=Inputs!$B$53,Sources_Uses!$B$18/Inputs!$B$53,0)</f>
        <v>3.7746875</v>
      </c>
      <c r="F12" s="15" t="n">
        <f aca="false">IF(F$3&lt;=Inputs!$B$53,Sources_Uses!$B$18/Inputs!$B$53,0)</f>
        <v>3.7746875</v>
      </c>
      <c r="G12" s="15" t="n">
        <f aca="false">IF(G$3&lt;=Inputs!$B$53,Sources_Uses!$B$18/Inputs!$B$53,0)</f>
        <v>3.7746875</v>
      </c>
      <c r="H12" s="15" t="n">
        <f aca="false">IF(H$3&lt;=Inputs!$B$53,Sources_Uses!$B$18/Inputs!$B$53,0)</f>
        <v>3.7746875</v>
      </c>
      <c r="I12" s="15" t="n">
        <f aca="false">IF(I$3&lt;=Inputs!$B$53,Sources_Uses!$B$18/Inputs!$B$53,0)</f>
        <v>3.7746875</v>
      </c>
      <c r="J12" s="15" t="n">
        <f aca="false">IF(J$3&lt;=Inputs!$B$53,Sources_Uses!$B$18/Inputs!$B$53,0)</f>
        <v>3.7746875</v>
      </c>
      <c r="K12" s="15" t="n">
        <f aca="false">IF(K$3&lt;=Inputs!$B$53,Sources_Uses!$B$18/Inputs!$B$53,0)</f>
        <v>3.7746875</v>
      </c>
    </row>
    <row r="13" customFormat="false" ht="15" hidden="false" customHeight="true" outlineLevel="0" collapsed="false">
      <c r="A13" s="3" t="s">
        <v>178</v>
      </c>
      <c r="B13" s="15" t="n">
        <f aca="false">IF(B$3&lt;=Inputs!$B$53,-CUMIPMT(Sources_Uses!$B$27/12,Inputs!$B$53*12,Sources_Uses!$B$16,(B$3-1)*12+1,B$3*12,0),0)</f>
        <v>139.149071130023</v>
      </c>
      <c r="C13" s="15" t="n">
        <f aca="false">IF(C$3&lt;=Inputs!$B$53,-CUMIPMT(Sources_Uses!$B$27/12,Inputs!$B$53*12,Sources_Uses!$B$16,(C$3-1)*12+1,C$3*12,0),0)</f>
        <v>129.957339824472</v>
      </c>
      <c r="D13" s="15" t="n">
        <f aca="false">IF(D$3&lt;=Inputs!$B$53,-CUMIPMT(Sources_Uses!$B$27/12,Inputs!$B$53*12,Sources_Uses!$B$16,(D$3-1)*12+1,D$3*12,0),0)</f>
        <v>119.80311413882</v>
      </c>
      <c r="E13" s="15" t="n">
        <f aca="false">IF(E$3&lt;=Inputs!$B$53,-CUMIPMT(Sources_Uses!$B$27/12,Inputs!$B$53*12,Sources_Uses!$B$16,(E$3-1)*12+1,E$3*12,0),0)</f>
        <v>108.585608334132</v>
      </c>
      <c r="F13" s="15" t="n">
        <f aca="false">IF(F$3&lt;=Inputs!$B$53,-CUMIPMT(Sources_Uses!$B$27/12,Inputs!$B$53*12,Sources_Uses!$B$16,(F$3-1)*12+1,F$3*12,0),0)</f>
        <v>96.1934830875946</v>
      </c>
      <c r="G13" s="15" t="n">
        <f aca="false">IF(G$3&lt;=Inputs!$B$53,-CUMIPMT(Sources_Uses!$B$27/12,Inputs!$B$53*12,Sources_Uses!$B$16,(G$3-1)*12+1,G$3*12,0),0)</f>
        <v>82.5037403943758</v>
      </c>
      <c r="H13" s="15" t="n">
        <f aca="false">IF(H$3&lt;=Inputs!$B$53,-CUMIPMT(Sources_Uses!$B$27/12,Inputs!$B$53*12,Sources_Uses!$B$16,(H$3-1)*12+1,H$3*12,0),0)</f>
        <v>67.380502751268</v>
      </c>
      <c r="I13" s="15" t="n">
        <f aca="false">IF(I$3&lt;=Inputs!$B$53,-CUMIPMT(Sources_Uses!$B$27/12,Inputs!$B$53*12,Sources_Uses!$B$16,(I$3-1)*12+1,I$3*12,0),0)</f>
        <v>50.6736645049066</v>
      </c>
      <c r="J13" s="15" t="n">
        <f aca="false">IF(J$3&lt;=Inputs!$B$53,-CUMIPMT(Sources_Uses!$B$27/12,Inputs!$B$53*12,Sources_Uses!$B$16,(J$3-1)*12+1,J$3*12,0),0)</f>
        <v>32.2174019785232</v>
      </c>
      <c r="K13" s="15" t="n">
        <f aca="false">IF(K$3&lt;=Inputs!$B$53,-CUMIPMT(Sources_Uses!$B$27/12,Inputs!$B$53*12,Sources_Uses!$B$16,(K$3-1)*12+1,K$3*12,0),0)</f>
        <v>11.8285275895003</v>
      </c>
    </row>
    <row r="14" customFormat="false" ht="15" hidden="false" customHeight="true" outlineLevel="0" collapsed="false">
      <c r="A14" s="3" t="s">
        <v>179</v>
      </c>
      <c r="B14" s="15" t="n">
        <f aca="false">IF(B$3&lt;=Inputs!$B$48,-CUMIPMT(Inputs!$B$47/12,Inputs!$B$48*12,Sources_Uses!$B$9,(B$3-1)*12+1,B$3*12,0),0)</f>
        <v>10.2581110331352</v>
      </c>
      <c r="C14" s="15" t="n">
        <f aca="false">IF(C$3&lt;=Inputs!$B$48,-CUMIPMT(Inputs!$B$47/12,Inputs!$B$48*12,Sources_Uses!$B$9,(C$3-1)*12+1,C$3*12,0),0)</f>
        <v>8.26850180449329</v>
      </c>
      <c r="D14" s="15" t="n">
        <f aca="false">IF(D$3&lt;=Inputs!$B$48,-CUMIPMT(Inputs!$B$47/12,Inputs!$B$48*12,Sources_Uses!$B$9,(D$3-1)*12+1,D$3*12,0),0)</f>
        <v>6.13506356384051</v>
      </c>
      <c r="E14" s="15" t="n">
        <f aca="false">IF(E$3&lt;=Inputs!$B$48,-CUMIPMT(Inputs!$B$47/12,Inputs!$B$48*12,Sources_Uses!$B$9,(E$3-1)*12+1,E$3*12,0),0)</f>
        <v>3.84739890026916</v>
      </c>
      <c r="F14" s="15" t="n">
        <f aca="false">IF(F$3&lt;=Inputs!$B$48,-CUMIPMT(Inputs!$B$47/12,Inputs!$B$48*12,Sources_Uses!$B$9,(F$3-1)*12+1,F$3*12,0),0)</f>
        <v>1.39435877319627</v>
      </c>
      <c r="G14" s="15" t="n">
        <f aca="false">IF(G$3&lt;=Inputs!$B$48,-CUMIPMT(Inputs!$B$47/12,Inputs!$B$48*12,Sources_Uses!$B$9,(G$3-1)*12+1,G$3*12,0),0)</f>
        <v>0</v>
      </c>
      <c r="H14" s="15" t="n">
        <f aca="false">IF(H$3&lt;=Inputs!$B$48,-CUMIPMT(Inputs!$B$47/12,Inputs!$B$48*12,Sources_Uses!$B$9,(H$3-1)*12+1,H$3*12,0),0)</f>
        <v>0</v>
      </c>
      <c r="I14" s="15" t="n">
        <f aca="false">IF(I$3&lt;=Inputs!$B$48,-CUMIPMT(Inputs!$B$47/12,Inputs!$B$48*12,Sources_Uses!$B$9,(I$3-1)*12+1,I$3*12,0),0)</f>
        <v>0</v>
      </c>
      <c r="J14" s="15" t="n">
        <f aca="false">IF(J$3&lt;=Inputs!$B$48,-CUMIPMT(Inputs!$B$47/12,Inputs!$B$48*12,Sources_Uses!$B$9,(J$3-1)*12+1,J$3*12,0),0)</f>
        <v>0</v>
      </c>
      <c r="K14" s="15" t="n">
        <f aca="false">IF(K$3&lt;=Inputs!$B$48,-CUMIPMT(Inputs!$B$47/12,Inputs!$B$48*12,Sources_Uses!$B$9,(K$3-1)*12+1,K$3*12,0),0)</f>
        <v>0</v>
      </c>
    </row>
    <row r="15" customFormat="false" ht="15" hidden="false" customHeight="true" outlineLevel="0" collapsed="false">
      <c r="A15" s="3" t="s">
        <v>180</v>
      </c>
      <c r="B15" s="15" t="n">
        <f aca="false">Sources_Uses!$B$20*(1+Inputs!$B$45)^(B$3-1)*Inputs!$B$45</f>
        <v>5.393240625</v>
      </c>
      <c r="C15" s="15" t="n">
        <f aca="false">Sources_Uses!$B$20*(1+Inputs!$B$45)^(C$3-1)*Inputs!$B$45</f>
        <v>5.7168350625</v>
      </c>
      <c r="D15" s="15" t="n">
        <f aca="false">Sources_Uses!$B$20*(1+Inputs!$B$45)^(D$3-1)*Inputs!$B$45</f>
        <v>6.05984516625</v>
      </c>
      <c r="E15" s="15" t="n">
        <f aca="false">Sources_Uses!$B$20*(1+Inputs!$B$45)^(E$3-1)*Inputs!$B$45</f>
        <v>6.423435876225</v>
      </c>
      <c r="F15" s="15" t="n">
        <f aca="false">Sources_Uses!$B$20*(1+Inputs!$B$45)^(F$3-1)*Inputs!$B$45</f>
        <v>6.8088420287985</v>
      </c>
      <c r="G15" s="15" t="n">
        <f aca="false">Sources_Uses!$B$20*(1+Inputs!$B$45)^(G$3-1)*Inputs!$B$45</f>
        <v>7.21737255052641</v>
      </c>
      <c r="H15" s="15" t="n">
        <f aca="false">Sources_Uses!$B$20*(1+Inputs!$B$45)^(H$3-1)*Inputs!$B$45</f>
        <v>7.650414903558</v>
      </c>
      <c r="I15" s="15" t="n">
        <f aca="false">Sources_Uses!$B$20*(1+Inputs!$B$45)^(I$3-1)*Inputs!$B$45</f>
        <v>8.10943979777148</v>
      </c>
      <c r="J15" s="15" t="n">
        <f aca="false">Sources_Uses!$B$20*(1+Inputs!$B$45)^(J$3-1)*Inputs!$B$45</f>
        <v>8.59600618563777</v>
      </c>
      <c r="K15" s="15" t="n">
        <f aca="false">Sources_Uses!$B$20*(1+Inputs!$B$45)^(K$3-1)*Inputs!$B$45</f>
        <v>9.11176655677603</v>
      </c>
    </row>
    <row r="16" customFormat="false" ht="15" hidden="false" customHeight="true" outlineLevel="0" collapsed="false">
      <c r="A16" s="3" t="s">
        <v>181</v>
      </c>
      <c r="B16" s="15" t="n">
        <f aca="false">B6-B13-B14-B15-B10-B11-B12</f>
        <v>-32.9084436214915</v>
      </c>
      <c r="C16" s="15" t="n">
        <f aca="false">C6-C13-C14-C15-C10-C11-C12</f>
        <v>77.1593024752019</v>
      </c>
      <c r="D16" s="15" t="n">
        <f aca="false">D6-D13-D14-D15-D10-D11-D12</f>
        <v>98.5902562977566</v>
      </c>
      <c r="E16" s="15" t="n">
        <f aca="false">E6-E13-E14-E15-E10-E11-E12</f>
        <v>121.502725056041</v>
      </c>
      <c r="F16" s="15" t="n">
        <f aca="false">F6-F13-F14-F15-F10-F11-F12</f>
        <v>146.026499947077</v>
      </c>
      <c r="G16" s="15" t="n">
        <f aca="false">G6-G13-G14-G15-G10-G11-G12</f>
        <v>171.068007031864</v>
      </c>
      <c r="H16" s="15" t="n">
        <f aca="false">H6-H13-H14-H15-H10-H11-H12</f>
        <v>196.435116546244</v>
      </c>
      <c r="I16" s="15" t="n">
        <f aca="false">I6-I13-I14-I15-I10-I11-I12</f>
        <v>223.680151549424</v>
      </c>
      <c r="J16" s="15" t="n">
        <f aca="false">J6-J13-J14-J15-J10-J11-J12</f>
        <v>252.976985988504</v>
      </c>
      <c r="K16" s="15" t="n">
        <f aca="false">K6-K13-K14-K15-K10-K11-K12</f>
        <v>284.517052455969</v>
      </c>
    </row>
    <row r="17" customFormat="false" ht="15" hidden="false" customHeight="true" outlineLevel="0" collapsed="false">
      <c r="A17" s="3" t="s">
        <v>182</v>
      </c>
      <c r="B17" s="15" t="n">
        <f aca="false">MIN(0,Inputs!$B$72*MAX(B16,0))</f>
        <v>0</v>
      </c>
      <c r="C17" s="15" t="n">
        <f aca="false">MIN(B18,Inputs!$B$72*MAX(C16,0))</f>
        <v>32.9084436214915</v>
      </c>
      <c r="D17" s="15" t="n">
        <f aca="false">MIN(C18,Inputs!$B$72*MAX(D16,0))</f>
        <v>0</v>
      </c>
      <c r="E17" s="15" t="n">
        <f aca="false">MIN(D18,Inputs!$B$72*MAX(E16,0))</f>
        <v>0</v>
      </c>
      <c r="F17" s="15" t="n">
        <f aca="false">MIN(E18,Inputs!$B$72*MAX(F16,0))</f>
        <v>0</v>
      </c>
      <c r="G17" s="15" t="n">
        <f aca="false">MIN(F18,Inputs!$B$72*MAX(G16,0))</f>
        <v>0</v>
      </c>
      <c r="H17" s="15" t="n">
        <f aca="false">MIN(G18,Inputs!$B$72*MAX(H16,0))</f>
        <v>0</v>
      </c>
      <c r="I17" s="15" t="n">
        <f aca="false">MIN(H18,Inputs!$B$72*MAX(I16,0))</f>
        <v>0</v>
      </c>
      <c r="J17" s="15" t="n">
        <f aca="false">MIN(I18,Inputs!$B$72*MAX(J16,0))</f>
        <v>0</v>
      </c>
      <c r="K17" s="15" t="n">
        <f aca="false">MIN(J18,Inputs!$B$72*MAX(K16,0))</f>
        <v>0</v>
      </c>
    </row>
    <row r="18" customFormat="false" ht="15" hidden="false" customHeight="true" outlineLevel="0" collapsed="false">
      <c r="A18" s="3" t="s">
        <v>183</v>
      </c>
      <c r="B18" s="15" t="n">
        <f aca="false">0-B17+IF(Inputs!$B$73=1,MAX(-B16,0),0)</f>
        <v>32.9084436214915</v>
      </c>
      <c r="C18" s="15" t="n">
        <f aca="false">B18-C17+IF(Inputs!$B$73=1,MAX(-C16,0),0)</f>
        <v>0</v>
      </c>
      <c r="D18" s="15" t="n">
        <f aca="false">C18-D17+IF(Inputs!$B$73=1,MAX(-D16,0),0)</f>
        <v>0</v>
      </c>
      <c r="E18" s="15" t="n">
        <f aca="false">D18-E17+IF(Inputs!$B$73=1,MAX(-E16,0),0)</f>
        <v>0</v>
      </c>
      <c r="F18" s="15" t="n">
        <f aca="false">E18-F17+IF(Inputs!$B$73=1,MAX(-F16,0),0)</f>
        <v>0</v>
      </c>
      <c r="G18" s="15" t="n">
        <f aca="false">F18-G17+IF(Inputs!$B$73=1,MAX(-G16,0),0)</f>
        <v>0</v>
      </c>
      <c r="H18" s="15" t="n">
        <f aca="false">G18-H17+IF(Inputs!$B$73=1,MAX(-H16,0),0)</f>
        <v>0</v>
      </c>
      <c r="I18" s="15" t="n">
        <f aca="false">H18-I17+IF(Inputs!$B$73=1,MAX(-I16,0),0)</f>
        <v>0</v>
      </c>
      <c r="J18" s="15" t="n">
        <f aca="false">I18-J17+IF(Inputs!$B$73=1,MAX(-J16,0),0)</f>
        <v>0</v>
      </c>
      <c r="K18" s="15" t="n">
        <f aca="false">J18-K17+IF(Inputs!$B$73=1,MAX(-K16,0),0)</f>
        <v>0</v>
      </c>
    </row>
    <row r="19" customFormat="false" ht="15" hidden="false" customHeight="true" outlineLevel="0" collapsed="false">
      <c r="A19" s="3" t="s">
        <v>184</v>
      </c>
      <c r="B19" s="15" t="n">
        <f aca="false">MAX(B16-B17,0)*Inputs!$B$71-IF(Inputs!$B$73=2,MAX(-B16,0)*Inputs!$B$71,0)</f>
        <v>0</v>
      </c>
      <c r="C19" s="15" t="n">
        <f aca="false">MAX(C16-C17,0)*Inputs!$B$71-IF(Inputs!$B$73=2,MAX(-C16,0)*Inputs!$B$71,0)</f>
        <v>13.2752576561131</v>
      </c>
      <c r="D19" s="15" t="n">
        <f aca="false">MAX(D16-D17,0)*Inputs!$B$71-IF(Inputs!$B$73=2,MAX(-D16,0)*Inputs!$B$71,0)</f>
        <v>29.577076889327</v>
      </c>
      <c r="E19" s="15" t="n">
        <f aca="false">MAX(E16-E17,0)*Inputs!$B$71-IF(Inputs!$B$73=2,MAX(-E16,0)*Inputs!$B$71,0)</f>
        <v>36.4508175168122</v>
      </c>
      <c r="F19" s="15" t="n">
        <f aca="false">MAX(F16-F17,0)*Inputs!$B$71-IF(Inputs!$B$73=2,MAX(-F16,0)*Inputs!$B$71,0)</f>
        <v>43.8079499841232</v>
      </c>
      <c r="G19" s="15" t="n">
        <f aca="false">MAX(G16-G17,0)*Inputs!$B$71-IF(Inputs!$B$73=2,MAX(-G16,0)*Inputs!$B$71,0)</f>
        <v>51.3204021095593</v>
      </c>
      <c r="H19" s="15" t="n">
        <f aca="false">MAX(H16-H17,0)*Inputs!$B$71-IF(Inputs!$B$73=2,MAX(-H16,0)*Inputs!$B$71,0)</f>
        <v>58.9305349638731</v>
      </c>
      <c r="I19" s="15" t="n">
        <f aca="false">MAX(I16-I17,0)*Inputs!$B$71-IF(Inputs!$B$73=2,MAX(-I16,0)*Inputs!$B$71,0)</f>
        <v>67.1040454648271</v>
      </c>
      <c r="J19" s="15" t="n">
        <f aca="false">MAX(J16-J17,0)*Inputs!$B$71-IF(Inputs!$B$73=2,MAX(-J16,0)*Inputs!$B$71,0)</f>
        <v>75.8930957965512</v>
      </c>
      <c r="K19" s="15" t="n">
        <f aca="false">MAX(K16-K17,0)*Inputs!$B$71-IF(Inputs!$B$73=2,MAX(-K16,0)*Inputs!$B$71,0)</f>
        <v>85.3551157367906</v>
      </c>
    </row>
    <row r="20" customFormat="false" ht="15" hidden="false" customHeight="true" outlineLevel="0" collapsed="false">
      <c r="A20" s="3" t="s">
        <v>185</v>
      </c>
      <c r="B20" s="15" t="n">
        <f aca="false">IF(B$3&lt;=Inputs!$B$53,Sources_Uses!$B$28,0)</f>
        <v>226.929245373361</v>
      </c>
      <c r="C20" s="15" t="n">
        <f aca="false">IF(C$3&lt;=Inputs!$B$53,Sources_Uses!$B$28,0)</f>
        <v>226.929245373361</v>
      </c>
      <c r="D20" s="15" t="n">
        <f aca="false">IF(D$3&lt;=Inputs!$B$53,Sources_Uses!$B$28,0)</f>
        <v>226.929245373361</v>
      </c>
      <c r="E20" s="15" t="n">
        <f aca="false">IF(E$3&lt;=Inputs!$B$53,Sources_Uses!$B$28,0)</f>
        <v>226.929245373361</v>
      </c>
      <c r="F20" s="15" t="n">
        <f aca="false">IF(F$3&lt;=Inputs!$B$53,Sources_Uses!$B$28,0)</f>
        <v>226.929245373361</v>
      </c>
      <c r="G20" s="15" t="n">
        <f aca="false">IF(G$3&lt;=Inputs!$B$53,Sources_Uses!$B$28,0)</f>
        <v>226.929245373361</v>
      </c>
      <c r="H20" s="15" t="n">
        <f aca="false">IF(H$3&lt;=Inputs!$B$53,Sources_Uses!$B$28,0)</f>
        <v>226.929245373361</v>
      </c>
      <c r="I20" s="15" t="n">
        <f aca="false">IF(I$3&lt;=Inputs!$B$53,Sources_Uses!$B$28,0)</f>
        <v>226.929245373361</v>
      </c>
      <c r="J20" s="15" t="n">
        <f aca="false">IF(J$3&lt;=Inputs!$B$53,Sources_Uses!$B$28,0)</f>
        <v>226.929245373361</v>
      </c>
      <c r="K20" s="15" t="n">
        <f aca="false">IF(K$3&lt;=Inputs!$B$53,Sources_Uses!$B$28,0)</f>
        <v>226.929245373361</v>
      </c>
    </row>
    <row r="21" customFormat="false" ht="15" hidden="false" customHeight="true" outlineLevel="0" collapsed="false">
      <c r="A21" s="3" t="s">
        <v>186</v>
      </c>
      <c r="B21" s="15" t="n">
        <f aca="false">IF(B$3&lt;=Inputs!$B$48,Sources_Uses!$B$29,0)</f>
        <v>37.7806868149869</v>
      </c>
      <c r="C21" s="15" t="n">
        <f aca="false">IF(C$3&lt;=Inputs!$B$48,Sources_Uses!$B$29,0)</f>
        <v>37.7806868149869</v>
      </c>
      <c r="D21" s="15" t="n">
        <f aca="false">IF(D$3&lt;=Inputs!$B$48,Sources_Uses!$B$29,0)</f>
        <v>37.7806868149869</v>
      </c>
      <c r="E21" s="15" t="n">
        <f aca="false">IF(E$3&lt;=Inputs!$B$48,Sources_Uses!$B$29,0)</f>
        <v>37.7806868149869</v>
      </c>
      <c r="F21" s="15" t="n">
        <f aca="false">IF(F$3&lt;=Inputs!$B$48,Sources_Uses!$B$29,0)</f>
        <v>37.7806868149869</v>
      </c>
      <c r="G21" s="15" t="n">
        <f aca="false">IF(G$3&lt;=Inputs!$B$48,Sources_Uses!$B$29,0)</f>
        <v>0</v>
      </c>
      <c r="H21" s="15" t="n">
        <f aca="false">IF(H$3&lt;=Inputs!$B$48,Sources_Uses!$B$29,0)</f>
        <v>0</v>
      </c>
      <c r="I21" s="15" t="n">
        <f aca="false">IF(I$3&lt;=Inputs!$B$48,Sources_Uses!$B$29,0)</f>
        <v>0</v>
      </c>
      <c r="J21" s="15" t="n">
        <f aca="false">IF(J$3&lt;=Inputs!$B$48,Sources_Uses!$B$29,0)</f>
        <v>0</v>
      </c>
      <c r="K21" s="15" t="n">
        <f aca="false">IF(K$3&lt;=Inputs!$B$48,Sources_Uses!$B$29,0)</f>
        <v>0</v>
      </c>
    </row>
    <row r="22" customFormat="false" ht="15" hidden="false" customHeight="true" outlineLevel="0" collapsed="false">
      <c r="A22" s="3" t="s">
        <v>187</v>
      </c>
      <c r="B22" s="15" t="n">
        <f aca="false">B20+B21</f>
        <v>264.709932188348</v>
      </c>
      <c r="C22" s="15" t="n">
        <f aca="false">C20+C21</f>
        <v>264.709932188348</v>
      </c>
      <c r="D22" s="15" t="n">
        <f aca="false">D20+D21</f>
        <v>264.709932188348</v>
      </c>
      <c r="E22" s="15" t="n">
        <f aca="false">E20+E21</f>
        <v>264.709932188348</v>
      </c>
      <c r="F22" s="15" t="n">
        <f aca="false">F20+F21</f>
        <v>264.709932188348</v>
      </c>
      <c r="G22" s="15" t="n">
        <f aca="false">G20+G21</f>
        <v>226.929245373361</v>
      </c>
      <c r="H22" s="15" t="n">
        <f aca="false">H20+H21</f>
        <v>226.929245373361</v>
      </c>
      <c r="I22" s="15" t="n">
        <f aca="false">I20+I21</f>
        <v>226.929245373361</v>
      </c>
      <c r="J22" s="15" t="n">
        <f aca="false">J20+J21</f>
        <v>226.929245373361</v>
      </c>
      <c r="K22" s="15" t="n">
        <f aca="false">K20+K21</f>
        <v>226.929245373361</v>
      </c>
    </row>
    <row r="23" customFormat="false" ht="15" hidden="false" customHeight="true" outlineLevel="0" collapsed="false">
      <c r="A23" s="16" t="s">
        <v>188</v>
      </c>
      <c r="B23" s="18" t="n">
        <f aca="false">B6/B22</f>
        <v>1.25420303369567</v>
      </c>
      <c r="C23" s="18" t="n">
        <f aca="false">C6/C22</f>
        <v>1.29182912470654</v>
      </c>
      <c r="D23" s="18" t="n">
        <f aca="false">D6/D22</f>
        <v>1.33058399844773</v>
      </c>
      <c r="E23" s="18" t="n">
        <f aca="false">E6/E22</f>
        <v>1.37050151840116</v>
      </c>
      <c r="F23" s="18" t="n">
        <f aca="false">F6/F22</f>
        <v>1.4116165639532</v>
      </c>
      <c r="G23" s="18" t="n">
        <f aca="false">G6/G22</f>
        <v>1.69603081363254</v>
      </c>
      <c r="H23" s="18" t="n">
        <f aca="false">H6/H22</f>
        <v>1.74691173804152</v>
      </c>
      <c r="I23" s="18" t="n">
        <f aca="false">I6/I22</f>
        <v>1.79931909018276</v>
      </c>
      <c r="J23" s="18" t="n">
        <f aca="false">J6/J22</f>
        <v>1.85329866288825</v>
      </c>
      <c r="K23" s="18" t="n">
        <f aca="false">K6/K22</f>
        <v>1.90889762277489</v>
      </c>
    </row>
    <row r="24" customFormat="false" ht="15" hidden="false" customHeight="true" outlineLevel="0" collapsed="false">
      <c r="A24" s="16" t="s">
        <v>189</v>
      </c>
      <c r="B24" s="18" t="n">
        <f aca="false">(B6-B8-B9-B19)/B22</f>
        <v>1.15976003417039</v>
      </c>
      <c r="C24" s="18" t="n">
        <f aca="false">(C6-C8-C9-C19)/C22</f>
        <v>1.12173630920887</v>
      </c>
      <c r="D24" s="18" t="n">
        <f aca="false">(D6-D8-D9-D19)/D22</f>
        <v>1.09530919642401</v>
      </c>
      <c r="E24" s="18" t="n">
        <f aca="false">(E6-E8-E9-E19)/E22</f>
        <v>1.10555342243433</v>
      </c>
      <c r="F24" s="18" t="n">
        <f aca="false">(F6-F8-F9-F19)/F22</f>
        <v>1.11505786823238</v>
      </c>
      <c r="G24" s="18" t="n">
        <f aca="false">(G6-G8-G9-G19)/G22</f>
        <v>1.31240768615142</v>
      </c>
      <c r="H24" s="18" t="n">
        <f aca="false">(H6-H8-H9-H19)/H22</f>
        <v>1.32502919634715</v>
      </c>
      <c r="I24" s="18" t="n">
        <f aca="false">(I6-I8-I9-I19)/I22</f>
        <v>1.33655279619168</v>
      </c>
      <c r="J24" s="18" t="n">
        <f aca="false">(J6-J8-J9-J19)/J22</f>
        <v>1.34679016578079</v>
      </c>
      <c r="K24" s="18" t="n">
        <f aca="false">(K6-K8-K9-K19)/K22</f>
        <v>1.3555310189498</v>
      </c>
    </row>
    <row r="25" customFormat="false" ht="15" hidden="false" customHeight="true" outlineLevel="0" collapsed="false">
      <c r="A25" s="16" t="s">
        <v>190</v>
      </c>
      <c r="B25" s="15" t="n">
        <f aca="false">B6-B8-B9-B19-B22</f>
        <v>42.290067811652</v>
      </c>
      <c r="C25" s="15" t="n">
        <f aca="false">C6-C8-C9-C19-C22</f>
        <v>32.2248101555389</v>
      </c>
      <c r="D25" s="15" t="n">
        <f aca="false">D6-D8-D9-D19-D22</f>
        <v>25.2292909223251</v>
      </c>
      <c r="E25" s="15" t="n">
        <f aca="false">E6-E8-E9-E19-E22</f>
        <v>27.9410392948398</v>
      </c>
      <c r="F25" s="15" t="n">
        <f aca="false">F6-F8-F9-F19-F22</f>
        <v>30.4569604975288</v>
      </c>
      <c r="G25" s="15" t="n">
        <f aca="false">G6-G8-G9-G19-G22</f>
        <v>70.8944404671796</v>
      </c>
      <c r="H25" s="15" t="n">
        <f aca="false">H6-H8-H9-H19-H22</f>
        <v>73.7586302513689</v>
      </c>
      <c r="I25" s="15" t="n">
        <f aca="false">I6-I8-I9-I19-I22</f>
        <v>76.3736720680729</v>
      </c>
      <c r="J25" s="15" t="n">
        <f aca="false">J6-J8-J9-J19-J22</f>
        <v>78.6968306235368</v>
      </c>
      <c r="K25" s="15" t="n">
        <f aca="false">K6-K8-K9-K19-K22</f>
        <v>80.6803858371009</v>
      </c>
    </row>
    <row r="26" customFormat="false" ht="15" hidden="false" customHeight="true" outlineLevel="0" collapsed="false">
      <c r="A26" s="3" t="s">
        <v>191</v>
      </c>
      <c r="B26" s="15" t="n">
        <f aca="false">SUM($B25:B25)</f>
        <v>42.290067811652</v>
      </c>
      <c r="C26" s="15" t="n">
        <f aca="false">SUM($B25:C25)</f>
        <v>74.514877967191</v>
      </c>
      <c r="D26" s="15" t="n">
        <f aca="false">SUM($B25:D25)</f>
        <v>99.744168889516</v>
      </c>
      <c r="E26" s="15" t="n">
        <f aca="false">SUM($B25:E25)</f>
        <v>127.685208184356</v>
      </c>
      <c r="F26" s="15" t="n">
        <f aca="false">SUM($B25:F25)</f>
        <v>158.142168681885</v>
      </c>
      <c r="G26" s="15" t="n">
        <f aca="false">SUM($B25:G25)</f>
        <v>229.036609149064</v>
      </c>
      <c r="H26" s="15" t="n">
        <f aca="false">SUM($B25:H25)</f>
        <v>302.795239400433</v>
      </c>
      <c r="I26" s="15" t="n">
        <f aca="false">SUM($B25:I25)</f>
        <v>379.168911468506</v>
      </c>
      <c r="J26" s="15" t="n">
        <f aca="false">SUM($B25:J25)</f>
        <v>457.865742092043</v>
      </c>
      <c r="K26" s="15" t="n">
        <f aca="false">SUM($B25:K25)</f>
        <v>538.546127929144</v>
      </c>
    </row>
    <row r="27" customFormat="false" ht="15" hidden="false" customHeight="true" outlineLevel="0" collapsed="false">
      <c r="A27" s="3" t="s">
        <v>192</v>
      </c>
      <c r="B27" s="15" t="n">
        <f aca="false">IF(B$3&lt;Inputs!$B$53,Sources_Uses!$B$16+CUMPRINC(Sources_Uses!$B$27/12,Inputs!$B$53*12,Sources_Uses!$B$16,1,B$3*12,0),0)</f>
        <v>1343.21982575666</v>
      </c>
      <c r="C27" s="15" t="n">
        <f aca="false">IF(C$3&lt;Inputs!$B$53,Sources_Uses!$B$16+CUMPRINC(Sources_Uses!$B$27/12,Inputs!$B$53*12,Sources_Uses!$B$16,1,C$3*12,0),0)</f>
        <v>1246.24792020777</v>
      </c>
      <c r="D27" s="15" t="n">
        <f aca="false">IF(D$3&lt;Inputs!$B$53,Sources_Uses!$B$16+CUMPRINC(Sources_Uses!$B$27/12,Inputs!$B$53*12,Sources_Uses!$B$16,1,D$3*12,0),0)</f>
        <v>1139.12178897323</v>
      </c>
      <c r="E27" s="15" t="n">
        <f aca="false">IF(E$3&lt;Inputs!$B$53,Sources_Uses!$B$16+CUMPRINC(Sources_Uses!$B$27/12,Inputs!$B$53*12,Sources_Uses!$B$16,1,E$3*12,0),0)</f>
        <v>1020.778151934</v>
      </c>
      <c r="F27" s="15" t="n">
        <f aca="false">IF(F$3&lt;Inputs!$B$53,Sources_Uses!$B$16+CUMPRINC(Sources_Uses!$B$27/12,Inputs!$B$53*12,Sources_Uses!$B$16,1,F$3*12,0),0)</f>
        <v>890.042389648235</v>
      </c>
      <c r="G27" s="15" t="n">
        <f aca="false">IF(G$3&lt;Inputs!$B$53,Sources_Uses!$B$16+CUMPRINC(Sources_Uses!$B$27/12,Inputs!$B$53*12,Sources_Uses!$B$16,1,G$3*12,0),0)</f>
        <v>745.61688466925</v>
      </c>
      <c r="H27" s="15" t="n">
        <f aca="false">IF(H$3&lt;Inputs!$B$53,Sources_Uses!$B$16+CUMPRINC(Sources_Uses!$B$27/12,Inputs!$B$53*12,Sources_Uses!$B$16,1,H$3*12,0),0)</f>
        <v>586.068142047157</v>
      </c>
      <c r="I27" s="15" t="n">
        <f aca="false">IF(I$3&lt;Inputs!$B$53,Sources_Uses!$B$16+CUMPRINC(Sources_Uses!$B$27/12,Inputs!$B$53*12,Sources_Uses!$B$16,1,I$3*12,0),0)</f>
        <v>409.812561178702</v>
      </c>
      <c r="J27" s="15" t="n">
        <f aca="false">IF(J$3&lt;Inputs!$B$53,Sources_Uses!$B$16+CUMPRINC(Sources_Uses!$B$27/12,Inputs!$B$53*12,Sources_Uses!$B$16,1,J$3*12,0),0)</f>
        <v>215.100717783864</v>
      </c>
      <c r="K27" s="15" t="n">
        <f aca="false">IF(K$3&lt;Inputs!$B$53,Sources_Uses!$B$16+CUMPRINC(Sources_Uses!$B$27/12,Inputs!$B$53*12,Sources_Uses!$B$16,1,K$3*12,0),0)</f>
        <v>0</v>
      </c>
    </row>
    <row r="28" customFormat="false" ht="15" hidden="false" customHeight="true" outlineLevel="0" collapsed="false">
      <c r="A28" s="3" t="s">
        <v>193</v>
      </c>
      <c r="B28" s="15" t="n">
        <f aca="false">IF(B$3&lt;Inputs!$B$48,Sources_Uses!$B$9+CUMPRINC(Inputs!$B$47/12,Inputs!$B$48*12,Sources_Uses!$B$9,1,B$3*12,0),0)</f>
        <v>131.477424218148</v>
      </c>
      <c r="C28" s="15" t="n">
        <f aca="false">IF(C$3&lt;Inputs!$B$48,Sources_Uses!$B$9+CUMPRINC(Inputs!$B$47/12,Inputs!$B$48*12,Sources_Uses!$B$9,1,C$3*12,0),0)</f>
        <v>101.965239207655</v>
      </c>
      <c r="D28" s="15" t="n">
        <f aca="false">IF(D$3&lt;Inputs!$B$48,Sources_Uses!$B$9+CUMPRINC(Inputs!$B$47/12,Inputs!$B$48*12,Sources_Uses!$B$9,1,D$3*12,0),0)</f>
        <v>70.3196159565083</v>
      </c>
      <c r="E28" s="15" t="n">
        <f aca="false">IF(E$3&lt;Inputs!$B$48,Sources_Uses!$B$9+CUMPRINC(Inputs!$B$47/12,Inputs!$B$48*12,Sources_Uses!$B$9,1,E$3*12,0),0)</f>
        <v>36.3863280417905</v>
      </c>
      <c r="F28" s="15" t="n">
        <f aca="false">IF(F$3&lt;Inputs!$B$48,Sources_Uses!$B$9+CUMPRINC(Inputs!$B$47/12,Inputs!$B$48*12,Sources_Uses!$B$9,1,F$3*12,0),0)</f>
        <v>0</v>
      </c>
      <c r="G28" s="15" t="n">
        <f aca="false">IF(G$3&lt;Inputs!$B$48,Sources_Uses!$B$9+CUMPRINC(Inputs!$B$47/12,Inputs!$B$48*12,Sources_Uses!$B$9,1,G$3*12,0),0)</f>
        <v>0</v>
      </c>
      <c r="H28" s="15" t="n">
        <f aca="false">IF(H$3&lt;Inputs!$B$48,Sources_Uses!$B$9+CUMPRINC(Inputs!$B$47/12,Inputs!$B$48*12,Sources_Uses!$B$9,1,H$3*12,0),0)</f>
        <v>0</v>
      </c>
      <c r="I28" s="15" t="n">
        <f aca="false">IF(I$3&lt;Inputs!$B$48,Sources_Uses!$B$9+CUMPRINC(Inputs!$B$47/12,Inputs!$B$48*12,Sources_Uses!$B$9,1,I$3*12,0),0)</f>
        <v>0</v>
      </c>
      <c r="J28" s="15" t="n">
        <f aca="false">IF(J$3&lt;Inputs!$B$48,Sources_Uses!$B$9+CUMPRINC(Inputs!$B$47/12,Inputs!$B$48*12,Sources_Uses!$B$9,1,J$3*12,0),0)</f>
        <v>0</v>
      </c>
      <c r="K28" s="15" t="n">
        <f aca="false">IF(K$3&lt;Inputs!$B$48,Sources_Uses!$B$9+CUMPRINC(Inputs!$B$47/12,Inputs!$B$48*12,Sources_Uses!$B$9,1,K$3*12,0),0)</f>
        <v>0</v>
      </c>
    </row>
    <row r="29" customFormat="false" ht="15" hidden="false" customHeight="true" outlineLevel="0" collapsed="false">
      <c r="A29" s="3" t="s">
        <v>194</v>
      </c>
      <c r="B29" s="15" t="n">
        <f aca="false">Sources_Uses!$B$20*(1+Inputs!$B$45)^B$3</f>
        <v>95.280584375</v>
      </c>
      <c r="C29" s="15" t="n">
        <f aca="false">Sources_Uses!$B$20*(1+Inputs!$B$45)^C$3</f>
        <v>100.9974194375</v>
      </c>
      <c r="D29" s="15" t="n">
        <f aca="false">Sources_Uses!$B$20*(1+Inputs!$B$45)^D$3</f>
        <v>107.05726460375</v>
      </c>
      <c r="E29" s="15" t="n">
        <f aca="false">Sources_Uses!$B$20*(1+Inputs!$B$45)^E$3</f>
        <v>113.480700479975</v>
      </c>
      <c r="F29" s="15" t="n">
        <f aca="false">Sources_Uses!$B$20*(1+Inputs!$B$45)^F$3</f>
        <v>120.289542508774</v>
      </c>
      <c r="G29" s="15" t="n">
        <f aca="false">Sources_Uses!$B$20*(1+Inputs!$B$45)^G$3</f>
        <v>127.5069150593</v>
      </c>
      <c r="H29" s="15" t="n">
        <f aca="false">Sources_Uses!$B$20*(1+Inputs!$B$45)^H$3</f>
        <v>135.157329962858</v>
      </c>
      <c r="I29" s="15" t="n">
        <f aca="false">Sources_Uses!$B$20*(1+Inputs!$B$45)^I$3</f>
        <v>143.266769760629</v>
      </c>
      <c r="J29" s="15" t="n">
        <f aca="false">Sources_Uses!$B$20*(1+Inputs!$B$45)^J$3</f>
        <v>151.862775946267</v>
      </c>
      <c r="K29" s="15" t="n">
        <f aca="false">Sources_Uses!$B$20*(1+Inputs!$B$45)^K$3</f>
        <v>160.974542503043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6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" t="s">
        <v>195</v>
      </c>
    </row>
    <row r="4" customFormat="false" ht="15" hidden="false" customHeight="true" outlineLevel="0" collapsed="false">
      <c r="A4" s="1" t="s">
        <v>196</v>
      </c>
      <c r="B4" s="18" t="n">
        <f aca="false">IF(ISBLANK(Inputs!$B$79),SDE_Bridge!$C$21,Inputs!$B$79)</f>
        <v>4.78915662650602</v>
      </c>
    </row>
    <row r="5" customFormat="false" ht="15" hidden="false" customHeight="true" outlineLevel="0" collapsed="false">
      <c r="A5" s="1" t="s">
        <v>197</v>
      </c>
      <c r="B5" s="15" t="n">
        <f aca="false">INDEX(Operations!$B$6:$K$6,Inputs!$B$78)</f>
        <v>373.66892492</v>
      </c>
    </row>
    <row r="6" customFormat="false" ht="15" hidden="false" customHeight="true" outlineLevel="0" collapsed="false">
      <c r="A6" s="1" t="s">
        <v>198</v>
      </c>
      <c r="B6" s="15" t="n">
        <f aca="false">B4*B5</f>
        <v>1789.5590079</v>
      </c>
    </row>
    <row r="7" customFormat="false" ht="15" hidden="false" customHeight="true" outlineLevel="0" collapsed="false">
      <c r="A7" s="1" t="s">
        <v>199</v>
      </c>
      <c r="B7" s="15" t="n">
        <f aca="false">B6*Inputs!$B$80</f>
        <v>107.373540474</v>
      </c>
    </row>
    <row r="8" customFormat="false" ht="15" hidden="false" customHeight="true" outlineLevel="0" collapsed="false">
      <c r="A8" s="1" t="s">
        <v>200</v>
      </c>
      <c r="B8" s="15" t="n">
        <f aca="false">INDEX(Operations!$B$27:$K$27,Inputs!$B$78)+INDEX(Operations!$B$28:$K$28,Inputs!$B$78)+INDEX(Operations!$B$29:$K$29,Inputs!$B$78)</f>
        <v>1010.33193215701</v>
      </c>
    </row>
    <row r="9" customFormat="false" ht="15" hidden="false" customHeight="true" outlineLevel="0" collapsed="false">
      <c r="A9" s="1" t="s">
        <v>201</v>
      </c>
      <c r="B9" s="15" t="n">
        <f aca="false">Sources_Uses!$B$34+SUMPRODUCT((Operations!$B$3:$K$3&lt;=Inputs!$B$78)*Operations!$B$9:$K$9)</f>
        <v>225.101762</v>
      </c>
    </row>
    <row r="10" customFormat="false" ht="15" hidden="false" customHeight="true" outlineLevel="0" collapsed="false">
      <c r="A10" s="1" t="s">
        <v>202</v>
      </c>
      <c r="B10" s="15" t="n">
        <f aca="false">Inputs!$B$66*MAX(0,1-Inputs!$B$78/Inputs!$B$74)+SUMPRODUCT((Operations!$B$3:$K$3&lt;=Inputs!$B$78)*Operations!$B$7:$K$7*((Inputs!$B$74-(Inputs!$B$78-Operations!$B$3:$K$3+0.5))&gt;0)*(1-(Inputs!$B$78-Operations!$B$3:$K$3+0.5)/Inputs!$B$74))</f>
        <v>112.160199160714</v>
      </c>
    </row>
    <row r="11" customFormat="false" ht="15" hidden="false" customHeight="true" outlineLevel="0" collapsed="false">
      <c r="A11" s="1" t="s">
        <v>203</v>
      </c>
      <c r="B11" s="15" t="n">
        <f aca="false">SUMPRODUCT((Operations!$B$3:$K$3&lt;=Inputs!$B$78)*Operations!$B$10:$K$10)</f>
        <v>222.72839525</v>
      </c>
    </row>
    <row r="12" customFormat="false" ht="15" hidden="false" customHeight="true" outlineLevel="0" collapsed="false">
      <c r="A12" s="1" t="s">
        <v>204</v>
      </c>
      <c r="B12" s="15" t="n">
        <f aca="false">B10-(Inputs!$B$66+SUMPRODUCT((Operations!$B$3:$K$3&lt;=Inputs!$B$78)*Operations!$B$7:$K$7)-B11)</f>
        <v>112.160199160714</v>
      </c>
    </row>
    <row r="13" customFormat="false" ht="15" hidden="false" customHeight="true" outlineLevel="0" collapsed="false">
      <c r="A13" s="1" t="s">
        <v>205</v>
      </c>
      <c r="B13" s="15" t="n">
        <f aca="false">B6-B7-B9-B10</f>
        <v>1344.92350626529</v>
      </c>
    </row>
    <row r="14" customFormat="false" ht="15" hidden="false" customHeight="true" outlineLevel="0" collapsed="false">
      <c r="A14" s="1" t="s">
        <v>206</v>
      </c>
      <c r="B14" s="15" t="n">
        <f aca="false">SUMPRODUCT((Operations!$B$3:$K$3&lt;=Inputs!$B$78)*Operations!$B$11:$K$11)</f>
        <v>456.666666666667</v>
      </c>
    </row>
    <row r="15" customFormat="false" ht="15" hidden="false" customHeight="true" outlineLevel="0" collapsed="false">
      <c r="A15" s="1" t="s">
        <v>207</v>
      </c>
      <c r="B15" s="15" t="n">
        <f aca="false">B13-(Sources_Uses!$B$35+Inputs!$B$40-B14)</f>
        <v>431.590172931953</v>
      </c>
    </row>
    <row r="16" customFormat="false" ht="15" hidden="false" customHeight="true" outlineLevel="0" collapsed="false">
      <c r="A16" s="1" t="s">
        <v>208</v>
      </c>
      <c r="B16" s="15" t="n">
        <f aca="false">MIN(MAX(B12,0),B11)+MIN(MAX(B15,0),B14)+MIN((MAX(B12-MIN(MAX(B12,0),B11),0)+MAX(B15-MIN(MAX(B15,0),B14),0)+MIN(B12,0)+MIN(B15,0)),0)</f>
        <v>543.750372092667</v>
      </c>
    </row>
    <row r="17" customFormat="false" ht="15" hidden="false" customHeight="true" outlineLevel="0" collapsed="false">
      <c r="A17" s="1" t="s">
        <v>209</v>
      </c>
      <c r="B17" s="15" t="n">
        <f aca="false">MAX((MAX(B12-MIN(MAX(B12,0),B11),0)+MAX(B15-MIN(MAX(B15,0),B14),0)+MIN(B12,0)+MIN(B15,0)),0)</f>
        <v>0</v>
      </c>
    </row>
    <row r="18" customFormat="false" ht="15" hidden="false" customHeight="true" outlineLevel="0" collapsed="false">
      <c r="A18" s="1" t="s">
        <v>210</v>
      </c>
      <c r="B18" s="15" t="n">
        <f aca="false">Sources_Uses!$B$18-SUMPRODUCT((Operations!$B$3:$K$3&lt;=Inputs!$B$78)*Operations!$B$12:$K$12)</f>
        <v>18.8734375</v>
      </c>
    </row>
    <row r="19" customFormat="false" ht="15" hidden="false" customHeight="true" outlineLevel="0" collapsed="false">
      <c r="A19" s="1" t="s">
        <v>211</v>
      </c>
      <c r="B19" s="15" t="n">
        <f aca="false">(MAX(B16-B18,0)-MIN(INDEX(Operations!$B$18:$K$18,Inputs!$B$78),Inputs!$B$72*MAX(B16-B18,0)))*Inputs!$B$71+B17*Inputs!$B$75</f>
        <v>157.4630803778</v>
      </c>
    </row>
    <row r="20" customFormat="false" ht="15" hidden="false" customHeight="true" outlineLevel="0" collapsed="false">
      <c r="A20" s="1" t="s">
        <v>212</v>
      </c>
      <c r="B20" s="15" t="n">
        <f aca="false">Inputs!$B$39</f>
        <v>100</v>
      </c>
    </row>
    <row r="21" customFormat="false" ht="15" hidden="false" customHeight="true" outlineLevel="0" collapsed="false">
      <c r="A21" s="16" t="s">
        <v>213</v>
      </c>
      <c r="B21" s="15" t="n">
        <f aca="false">B6-B7-B8-B19+B20</f>
        <v>614.390454891192</v>
      </c>
    </row>
    <row r="23" customFormat="false" ht="15" hidden="false" customHeight="true" outlineLevel="0" collapsed="false">
      <c r="A23" s="16" t="s">
        <v>214</v>
      </c>
    </row>
    <row r="24" customFormat="false" ht="15" hidden="false" customHeight="true" outlineLevel="0" collapsed="false">
      <c r="A24" s="1" t="s">
        <v>168</v>
      </c>
      <c r="B24" s="1" t="n">
        <v>0</v>
      </c>
      <c r="C24" s="1" t="n">
        <v>1</v>
      </c>
      <c r="D24" s="1" t="n">
        <v>2</v>
      </c>
      <c r="E24" s="1" t="n">
        <v>3</v>
      </c>
      <c r="F24" s="1" t="n">
        <v>4</v>
      </c>
      <c r="G24" s="1" t="n">
        <v>5</v>
      </c>
      <c r="H24" s="1" t="n">
        <v>6</v>
      </c>
      <c r="I24" s="1" t="n">
        <v>7</v>
      </c>
      <c r="J24" s="1" t="n">
        <v>8</v>
      </c>
      <c r="K24" s="1" t="n">
        <v>9</v>
      </c>
      <c r="L24" s="1" t="n">
        <v>10</v>
      </c>
    </row>
    <row r="25" customFormat="false" ht="15" hidden="false" customHeight="true" outlineLevel="0" collapsed="false">
      <c r="A25" s="1" t="s">
        <v>215</v>
      </c>
      <c r="B25" s="15" t="n">
        <f aca="false">-Sources_Uses!$B$21</f>
        <v>-117.85953125</v>
      </c>
      <c r="C25" s="15" t="n">
        <f aca="false">IF(C24&lt;=Inputs!$B$78,INDEX(Operations!$B$25:$K$25,C24),0)+IF(C24=Inputs!$B$78,$B$21,0)</f>
        <v>42.290067811652</v>
      </c>
      <c r="D25" s="15" t="n">
        <f aca="false">IF(D24&lt;=Inputs!$B$78,INDEX(Operations!$B$25:$K$25,D24),0)+IF(D24=Inputs!$B$78,$B$21,0)</f>
        <v>32.2248101555389</v>
      </c>
      <c r="E25" s="15" t="n">
        <f aca="false">IF(E24&lt;=Inputs!$B$78,INDEX(Operations!$B$25:$K$25,E24),0)+IF(E24=Inputs!$B$78,$B$21,0)</f>
        <v>25.2292909223251</v>
      </c>
      <c r="F25" s="15" t="n">
        <f aca="false">IF(F24&lt;=Inputs!$B$78,INDEX(Operations!$B$25:$K$25,F24),0)+IF(F24=Inputs!$B$78,$B$21,0)</f>
        <v>27.9410392948398</v>
      </c>
      <c r="G25" s="15" t="n">
        <f aca="false">IF(G24&lt;=Inputs!$B$78,INDEX(Operations!$B$25:$K$25,G24),0)+IF(G24=Inputs!$B$78,$B$21,0)</f>
        <v>644.847415388721</v>
      </c>
      <c r="H25" s="15" t="n">
        <f aca="false">IF(H24&lt;=Inputs!$B$78,INDEX(Operations!$B$25:$K$25,H24),0)+IF(H24=Inputs!$B$78,$B$21,0)</f>
        <v>0</v>
      </c>
      <c r="I25" s="15" t="n">
        <f aca="false">IF(I24&lt;=Inputs!$B$78,INDEX(Operations!$B$25:$K$25,I24),0)+IF(I24=Inputs!$B$78,$B$21,0)</f>
        <v>0</v>
      </c>
      <c r="J25" s="15" t="n">
        <f aca="false">IF(J24&lt;=Inputs!$B$78,INDEX(Operations!$B$25:$K$25,J24),0)+IF(J24=Inputs!$B$78,$B$21,0)</f>
        <v>0</v>
      </c>
      <c r="K25" s="15" t="n">
        <f aca="false">IF(K24&lt;=Inputs!$B$78,INDEX(Operations!$B$25:$K$25,K24),0)+IF(K24=Inputs!$B$78,$B$21,0)</f>
        <v>0</v>
      </c>
      <c r="L25" s="15" t="n">
        <f aca="false">IF(L24&lt;=Inputs!$B$78,INDEX(Operations!$B$25:$K$25,L24),0)+IF(L24=Inputs!$B$78,$B$21,0)</f>
        <v>0</v>
      </c>
    </row>
    <row r="27" customFormat="false" ht="15" hidden="false" customHeight="true" outlineLevel="0" collapsed="false">
      <c r="A27" s="1" t="s">
        <v>216</v>
      </c>
      <c r="B27" s="19" t="n">
        <f aca="false">IFERROR(IRR(B25:L25),"none: never recovers")</f>
        <v>0.573202454292868</v>
      </c>
    </row>
    <row r="28" customFormat="false" ht="15" hidden="false" customHeight="true" outlineLevel="0" collapsed="false">
      <c r="A28" s="1" t="s">
        <v>217</v>
      </c>
      <c r="B28" s="18" t="n">
        <f aca="false">SUMIF(B25:L25,"&gt;0")/-SUMIF(B25:L25,"&lt;0")</f>
        <v>6.55468942884563</v>
      </c>
    </row>
    <row r="29" customFormat="false" ht="15" hidden="false" customHeight="true" outlineLevel="0" collapsed="false">
      <c r="A29" s="1" t="s">
        <v>218</v>
      </c>
      <c r="B29" s="15" t="n">
        <f aca="false">MIN(0,MIN(INDEX(Operations!$B$26:$K$26,1):INDEX(Operations!$B$26:$K$26,Inputs!$B$78)))</f>
        <v>0</v>
      </c>
    </row>
    <row r="30" customFormat="false" ht="15" hidden="false" customHeight="true" outlineLevel="0" collapsed="false">
      <c r="A30" s="1" t="s">
        <v>219</v>
      </c>
      <c r="B30" s="15" t="n">
        <f aca="false">Sources_Uses!$B$16</f>
        <v>1431</v>
      </c>
    </row>
    <row r="32" customFormat="false" ht="15" hidden="false" customHeight="true" outlineLevel="0" collapsed="false">
      <c r="A32" s="1" t="s">
        <v>220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221</v>
      </c>
    </row>
    <row r="3" customFormat="false" ht="15" hidden="false" customHeight="true" outlineLevel="0" collapsed="false">
      <c r="A3" s="1" t="s">
        <v>222</v>
      </c>
    </row>
    <row r="4" customFormat="false" ht="15" hidden="false" customHeight="true" outlineLevel="0" collapsed="false">
      <c r="A4" s="1" t="s">
        <v>223</v>
      </c>
    </row>
    <row r="5" customFormat="false" ht="15" hidden="false" customHeight="true" outlineLevel="0" collapsed="false">
      <c r="A5" s="1" t="s">
        <v>224</v>
      </c>
    </row>
    <row r="6" customFormat="false" ht="15" hidden="false" customHeight="true" outlineLevel="0" collapsed="false">
      <c r="A6" s="1" t="s">
        <v>225</v>
      </c>
    </row>
    <row r="7" customFormat="false" ht="15" hidden="false" customHeight="true" outlineLevel="0" collapsed="false">
      <c r="A7" s="1" t="s">
        <v>226</v>
      </c>
    </row>
    <row r="8" customFormat="false" ht="15" hidden="false" customHeight="true" outlineLevel="0" collapsed="false">
      <c r="A8" s="1" t="s">
        <v>227</v>
      </c>
    </row>
    <row r="9" customFormat="false" ht="15" hidden="false" customHeight="true" outlineLevel="0" collapsed="false">
      <c r="A9" s="1" t="s">
        <v>228</v>
      </c>
    </row>
    <row r="10" customFormat="false" ht="15" hidden="false" customHeight="true" outlineLevel="0" collapsed="false">
      <c r="A10" s="1" t="s">
        <v>229</v>
      </c>
    </row>
    <row r="11" customFormat="false" ht="15" hidden="false" customHeight="true" outlineLevel="0" collapsed="false">
      <c r="A11" s="1" t="s">
        <v>230</v>
      </c>
    </row>
    <row r="12" customFormat="false" ht="15" hidden="false" customHeight="true" outlineLevel="0" collapsed="false">
      <c r="A12" s="1" t="s">
        <v>231</v>
      </c>
    </row>
    <row r="13" customFormat="false" ht="15" hidden="false" customHeight="false" outlineLevel="0" collapsed="false">
      <c r="A13" s="1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8"/>
    <col collapsed="false" customWidth="true" hidden="false" outlineLevel="0" max="5" min="2" style="1" width="14"/>
    <col collapsed="false" customWidth="true" hidden="false" outlineLevel="0" max="6" min="6" style="0" width="11"/>
  </cols>
  <sheetData>
    <row r="1" customFormat="false" ht="17.25" hidden="false" customHeight="true" outlineLevel="0" collapsed="false">
      <c r="A1" s="2" t="s">
        <v>233</v>
      </c>
    </row>
    <row r="2" customFormat="false" ht="15" hidden="false" customHeight="true" outlineLevel="0" collapsed="false">
      <c r="A2" s="1" t="s">
        <v>234</v>
      </c>
    </row>
    <row r="4" customFormat="false" ht="15" hidden="false" customHeight="true" outlineLevel="0" collapsed="false">
      <c r="A4" s="16" t="s">
        <v>235</v>
      </c>
      <c r="B4" s="16" t="s">
        <v>236</v>
      </c>
      <c r="C4" s="16" t="s">
        <v>237</v>
      </c>
      <c r="D4" s="16" t="s">
        <v>238</v>
      </c>
      <c r="E4" s="16" t="s">
        <v>239</v>
      </c>
      <c r="F4" s="16" t="s">
        <v>240</v>
      </c>
    </row>
    <row r="5" customFormat="false" ht="15" hidden="false" customHeight="true" outlineLevel="0" collapsed="false">
      <c r="A5" s="1" t="s">
        <v>241</v>
      </c>
      <c r="B5" s="15" t="n">
        <f aca="false">SDE_Bridge!$B$13</f>
        <v>514</v>
      </c>
      <c r="C5" s="15" t="n">
        <v>514</v>
      </c>
      <c r="D5" s="24" t="n">
        <f aca="false">B5-C5</f>
        <v>0</v>
      </c>
      <c r="E5" s="1" t="str">
        <f aca="false">IF(ABS(D5)&lt;=F5,"OK","CHECK")</f>
        <v>OK</v>
      </c>
      <c r="F5" s="25" t="n">
        <v>0.05</v>
      </c>
    </row>
    <row r="6" customFormat="false" ht="15" hidden="false" customHeight="true" outlineLevel="0" collapsed="false">
      <c r="A6" s="1" t="s">
        <v>242</v>
      </c>
      <c r="B6" s="15" t="n">
        <f aca="false">SDE_Bridge!$C$13</f>
        <v>442</v>
      </c>
      <c r="C6" s="15" t="n">
        <v>442</v>
      </c>
      <c r="D6" s="24" t="n">
        <f aca="false">B6-C6</f>
        <v>0</v>
      </c>
      <c r="E6" s="1" t="str">
        <f aca="false">IF(ABS(D6)&lt;=F6,"OK","CHECK")</f>
        <v>OK</v>
      </c>
      <c r="F6" s="25" t="n">
        <v>0.05</v>
      </c>
    </row>
    <row r="7" customFormat="false" ht="15" hidden="false" customHeight="true" outlineLevel="0" collapsed="false">
      <c r="A7" s="1" t="s">
        <v>171</v>
      </c>
      <c r="B7" s="15" t="n">
        <f aca="false">SDE_Bridge!$C$15</f>
        <v>332</v>
      </c>
      <c r="C7" s="15" t="n">
        <v>332</v>
      </c>
      <c r="D7" s="24" t="n">
        <f aca="false">B7-C7</f>
        <v>0</v>
      </c>
      <c r="E7" s="1" t="str">
        <f aca="false">IF(ABS(D7)&lt;=F7,"OK","CHECK")</f>
        <v>OK</v>
      </c>
      <c r="F7" s="25" t="n">
        <v>0.05</v>
      </c>
    </row>
    <row r="8" customFormat="false" ht="15" hidden="false" customHeight="true" outlineLevel="0" collapsed="false">
      <c r="A8" s="1" t="s">
        <v>243</v>
      </c>
      <c r="B8" s="15" t="n">
        <f aca="false">SDE_Bridge!$C$17</f>
        <v>1850</v>
      </c>
      <c r="C8" s="15" t="n">
        <v>1850</v>
      </c>
      <c r="D8" s="24" t="n">
        <f aca="false">B8-C8</f>
        <v>0</v>
      </c>
      <c r="E8" s="1" t="str">
        <f aca="false">IF(ABS(D8)&lt;=F8,"OK","CHECK")</f>
        <v>OK</v>
      </c>
      <c r="F8" s="25" t="n">
        <v>0.05</v>
      </c>
    </row>
    <row r="9" customFormat="false" ht="15" hidden="false" customHeight="true" outlineLevel="0" collapsed="false">
      <c r="A9" s="1" t="s">
        <v>244</v>
      </c>
      <c r="B9" s="18" t="n">
        <f aca="false">SDE_Bridge!$C$21</f>
        <v>4.78915662650602</v>
      </c>
      <c r="C9" s="18" t="n">
        <v>4.789157</v>
      </c>
      <c r="D9" s="24" t="n">
        <f aca="false">B9-C9</f>
        <v>-3.73493976191241E-007</v>
      </c>
      <c r="E9" s="1" t="str">
        <f aca="false">IF(ABS(D9)&lt;=F9,"OK","CHECK")</f>
        <v>OK</v>
      </c>
      <c r="F9" s="25" t="n">
        <v>0.0005</v>
      </c>
    </row>
    <row r="10" customFormat="false" ht="15" hidden="false" customHeight="true" outlineLevel="0" collapsed="false">
      <c r="A10" s="1" t="s">
        <v>245</v>
      </c>
      <c r="B10" s="15" t="n">
        <f aca="false">Sources_Uses!$B$18</f>
        <v>37.746875</v>
      </c>
      <c r="C10" s="15" t="n">
        <v>37.746875</v>
      </c>
      <c r="D10" s="24" t="n">
        <f aca="false">B10-C10</f>
        <v>0</v>
      </c>
      <c r="E10" s="1" t="str">
        <f aca="false">IF(ABS(D10)&lt;=F10,"OK","CHECK")</f>
        <v>OK</v>
      </c>
      <c r="F10" s="25" t="n">
        <v>0.05</v>
      </c>
    </row>
    <row r="11" customFormat="false" ht="15" hidden="false" customHeight="true" outlineLevel="0" collapsed="false">
      <c r="A11" s="1" t="s">
        <v>246</v>
      </c>
      <c r="B11" s="15" t="n">
        <f aca="false">Sources_Uses!$B$19</f>
        <v>1797.746875</v>
      </c>
      <c r="C11" s="15" t="n">
        <v>1797.746875</v>
      </c>
      <c r="D11" s="24" t="n">
        <f aca="false">B11-C11</f>
        <v>0</v>
      </c>
      <c r="E11" s="1" t="str">
        <f aca="false">IF(ABS(D11)&lt;=F11,"OK","CHECK")</f>
        <v>OK</v>
      </c>
      <c r="F11" s="25" t="n">
        <v>0.05</v>
      </c>
    </row>
    <row r="12" customFormat="false" ht="15" hidden="false" customHeight="true" outlineLevel="0" collapsed="false">
      <c r="A12" s="1" t="s">
        <v>247</v>
      </c>
      <c r="B12" s="15" t="n">
        <f aca="false">Sources_Uses!$B$16</f>
        <v>1431</v>
      </c>
      <c r="C12" s="15" t="n">
        <v>1431</v>
      </c>
      <c r="D12" s="24" t="n">
        <f aca="false">B12-C12</f>
        <v>0</v>
      </c>
      <c r="E12" s="1" t="str">
        <f aca="false">IF(ABS(D12)&lt;=F12,"OK","CHECK")</f>
        <v>OK</v>
      </c>
      <c r="F12" s="25" t="n">
        <v>0.05</v>
      </c>
    </row>
    <row r="13" customFormat="false" ht="15" hidden="false" customHeight="true" outlineLevel="0" collapsed="false">
      <c r="A13" s="1" t="s">
        <v>248</v>
      </c>
      <c r="B13" s="15" t="n">
        <f aca="false">Sources_Uses!$B$20</f>
        <v>89.88734375</v>
      </c>
      <c r="C13" s="15" t="n">
        <v>89.887344</v>
      </c>
      <c r="D13" s="24" t="n">
        <f aca="false">B13-C13</f>
        <v>-2.49999985157956E-007</v>
      </c>
      <c r="E13" s="1" t="str">
        <f aca="false">IF(ABS(D13)&lt;=F13,"OK","CHECK")</f>
        <v>OK</v>
      </c>
      <c r="F13" s="25" t="n">
        <v>0.05</v>
      </c>
    </row>
    <row r="14" customFormat="false" ht="15" hidden="false" customHeight="true" outlineLevel="0" collapsed="false">
      <c r="A14" s="1" t="s">
        <v>140</v>
      </c>
      <c r="B14" s="15" t="n">
        <f aca="false">Sources_Uses!$B$21</f>
        <v>117.85953125</v>
      </c>
      <c r="C14" s="15" t="n">
        <v>117.859531</v>
      </c>
      <c r="D14" s="24" t="n">
        <f aca="false">B14-C14</f>
        <v>2.5000002779052E-007</v>
      </c>
      <c r="E14" s="1" t="str">
        <f aca="false">IF(ABS(D14)&lt;=F14,"OK","CHECK")</f>
        <v>OK</v>
      </c>
      <c r="F14" s="25" t="n">
        <v>0.05</v>
      </c>
    </row>
    <row r="15" customFormat="false" ht="15" hidden="false" customHeight="true" outlineLevel="0" collapsed="false">
      <c r="A15" s="1" t="s">
        <v>249</v>
      </c>
      <c r="B15" s="15" t="n">
        <f aca="false">Sources_Uses!$B$28</f>
        <v>226.929245373361</v>
      </c>
      <c r="C15" s="15" t="n">
        <v>226.929245</v>
      </c>
      <c r="D15" s="24" t="n">
        <f aca="false">B15-C15</f>
        <v>3.73361075389767E-007</v>
      </c>
      <c r="E15" s="1" t="str">
        <f aca="false">IF(ABS(D15)&lt;=F15,"OK","CHECK")</f>
        <v>OK</v>
      </c>
      <c r="F15" s="25" t="n">
        <v>0.05</v>
      </c>
    </row>
    <row r="16" customFormat="false" ht="15" hidden="false" customHeight="true" outlineLevel="0" collapsed="false">
      <c r="A16" s="1" t="s">
        <v>250</v>
      </c>
      <c r="B16" s="15" t="n">
        <f aca="false">Sources_Uses!$B$30</f>
        <v>264.709932188348</v>
      </c>
      <c r="C16" s="15" t="n">
        <v>264.709932</v>
      </c>
      <c r="D16" s="24" t="n">
        <f aca="false">B16-C16</f>
        <v>1.88347996754601E-007</v>
      </c>
      <c r="E16" s="1" t="str">
        <f aca="false">IF(ABS(D16)&lt;=F16,"OK","CHECK")</f>
        <v>OK</v>
      </c>
      <c r="F16" s="25" t="n">
        <v>0.05</v>
      </c>
    </row>
    <row r="17" customFormat="false" ht="15" hidden="false" customHeight="true" outlineLevel="0" collapsed="false">
      <c r="A17" s="1" t="s">
        <v>251</v>
      </c>
      <c r="B17" s="18" t="n">
        <f aca="false">Sources_Uses!$B$31</f>
        <v>1.25420303369567</v>
      </c>
      <c r="C17" s="18" t="n">
        <v>1.254203</v>
      </c>
      <c r="D17" s="24" t="n">
        <f aca="false">B17-C17</f>
        <v>3.36956658131271E-008</v>
      </c>
      <c r="E17" s="1" t="str">
        <f aca="false">IF(ABS(D17)&lt;=F17,"OK","CHECK")</f>
        <v>OK</v>
      </c>
      <c r="F17" s="25" t="n">
        <v>0.0005</v>
      </c>
    </row>
    <row r="18" customFormat="false" ht="15" hidden="false" customHeight="true" outlineLevel="0" collapsed="false">
      <c r="A18" s="1" t="s">
        <v>252</v>
      </c>
      <c r="B18" s="15" t="n">
        <f aca="false">Sources_Uses!$B$35</f>
        <v>1300</v>
      </c>
      <c r="C18" s="15" t="n">
        <v>1300</v>
      </c>
      <c r="D18" s="24" t="n">
        <f aca="false">B18-C18</f>
        <v>0</v>
      </c>
      <c r="E18" s="1" t="str">
        <f aca="false">IF(ABS(D18)&lt;=F18,"OK","CHECK")</f>
        <v>OK</v>
      </c>
      <c r="F18" s="25" t="n">
        <v>0.05</v>
      </c>
    </row>
    <row r="19" customFormat="false" ht="15" hidden="false" customHeight="true" outlineLevel="0" collapsed="false">
      <c r="A19" s="1" t="s">
        <v>253</v>
      </c>
      <c r="B19" s="18" t="n">
        <f aca="false">Operations!$B$24</f>
        <v>1.15976003417039</v>
      </c>
      <c r="C19" s="18" t="n">
        <v>1.15976</v>
      </c>
      <c r="D19" s="24" t="n">
        <f aca="false">B19-C19</f>
        <v>3.41703898509849E-008</v>
      </c>
      <c r="E19" s="1" t="str">
        <f aca="false">IF(ABS(D19)&lt;=F19,"OK","CHECK")</f>
        <v>OK</v>
      </c>
      <c r="F19" s="25" t="n">
        <v>0.0005</v>
      </c>
    </row>
    <row r="20" customFormat="false" ht="15" hidden="false" customHeight="true" outlineLevel="0" collapsed="false">
      <c r="A20" s="1" t="s">
        <v>254</v>
      </c>
      <c r="B20" s="15" t="n">
        <f aca="false">Operations!$B$25</f>
        <v>42.290067811652</v>
      </c>
      <c r="C20" s="15" t="n">
        <v>42.290068</v>
      </c>
      <c r="D20" s="24" t="n">
        <f aca="false">B20-C20</f>
        <v>-1.88347975438319E-007</v>
      </c>
      <c r="E20" s="1" t="str">
        <f aca="false">IF(ABS(D20)&lt;=F20,"OK","CHECK")</f>
        <v>OK</v>
      </c>
      <c r="F20" s="25" t="n">
        <v>0.05</v>
      </c>
    </row>
    <row r="21" customFormat="false" ht="15" hidden="false" customHeight="true" outlineLevel="0" collapsed="false">
      <c r="A21" s="1" t="s">
        <v>255</v>
      </c>
      <c r="B21" s="15" t="n">
        <f aca="false">Operations!$B$19</f>
        <v>0</v>
      </c>
      <c r="C21" s="15" t="n">
        <v>0</v>
      </c>
      <c r="D21" s="24" t="n">
        <f aca="false">B21-C21</f>
        <v>0</v>
      </c>
      <c r="E21" s="1" t="str">
        <f aca="false">IF(ABS(D21)&lt;=F21,"OK","CHECK")</f>
        <v>OK</v>
      </c>
      <c r="F21" s="25" t="n">
        <v>0.05</v>
      </c>
    </row>
    <row r="22" customFormat="false" ht="15" hidden="false" customHeight="true" outlineLevel="0" collapsed="false">
      <c r="A22" s="1" t="s">
        <v>256</v>
      </c>
      <c r="B22" s="18" t="n">
        <f aca="false">Operations!$C$24</f>
        <v>1.12173630920887</v>
      </c>
      <c r="C22" s="18" t="n">
        <v>1.121736</v>
      </c>
      <c r="D22" s="24" t="n">
        <f aca="false">B22-C22</f>
        <v>3.09208866955402E-007</v>
      </c>
      <c r="E22" s="1" t="str">
        <f aca="false">IF(ABS(D22)&lt;=F22,"OK","CHECK")</f>
        <v>OK</v>
      </c>
      <c r="F22" s="25" t="n">
        <v>0.0005</v>
      </c>
    </row>
    <row r="23" customFormat="false" ht="15" hidden="false" customHeight="true" outlineLevel="0" collapsed="false">
      <c r="A23" s="1" t="s">
        <v>257</v>
      </c>
      <c r="B23" s="15" t="n">
        <f aca="false">Operations!$C$25</f>
        <v>32.2248101555389</v>
      </c>
      <c r="C23" s="15" t="n">
        <v>32.22481</v>
      </c>
      <c r="D23" s="24" t="n">
        <f aca="false">B23-C23</f>
        <v>1.55538934620836E-007</v>
      </c>
      <c r="E23" s="1" t="str">
        <f aca="false">IF(ABS(D23)&lt;=F23,"OK","CHECK")</f>
        <v>OK</v>
      </c>
      <c r="F23" s="25" t="n">
        <v>0.05</v>
      </c>
    </row>
    <row r="24" customFormat="false" ht="15" hidden="false" customHeight="true" outlineLevel="0" collapsed="false">
      <c r="A24" s="1" t="s">
        <v>258</v>
      </c>
      <c r="B24" s="15" t="n">
        <f aca="false">Operations!$C$19</f>
        <v>13.2752576561131</v>
      </c>
      <c r="C24" s="15" t="n">
        <v>13.275258</v>
      </c>
      <c r="D24" s="24" t="n">
        <f aca="false">B24-C24</f>
        <v>-3.43886876308375E-007</v>
      </c>
      <c r="E24" s="1" t="str">
        <f aca="false">IF(ABS(D24)&lt;=F24,"OK","CHECK")</f>
        <v>OK</v>
      </c>
      <c r="F24" s="25" t="n">
        <v>0.05</v>
      </c>
    </row>
    <row r="25" customFormat="false" ht="15" hidden="false" customHeight="true" outlineLevel="0" collapsed="false">
      <c r="A25" s="1" t="s">
        <v>259</v>
      </c>
      <c r="B25" s="18" t="n">
        <f aca="false">Operations!$D$24</f>
        <v>1.09530919642401</v>
      </c>
      <c r="C25" s="18" t="n">
        <v>1.095309</v>
      </c>
      <c r="D25" s="24" t="n">
        <f aca="false">B25-C25</f>
        <v>1.96424007725682E-007</v>
      </c>
      <c r="E25" s="1" t="str">
        <f aca="false">IF(ABS(D25)&lt;=F25,"OK","CHECK")</f>
        <v>OK</v>
      </c>
      <c r="F25" s="25" t="n">
        <v>0.0005</v>
      </c>
    </row>
    <row r="26" customFormat="false" ht="15" hidden="false" customHeight="true" outlineLevel="0" collapsed="false">
      <c r="A26" s="1" t="s">
        <v>260</v>
      </c>
      <c r="B26" s="15" t="n">
        <f aca="false">Operations!$D$25</f>
        <v>25.2292909223251</v>
      </c>
      <c r="C26" s="15" t="n">
        <v>25.229291</v>
      </c>
      <c r="D26" s="24" t="n">
        <f aca="false">B26-C26</f>
        <v>-7.76749509157071E-008</v>
      </c>
      <c r="E26" s="1" t="str">
        <f aca="false">IF(ABS(D26)&lt;=F26,"OK","CHECK")</f>
        <v>OK</v>
      </c>
      <c r="F26" s="25" t="n">
        <v>0.05</v>
      </c>
    </row>
    <row r="27" customFormat="false" ht="15" hidden="false" customHeight="true" outlineLevel="0" collapsed="false">
      <c r="A27" s="1" t="s">
        <v>261</v>
      </c>
      <c r="B27" s="15" t="n">
        <f aca="false">Operations!$D$19</f>
        <v>29.577076889327</v>
      </c>
      <c r="C27" s="15" t="n">
        <v>29.577077</v>
      </c>
      <c r="D27" s="24" t="n">
        <f aca="false">B27-C27</f>
        <v>-1.10673031628039E-007</v>
      </c>
      <c r="E27" s="1" t="str">
        <f aca="false">IF(ABS(D27)&lt;=F27,"OK","CHECK")</f>
        <v>OK</v>
      </c>
      <c r="F27" s="25" t="n">
        <v>0.05</v>
      </c>
    </row>
    <row r="28" customFormat="false" ht="15" hidden="false" customHeight="true" outlineLevel="0" collapsed="false">
      <c r="A28" s="1" t="s">
        <v>262</v>
      </c>
      <c r="B28" s="18" t="n">
        <f aca="false">Operations!$E$24</f>
        <v>1.10555342243433</v>
      </c>
      <c r="C28" s="18" t="n">
        <v>1.105553</v>
      </c>
      <c r="D28" s="24" t="n">
        <f aca="false">B28-C28</f>
        <v>4.22434331071031E-007</v>
      </c>
      <c r="E28" s="1" t="str">
        <f aca="false">IF(ABS(D28)&lt;=F28,"OK","CHECK")</f>
        <v>OK</v>
      </c>
      <c r="F28" s="25" t="n">
        <v>0.0005</v>
      </c>
    </row>
    <row r="29" customFormat="false" ht="15" hidden="false" customHeight="true" outlineLevel="0" collapsed="false">
      <c r="A29" s="1" t="s">
        <v>263</v>
      </c>
      <c r="B29" s="15" t="n">
        <f aca="false">Operations!$E$25</f>
        <v>27.9410392948398</v>
      </c>
      <c r="C29" s="15" t="n">
        <v>27.941039</v>
      </c>
      <c r="D29" s="24" t="n">
        <f aca="false">B29-C29</f>
        <v>2.9483981123235E-007</v>
      </c>
      <c r="E29" s="1" t="str">
        <f aca="false">IF(ABS(D29)&lt;=F29,"OK","CHECK")</f>
        <v>OK</v>
      </c>
      <c r="F29" s="25" t="n">
        <v>0.05</v>
      </c>
    </row>
    <row r="30" customFormat="false" ht="15" hidden="false" customHeight="true" outlineLevel="0" collapsed="false">
      <c r="A30" s="1" t="s">
        <v>264</v>
      </c>
      <c r="B30" s="15" t="n">
        <f aca="false">Operations!$E$19</f>
        <v>36.4508175168122</v>
      </c>
      <c r="C30" s="15" t="n">
        <v>36.450818</v>
      </c>
      <c r="D30" s="24" t="n">
        <f aca="false">B30-C30</f>
        <v>-4.83187776012528E-007</v>
      </c>
      <c r="E30" s="1" t="str">
        <f aca="false">IF(ABS(D30)&lt;=F30,"OK","CHECK")</f>
        <v>OK</v>
      </c>
      <c r="F30" s="25" t="n">
        <v>0.05</v>
      </c>
    </row>
    <row r="31" customFormat="false" ht="15" hidden="false" customHeight="true" outlineLevel="0" collapsed="false">
      <c r="A31" s="1" t="s">
        <v>265</v>
      </c>
      <c r="B31" s="18" t="n">
        <f aca="false">Operations!$F$24</f>
        <v>1.11505786823238</v>
      </c>
      <c r="C31" s="18" t="n">
        <v>1.115058</v>
      </c>
      <c r="D31" s="24" t="n">
        <f aca="false">B31-C31</f>
        <v>-1.31767621480705E-007</v>
      </c>
      <c r="E31" s="1" t="str">
        <f aca="false">IF(ABS(D31)&lt;=F31,"OK","CHECK")</f>
        <v>OK</v>
      </c>
      <c r="F31" s="25" t="n">
        <v>0.0005</v>
      </c>
    </row>
    <row r="32" customFormat="false" ht="15" hidden="false" customHeight="true" outlineLevel="0" collapsed="false">
      <c r="A32" s="1" t="s">
        <v>266</v>
      </c>
      <c r="B32" s="15" t="n">
        <f aca="false">Operations!$F$25</f>
        <v>30.4569604975288</v>
      </c>
      <c r="C32" s="15" t="n">
        <v>30.45696</v>
      </c>
      <c r="D32" s="24" t="n">
        <f aca="false">B32-C32</f>
        <v>4.97528827025917E-007</v>
      </c>
      <c r="E32" s="1" t="str">
        <f aca="false">IF(ABS(D32)&lt;=F32,"OK","CHECK")</f>
        <v>OK</v>
      </c>
      <c r="F32" s="25" t="n">
        <v>0.05</v>
      </c>
    </row>
    <row r="33" customFormat="false" ht="15" hidden="false" customHeight="true" outlineLevel="0" collapsed="false">
      <c r="A33" s="1" t="s">
        <v>267</v>
      </c>
      <c r="B33" s="15" t="n">
        <f aca="false">Operations!$F$19</f>
        <v>43.8079499841232</v>
      </c>
      <c r="C33" s="15" t="n">
        <v>43.80795</v>
      </c>
      <c r="D33" s="24" t="n">
        <f aca="false">B33-C33</f>
        <v>-1.58768003188925E-008</v>
      </c>
      <c r="E33" s="1" t="str">
        <f aca="false">IF(ABS(D33)&lt;=F33,"OK","CHECK")</f>
        <v>OK</v>
      </c>
      <c r="F33" s="25" t="n">
        <v>0.05</v>
      </c>
    </row>
    <row r="34" customFormat="false" ht="15" hidden="false" customHeight="true" outlineLevel="0" collapsed="false">
      <c r="A34" s="1" t="s">
        <v>268</v>
      </c>
      <c r="B34" s="15" t="n">
        <f aca="false">Exit_Returns!$B$21</f>
        <v>614.390454891192</v>
      </c>
      <c r="C34" s="15" t="n">
        <v>614.390455</v>
      </c>
      <c r="D34" s="24" t="n">
        <f aca="false">B34-C34</f>
        <v>-1.08808194454468E-007</v>
      </c>
      <c r="E34" s="1" t="str">
        <f aca="false">IF(ABS(D34)&lt;=F34,"OK","CHECK")</f>
        <v>OK</v>
      </c>
      <c r="F34" s="25" t="n">
        <v>0.05</v>
      </c>
    </row>
    <row r="35" customFormat="false" ht="15" hidden="false" customHeight="true" outlineLevel="0" collapsed="false">
      <c r="A35" s="1" t="s">
        <v>211</v>
      </c>
      <c r="B35" s="15" t="n">
        <f aca="false">Exit_Returns!$B$19</f>
        <v>157.4630803778</v>
      </c>
      <c r="C35" s="15" t="n">
        <v>157.46308</v>
      </c>
      <c r="D35" s="24" t="n">
        <f aca="false">B35-C35</f>
        <v>3.77800091655445E-007</v>
      </c>
      <c r="E35" s="1" t="str">
        <f aca="false">IF(ABS(D35)&lt;=F35,"OK","CHECK")</f>
        <v>OK</v>
      </c>
      <c r="F35" s="25" t="n">
        <v>0.05</v>
      </c>
    </row>
    <row r="36" customFormat="false" ht="15" hidden="false" customHeight="true" outlineLevel="0" collapsed="false">
      <c r="A36" s="1" t="s">
        <v>216</v>
      </c>
      <c r="B36" s="19" t="n">
        <f aca="false">Exit_Returns!$B$27</f>
        <v>0.573202454292868</v>
      </c>
      <c r="C36" s="19" t="n">
        <v>0.573202</v>
      </c>
      <c r="D36" s="24" t="n">
        <f aca="false">B36-C36</f>
        <v>4.54292867768658E-007</v>
      </c>
      <c r="E36" s="1" t="str">
        <f aca="false">IF(ABS(D36)&lt;=F36,"OK","CHECK")</f>
        <v>OK</v>
      </c>
      <c r="F36" s="25" t="n">
        <v>0.0005</v>
      </c>
    </row>
    <row r="37" customFormat="false" ht="15" hidden="false" customHeight="true" outlineLevel="0" collapsed="false">
      <c r="A37" s="1" t="s">
        <v>269</v>
      </c>
      <c r="B37" s="18" t="n">
        <f aca="false">Exit_Returns!$B$28</f>
        <v>6.55468942884563</v>
      </c>
      <c r="C37" s="18" t="n">
        <v>6.554689</v>
      </c>
      <c r="D37" s="24" t="n">
        <f aca="false">B37-C37</f>
        <v>4.28845630118246E-007</v>
      </c>
      <c r="E37" s="1" t="str">
        <f aca="false">IF(ABS(D37)&lt;=F37,"OK","CHECK")</f>
        <v>OK</v>
      </c>
      <c r="F37" s="25" t="n">
        <v>0.0005</v>
      </c>
    </row>
    <row r="38" customFormat="false" ht="15" hidden="false" customHeight="true" outlineLevel="0" collapsed="false">
      <c r="A38" s="1" t="s">
        <v>270</v>
      </c>
      <c r="B38" s="15" t="n">
        <f aca="false">Exit_Returns!$B$29</f>
        <v>0</v>
      </c>
      <c r="C38" s="15" t="n">
        <v>0</v>
      </c>
      <c r="D38" s="24" t="n">
        <f aca="false">B38-C38</f>
        <v>0</v>
      </c>
      <c r="E38" s="1" t="str">
        <f aca="false">IF(ABS(D38)&lt;=F38,"OK","CHECK")</f>
        <v>OK</v>
      </c>
      <c r="F38" s="25" t="n">
        <v>0.05</v>
      </c>
    </row>
    <row r="40" customFormat="false" ht="15" hidden="false" customHeight="true" outlineLevel="0" collapsed="false">
      <c r="A40" s="16" t="s">
        <v>271</v>
      </c>
      <c r="E40" s="16"/>
    </row>
    <row r="41" customFormat="false" ht="15" hidden="false" customHeight="false" outlineLevel="0" collapsed="false">
      <c r="A41" s="1" t="s">
        <v>272</v>
      </c>
      <c r="B41" s="26" t="n">
        <f aca="false">ROUND(Sources_Uses!$B$31,2)</f>
        <v>1.25</v>
      </c>
      <c r="C41" s="26" t="n">
        <v>1.25</v>
      </c>
      <c r="D41" s="27" t="n">
        <f aca="false">B41-C41</f>
        <v>0</v>
      </c>
      <c r="E41" s="1" t="str">
        <f aca="false">IF(ABS(D41)&lt;=F41,"OK","CHECK")</f>
        <v>OK</v>
      </c>
      <c r="F41" s="28" t="n">
        <v>0</v>
      </c>
    </row>
    <row r="42" customFormat="false" ht="15" hidden="false" customHeight="false" outlineLevel="0" collapsed="false">
      <c r="A42" s="1" t="s">
        <v>273</v>
      </c>
      <c r="B42" s="26" t="n">
        <f aca="false">ROUND(MIN(Operations!$D$24:$F$24),2)</f>
        <v>1.1</v>
      </c>
      <c r="C42" s="26" t="n">
        <v>1.1</v>
      </c>
      <c r="D42" s="27" t="n">
        <f aca="false">B42-C42</f>
        <v>0</v>
      </c>
      <c r="E42" s="1" t="str">
        <f aca="false">IF(ABS(D42)&lt;=F42,"OK","CHECK")</f>
        <v>OK</v>
      </c>
      <c r="F42" s="28" t="n">
        <v>0</v>
      </c>
    </row>
    <row r="43" customFormat="false" ht="15" hidden="false" customHeight="false" outlineLevel="0" collapsed="false">
      <c r="A43" s="1" t="s">
        <v>274</v>
      </c>
      <c r="B43" s="26" t="n">
        <f aca="false">ROUND(MAX(Operations!$D$24:$F$24),2)</f>
        <v>1.12</v>
      </c>
      <c r="C43" s="26" t="n">
        <v>1.12</v>
      </c>
      <c r="D43" s="27" t="n">
        <f aca="false">B43-C43</f>
        <v>0</v>
      </c>
      <c r="E43" s="1" t="str">
        <f aca="false">IF(ABS(D43)&lt;=F43,"OK","CHECK")</f>
        <v>OK</v>
      </c>
      <c r="F43" s="28" t="n">
        <v>0</v>
      </c>
    </row>
    <row r="44" customFormat="false" ht="15" hidden="false" customHeight="false" outlineLevel="0" collapsed="false">
      <c r="A44" s="1" t="s">
        <v>275</v>
      </c>
      <c r="B44" s="26" t="n">
        <f aca="false">ROUND(Inputs!$B$9*0.34*Inputs!$B$85/SDE_Bridge!$C$15,2)</f>
        <v>0.77</v>
      </c>
      <c r="C44" s="26" t="n">
        <v>0.77</v>
      </c>
      <c r="D44" s="27" t="n">
        <f aca="false">B44-C44</f>
        <v>0</v>
      </c>
      <c r="E44" s="1" t="str">
        <f aca="false">IF(ABS(D44)&lt;=F44,"OK","CHECK")</f>
        <v>OK</v>
      </c>
      <c r="F44" s="28" t="n">
        <v>0</v>
      </c>
    </row>
    <row r="45" customFormat="false" ht="15" hidden="false" customHeight="false" outlineLevel="0" collapsed="false">
      <c r="A45" s="1" t="s">
        <v>276</v>
      </c>
      <c r="B45" s="26" t="n">
        <f aca="false">ROUND(SDE_Bridge!$C$17/1000,2)</f>
        <v>1.85</v>
      </c>
      <c r="C45" s="26" t="n">
        <v>1.85</v>
      </c>
      <c r="D45" s="27" t="n">
        <f aca="false">B45-C45</f>
        <v>0</v>
      </c>
      <c r="E45" s="1" t="str">
        <f aca="false">IF(ABS(D45)&lt;=F45,"OK","CHECK")</f>
        <v>OK</v>
      </c>
      <c r="F45" s="28" t="n">
        <v>0</v>
      </c>
    </row>
    <row r="46" customFormat="false" ht="15" hidden="false" customHeight="false" outlineLevel="0" collapsed="false">
      <c r="A46" s="1" t="s">
        <v>277</v>
      </c>
      <c r="B46" s="29" t="n">
        <f aca="false">IF(MIN(Operations!$D$24:$F$24)&gt;=Inputs!$B$54,1,0)</f>
        <v>0</v>
      </c>
      <c r="C46" s="29" t="n">
        <v>0</v>
      </c>
      <c r="D46" s="27" t="n">
        <f aca="false">B46-C46</f>
        <v>0</v>
      </c>
      <c r="E46" s="1" t="str">
        <f aca="false">IF(ABS(D46)&lt;=F46,"OK","CHECK")</f>
        <v>OK</v>
      </c>
      <c r="F46" s="28" t="n">
        <v>0</v>
      </c>
    </row>
    <row r="47" customFormat="false" ht="15" hidden="false" customHeight="false" outlineLevel="0" collapsed="false">
      <c r="A47" s="1" t="s">
        <v>278</v>
      </c>
      <c r="B47" s="30" t="n">
        <f aca="false">Sources_Uses!$B$49</f>
        <v>1595.34625886089</v>
      </c>
      <c r="C47" s="30" t="n">
        <v>1595.346259</v>
      </c>
      <c r="D47" s="27" t="n">
        <f aca="false">B47-C47</f>
        <v>-1.39113353725406E-007</v>
      </c>
      <c r="E47" s="1" t="str">
        <f aca="false">IF(ABS(D47)&lt;=F47,"OK","CHECK")</f>
        <v>OK</v>
      </c>
      <c r="F47" s="25" t="n">
        <v>0.05</v>
      </c>
    </row>
    <row r="48" customFormat="false" ht="15" hidden="false" customHeight="false" outlineLevel="0" collapsed="false">
      <c r="A48" s="1" t="s">
        <v>279</v>
      </c>
      <c r="B48" s="29" t="n">
        <f aca="false">IF(AND(Inputs!$B$34&lt;=Sources_Uses!$B$49,Sources_Uses!$B$49-Inputs!$B$34&lt;=0.01*Inputs!$B$34),1,0)</f>
        <v>1</v>
      </c>
      <c r="C48" s="29" t="n">
        <v>1</v>
      </c>
      <c r="D48" s="27" t="n">
        <f aca="false">B48-C48</f>
        <v>0</v>
      </c>
      <c r="E48" s="1" t="str">
        <f aca="false">IF(ABS(D48)&lt;=F48,"OK","CHECK")</f>
        <v>OK</v>
      </c>
      <c r="F48" s="28" t="n">
        <v>0</v>
      </c>
    </row>
    <row r="50" customFormat="false" ht="15" hidden="false" customHeight="false" outlineLevel="0" collapsed="false">
      <c r="A50" s="4" t="s">
        <v>280</v>
      </c>
    </row>
    <row r="51" customFormat="false" ht="15" hidden="false" customHeight="false" outlineLevel="0" collapsed="false">
      <c r="A51" s="1" t="s">
        <v>281</v>
      </c>
      <c r="B51" s="27" t="n">
        <f aca="false">SDE_Bridge!$B$13-SDE_Bridge!$C$13-SUM(SDE_Bridge!$D$4:$D$12)</f>
        <v>0</v>
      </c>
      <c r="C51" s="27" t="n">
        <v>0</v>
      </c>
      <c r="D51" s="27" t="n">
        <f aca="false">B51-C51</f>
        <v>0</v>
      </c>
      <c r="E51" s="1" t="str">
        <f aca="false">IF(ABS(D51)&lt;=F51,"OK","CHECK")</f>
        <v>OK</v>
      </c>
      <c r="F51" s="28" t="n">
        <v>1E-006</v>
      </c>
    </row>
    <row r="52" customFormat="false" ht="15" hidden="false" customHeight="false" outlineLevel="0" collapsed="false">
      <c r="A52" s="1" t="s">
        <v>282</v>
      </c>
      <c r="B52" s="27" t="n">
        <f aca="false">MAX(0,-Sources_Uses!$B$35)</f>
        <v>0</v>
      </c>
      <c r="C52" s="27" t="n">
        <v>0</v>
      </c>
      <c r="D52" s="27" t="n">
        <f aca="false">B52-C52</f>
        <v>0</v>
      </c>
      <c r="E52" s="1" t="str">
        <f aca="false">IF(ABS(D52)&lt;=F52,"OK","CHECK")</f>
        <v>OK</v>
      </c>
      <c r="F52" s="28" t="n">
        <v>1E-006</v>
      </c>
    </row>
    <row r="53" customFormat="false" ht="15" hidden="false" customHeight="false" outlineLevel="0" collapsed="false">
      <c r="A53" s="1" t="s">
        <v>283</v>
      </c>
      <c r="B53" s="27" t="n">
        <f aca="false">Sources_Uses!$B$16+Sources_Uses!$B$9+Sources_Uses!$B$20+Sources_Uses!$B$21-Sources_Uses!$B$19</f>
        <v>0</v>
      </c>
      <c r="C53" s="27" t="n">
        <v>0</v>
      </c>
      <c r="D53" s="27" t="n">
        <f aca="false">B53-C53</f>
        <v>0</v>
      </c>
      <c r="E53" s="1" t="str">
        <f aca="false">IF(ABS(D53)&lt;=F53,"OK","CHECK")</f>
        <v>OK</v>
      </c>
      <c r="F53" s="28" t="n">
        <v>1E-006</v>
      </c>
    </row>
    <row r="54" customFormat="false" ht="15" hidden="false" customHeight="false" outlineLevel="0" collapsed="false">
      <c r="A54" s="1" t="s">
        <v>284</v>
      </c>
      <c r="B54" s="27" t="n">
        <f aca="false">Sources_Uses!$B$15-((1-Inputs!$B$43)*(Sources_Uses!$B$8+IF(Sources_Uses!$B$15&lt;=150,Inputs!$B$55*0.85*Sources_Uses!$B$15,IF(Sources_Uses!$B$15&lt;=700,Inputs!$B$56*0.75*Sources_Uses!$B$15,Inputs!$B$57*MIN(0.75*Sources_Uses!$B$15,Inputs!$B$59)+Inputs!$B$58*MAX(0.75*Sources_Uses!$B$15-Inputs!$B$59,0))))-Sources_Uses!$B$9)</f>
        <v>0</v>
      </c>
      <c r="C54" s="27" t="n">
        <v>0</v>
      </c>
      <c r="D54" s="27" t="n">
        <f aca="false">B54-C54</f>
        <v>0</v>
      </c>
      <c r="E54" s="1" t="str">
        <f aca="false">IF(ABS(D54)&lt;=F54,"OK","CHECK")</f>
        <v>OK</v>
      </c>
      <c r="F54" s="28" t="n">
        <v>1E-006</v>
      </c>
    </row>
    <row r="55" customFormat="false" ht="15" hidden="false" customHeight="false" outlineLevel="0" collapsed="false">
      <c r="A55" s="1" t="s">
        <v>285</v>
      </c>
      <c r="B55" s="27" t="n">
        <f aca="false">Sources_Uses!$B$43-(Sources_Uses!$B$38+IF(Sources_Uses!$B$43&lt;=150,Inputs!$B$55*0.85*Sources_Uses!$B$43,IF(Sources_Uses!$B$43&lt;=700,Inputs!$B$56*0.75*Sources_Uses!$B$43,Inputs!$B$57*MIN(0.75*Sources_Uses!$B$43,Inputs!$B$59)+Inputs!$B$58*MAX(0.75*Sources_Uses!$B$43-Inputs!$B$59,0))))</f>
        <v>0</v>
      </c>
      <c r="C55" s="27" t="n">
        <v>0</v>
      </c>
      <c r="D55" s="27" t="n">
        <f aca="false">B55-C55</f>
        <v>0</v>
      </c>
      <c r="E55" s="1" t="str">
        <f aca="false">IF(ABS(D55)&lt;=F55,"OK","CHECK")</f>
        <v>OK</v>
      </c>
      <c r="F55" s="28" t="n">
        <v>1E-006</v>
      </c>
    </row>
    <row r="56" customFormat="false" ht="15" hidden="false" customHeight="false" outlineLevel="0" collapsed="false">
      <c r="A56" s="1" t="s">
        <v>286</v>
      </c>
      <c r="B56" s="27" t="n">
        <f aca="false">MAX(0,Sources_Uses!$B$16+Sources_Uses!$B$9-Sources_Uses!$B$10-IF(Inputs!$B$41=1,0,Sources_Uses!$B$8-Sources_Uses!$B$4+Sources_Uses!$B$18))</f>
        <v>0</v>
      </c>
      <c r="C56" s="27" t="n">
        <v>0</v>
      </c>
      <c r="D56" s="27" t="n">
        <f aca="false">B56-C56</f>
        <v>0</v>
      </c>
      <c r="E56" s="1" t="str">
        <f aca="false">IF(ABS(D56)&lt;=F56,"OK","CHECK")</f>
        <v>OK</v>
      </c>
      <c r="F56" s="28" t="n">
        <v>1E-006</v>
      </c>
    </row>
    <row r="57" customFormat="false" ht="15" hidden="false" customHeight="false" outlineLevel="0" collapsed="false">
      <c r="A57" s="1" t="s">
        <v>287</v>
      </c>
      <c r="B57" s="27" t="n">
        <f aca="false">MAX(0,Inputs!$B$43*Sources_Uses!$B$19-Sources_Uses!$B$21-Sources_Uses!$B$20)</f>
        <v>0</v>
      </c>
      <c r="C57" s="27" t="n">
        <v>0</v>
      </c>
      <c r="D57" s="27" t="n">
        <f aca="false">B57-C57</f>
        <v>0</v>
      </c>
      <c r="E57" s="1" t="str">
        <f aca="false">IF(ABS(D57)&lt;=F57,"OK","CHECK")</f>
        <v>OK</v>
      </c>
      <c r="F57" s="28" t="n">
        <v>1E-006</v>
      </c>
    </row>
    <row r="58" customFormat="false" ht="15" hidden="false" customHeight="false" outlineLevel="0" collapsed="false">
      <c r="A58" s="1" t="s">
        <v>288</v>
      </c>
      <c r="B58" s="27" t="n">
        <f aca="false">IF(Inputs!$B$53&lt;=10,Sources_Uses!$B$16-SUM(Operations!$B$20:$K$20)+SUM(Operations!$B$13:$K$13),0)</f>
        <v>3.41060513164848E-012</v>
      </c>
      <c r="C58" s="27" t="n">
        <v>0</v>
      </c>
      <c r="D58" s="27" t="n">
        <f aca="false">B58-C58</f>
        <v>3.41060513164848E-012</v>
      </c>
      <c r="E58" s="1" t="str">
        <f aca="false">IF(ABS(D58)&lt;=F58,"OK","CHECK")</f>
        <v>OK</v>
      </c>
      <c r="F58" s="28" t="n">
        <v>1E-006</v>
      </c>
    </row>
    <row r="59" customFormat="false" ht="15" hidden="false" customHeight="false" outlineLevel="0" collapsed="false">
      <c r="A59" s="1" t="s">
        <v>289</v>
      </c>
      <c r="B59" s="27" t="n">
        <f aca="false">IF(Inputs!$B$48&lt;=10,Sources_Uses!$B$9-SUM(Operations!$B$21:$K$21)+SUM(Operations!$B$14:$K$14),0)</f>
        <v>0</v>
      </c>
      <c r="C59" s="27" t="n">
        <v>0</v>
      </c>
      <c r="D59" s="27" t="n">
        <f aca="false">B59-C59</f>
        <v>0</v>
      </c>
      <c r="E59" s="1" t="str">
        <f aca="false">IF(ABS(D59)&lt;=F59,"OK","CHECK")</f>
        <v>OK</v>
      </c>
      <c r="F59" s="28" t="n">
        <v>1E-006</v>
      </c>
    </row>
    <row r="60" customFormat="false" ht="15" hidden="false" customHeight="false" outlineLevel="0" collapsed="false">
      <c r="A60" s="1" t="s">
        <v>290</v>
      </c>
      <c r="B60" s="27" t="n">
        <f aca="false">IF(Inputs!$B$53&gt;1,Operations!$B$27-(Sources_Uses!$B$16-(Operations!$B$20-Operations!$B$13)),0)</f>
        <v>0</v>
      </c>
      <c r="C60" s="27" t="n">
        <v>0</v>
      </c>
      <c r="D60" s="27" t="n">
        <f aca="false">B60-C60</f>
        <v>0</v>
      </c>
      <c r="E60" s="1" t="str">
        <f aca="false">IF(ABS(D60)&lt;=F60,"OK","CHECK")</f>
        <v>OK</v>
      </c>
      <c r="F60" s="28" t="n">
        <v>1E-006</v>
      </c>
    </row>
    <row r="61" customFormat="false" ht="15" hidden="false" customHeight="false" outlineLevel="0" collapsed="false">
      <c r="A61" s="1" t="s">
        <v>291</v>
      </c>
      <c r="B61" s="27" t="n">
        <f aca="false">IF(Inputs!$B$73=1,-SUMIF(Operations!$B$16:$K$16,"&lt;0")-SUM(Operations!$B$17:$K$17)-Operations!$K$18,SUM(Operations!$B$17:$K$18))</f>
        <v>0</v>
      </c>
      <c r="C61" s="27" t="n">
        <v>0</v>
      </c>
      <c r="D61" s="27" t="n">
        <f aca="false">B61-C61</f>
        <v>0</v>
      </c>
      <c r="E61" s="1" t="str">
        <f aca="false">IF(ABS(D61)&lt;=F61,"OK","CHECK")</f>
        <v>OK</v>
      </c>
      <c r="F61" s="28" t="n">
        <v>1E-006</v>
      </c>
    </row>
    <row r="62" customFormat="false" ht="15" hidden="false" customHeight="false" outlineLevel="0" collapsed="false">
      <c r="A62" s="1" t="s">
        <v>292</v>
      </c>
      <c r="B62" s="27" t="n">
        <f aca="false">SUMPRODUCT((Operations!$B$17:$K$17&gt;Inputs!$B$72*(Operations!$B$16:$K$16&gt;0)*Operations!$B$16:$K$16+0.000001)*1)</f>
        <v>0</v>
      </c>
      <c r="C62" s="27" t="n">
        <v>0</v>
      </c>
      <c r="D62" s="27" t="n">
        <f aca="false">B62-C62</f>
        <v>0</v>
      </c>
      <c r="E62" s="1" t="str">
        <f aca="false">IF(ABS(D62)&lt;=F62,"OK","CHECK")</f>
        <v>OK</v>
      </c>
      <c r="F62" s="28" t="n">
        <v>1E-006</v>
      </c>
    </row>
    <row r="63" customFormat="false" ht="15" hidden="false" customHeight="false" outlineLevel="0" collapsed="false">
      <c r="A63" s="1" t="s">
        <v>293</v>
      </c>
      <c r="B63" s="27" t="n">
        <f aca="false">(Operations!$B$24-1)*Operations!$B$22-Operations!$B$25</f>
        <v>0</v>
      </c>
      <c r="C63" s="27" t="n">
        <v>0</v>
      </c>
      <c r="D63" s="27" t="n">
        <f aca="false">B63-C63</f>
        <v>0</v>
      </c>
      <c r="E63" s="1" t="str">
        <f aca="false">IF(ABS(D63)&lt;=F63,"OK","CHECK")</f>
        <v>OK</v>
      </c>
      <c r="F63" s="28" t="n">
        <v>1E-006</v>
      </c>
    </row>
    <row r="64" customFormat="false" ht="15" hidden="false" customHeight="false" outlineLevel="0" collapsed="false">
      <c r="A64" s="1" t="s">
        <v>294</v>
      </c>
      <c r="B64" s="27" t="n">
        <f aca="false">Sources_Uses!$B$31-Operations!$B$23</f>
        <v>0</v>
      </c>
      <c r="C64" s="27" t="n">
        <v>0</v>
      </c>
      <c r="D64" s="27" t="n">
        <f aca="false">B64-C64</f>
        <v>0</v>
      </c>
      <c r="E64" s="1" t="str">
        <f aca="false">IF(ABS(D64)&lt;=F64,"OK","CHECK")</f>
        <v>OK</v>
      </c>
      <c r="F64" s="28" t="n">
        <v>1E-006</v>
      </c>
    </row>
    <row r="65" customFormat="false" ht="15" hidden="false" customHeight="false" outlineLevel="0" collapsed="false">
      <c r="A65" s="1" t="s">
        <v>295</v>
      </c>
      <c r="B65" s="27" t="n">
        <f aca="false">Sources_Uses!$B$20+SUM(Operations!$B$15:$K$15)-Operations!$K$29</f>
        <v>0</v>
      </c>
      <c r="C65" s="27" t="n">
        <v>0</v>
      </c>
      <c r="D65" s="27" t="n">
        <f aca="false">B65-C65</f>
        <v>0</v>
      </c>
      <c r="E65" s="1" t="str">
        <f aca="false">IF(ABS(D65)&lt;=F65,"OK","CHECK")</f>
        <v>OK</v>
      </c>
      <c r="F65" s="28" t="n">
        <v>1E-006</v>
      </c>
    </row>
    <row r="66" customFormat="false" ht="15" hidden="false" customHeight="false" outlineLevel="0" collapsed="false">
      <c r="A66" s="1" t="s">
        <v>296</v>
      </c>
      <c r="B66" s="27" t="n">
        <f aca="false">Exit_Returns!$B$16+Exit_Returns!$B$17-Exit_Returns!$B$12-Exit_Returns!$B$15</f>
        <v>0</v>
      </c>
      <c r="C66" s="27" t="n">
        <v>0</v>
      </c>
      <c r="D66" s="27" t="n">
        <f aca="false">B66-C66</f>
        <v>0</v>
      </c>
      <c r="E66" s="1" t="str">
        <f aca="false">IF(ABS(D66)&lt;=F66,"OK","CHECK")</f>
        <v>OK</v>
      </c>
      <c r="F66" s="28" t="n">
        <v>1E-006</v>
      </c>
    </row>
    <row r="67" customFormat="false" ht="15" hidden="false" customHeight="false" outlineLevel="0" collapsed="false">
      <c r="A67" s="1" t="s">
        <v>297</v>
      </c>
      <c r="B67" s="27" t="n">
        <f aca="false">MAX(0,Exit_Returns!$B$16-Exit_Returns!$B$11-Exit_Returns!$B$14)</f>
        <v>0</v>
      </c>
      <c r="C67" s="27" t="n">
        <v>0</v>
      </c>
      <c r="D67" s="27" t="n">
        <f aca="false">B67-C67</f>
        <v>0</v>
      </c>
      <c r="E67" s="1" t="str">
        <f aca="false">IF(ABS(D67)&lt;=F67,"OK","CHECK")</f>
        <v>OK</v>
      </c>
      <c r="F67" s="28" t="n">
        <v>1E-006</v>
      </c>
    </row>
    <row r="68" customFormat="false" ht="15" hidden="false" customHeight="false" outlineLevel="0" collapsed="false">
      <c r="A68" s="1" t="s">
        <v>298</v>
      </c>
      <c r="B68" s="27" t="n">
        <f aca="false">Exit_Returns!$B$9-Sources_Uses!$B$34*INDEX(Operations!$B$5:$K$5,Inputs!$B$78)/Inputs!$B$9</f>
        <v>0</v>
      </c>
      <c r="C68" s="27" t="n">
        <v>0</v>
      </c>
      <c r="D68" s="27" t="n">
        <f aca="false">B68-C68</f>
        <v>0</v>
      </c>
      <c r="E68" s="1" t="str">
        <f aca="false">IF(ABS(D68)&lt;=F68,"OK","CHECK")</f>
        <v>OK</v>
      </c>
      <c r="F68" s="28" t="n">
        <v>1E-006</v>
      </c>
    </row>
    <row r="69" customFormat="false" ht="15" hidden="false" customHeight="false" outlineLevel="0" collapsed="false">
      <c r="A69" s="1" t="s">
        <v>299</v>
      </c>
      <c r="B69" s="27" t="n">
        <f aca="false">MAX(0,-(Inputs!$B$66+SUMPRODUCT((Operations!$B$3:$K$3&lt;=Inputs!$B$78)*Operations!$B$7:$K$7)-Exit_Returns!$B$11))</f>
        <v>-0</v>
      </c>
      <c r="C69" s="27" t="n">
        <v>0</v>
      </c>
      <c r="D69" s="27" t="n">
        <f aca="false">B69-C69</f>
        <v>-0</v>
      </c>
      <c r="E69" s="1" t="str">
        <f aca="false">IF(ABS(D69)&lt;=F69,"OK","CHECK")</f>
        <v>OK</v>
      </c>
      <c r="F69" s="28" t="n">
        <v>1E-006</v>
      </c>
    </row>
    <row r="70" customFormat="false" ht="15" hidden="false" customHeight="false" outlineLevel="0" collapsed="false">
      <c r="A70" s="1" t="s">
        <v>300</v>
      </c>
      <c r="B70" s="27" t="n">
        <f aca="false">IF(ISNUMBER(Exit_Returns!$B$27),SUMPRODUCT(Exit_Returns!$B$25:$L$25/(1+Exit_Returns!$B$27)^Exit_Returns!$B$24:$L$24),0)</f>
        <v>0</v>
      </c>
      <c r="C70" s="27" t="n">
        <v>0</v>
      </c>
      <c r="D70" s="27" t="n">
        <f aca="false">B70-C70</f>
        <v>0</v>
      </c>
      <c r="E70" s="1" t="str">
        <f aca="false">IF(ABS(D70)&lt;=F70,"OK","CHECK")</f>
        <v>OK</v>
      </c>
      <c r="F70" s="25" t="n">
        <v>0.0001</v>
      </c>
    </row>
    <row r="72" customFormat="false" ht="15" hidden="false" customHeight="false" outlineLevel="0" collapsed="false">
      <c r="A72" s="4" t="s">
        <v>301</v>
      </c>
      <c r="B72" s="4" t="str">
        <f aca="false">COUNTIF(E5:E38,"OK")+COUNTIF(E41:E70,"OK")&amp;" of 62"</f>
        <v>62 of 62</v>
      </c>
      <c r="E72" s="4" t="str">
        <f aca="false">IF(COUNTIF(E5:E38,"OK")+COUNTIF(E41:E70,"OK")=62,"ALL OK","REVIEW")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2026-09-19T20:27:26Z</dcterms:created>
  <dc:creator>openpyxl</dc:creator>
  <dc:description/>
  <dc:language>en-US</dc:language>
  <cp:lastModifiedBy/>
  <dcterms:modified xsi:type="dcterms:W3CDTF">2026-09-24T20:28:29Z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