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Inputs" sheetId="2" state="visible" r:id="rId4"/>
    <sheet name="2. The Round" sheetId="3" state="visible" r:id="rId5"/>
    <sheet name="3. Plain Dilution" sheetId="4" state="visible" r:id="rId6"/>
    <sheet name="4. Pay-to-Play" sheetId="5" state="visible" r:id="rId7"/>
    <sheet name="5. The Programme" sheetId="6" state="visible" r:id="rId8"/>
    <sheet name="6. Sizing the Reserve" sheetId="7" state="visible" r:id="rId9"/>
    <sheet name="7. 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<sst xmlns="http://schemas.openxmlformats.org/spreadsheetml/2006/main" count="227" uniqueCount="197">
  <si>
    <t xml:space="preserve">What It Costs Not to Follow On</t>
  </si>
  <si>
    <t xml:space="preserve">A companion to Appendix F, and to Chapter 11</t>
  </si>
  <si>
    <t xml:space="preserve">Chapter 11 is about structuring, terms and legal documentation — dilution mechanics, pro-rata shares, expense loads, cost caps, preference stacks. In three thousand words it contains one number, and that number is a holding period. Its designated central warning tells the reader to "build a reserve policy into your program before the first deal, not after the first painful round", and never says how much.</t>
  </si>
  <si>
    <t xml:space="preserve">This file says how much. It is built on the book's own figures so that it reconciles rather than competes: the ten-million cheque of Chapter 3, the four-hundred equity value of Appendix E, the ten-deal programme Chapter 3 uses for diversification. Set the probability of a follow-on to zero and the programme returns exactly two times, which is Chapter 3's headline. Every input is a cell you can overwrite.</t>
  </si>
  <si>
    <t xml:space="preserve">Five things the arithmetic says</t>
  </si>
  <si>
    <t xml:space="preserve">One. At a fairly priced round, dilution is value-neutral on the day. A non-participant holding 2.50 per cent of a company marked down from four hundred to a two-hundred pre-money still holds five of value after the round, exactly as before. The damage was done by the markdown, which hits participants and non-participants alike. Chapter 11 warns of a stake "heavily eroded" by not following on; the erosion it describes is the markdown, not the dilution.</t>
  </si>
  <si>
    <t xml:space="preserve">Two. What you actually forgo is an option, and it has a price. Following on returns 2.33 times on the marginal dollars at a seven-hundred exit — but it only beats a two-times alternative if you believe the company exits above six hundred, which is twice the mark the rescue round just set. That is a demanding test and it is the right one.</t>
  </si>
  <si>
    <t xml:space="preserve">Three. Under a pay-to-play clause the same decision is not close. A one-times participating preference on the new money and a halving of non-participants' units takes the non-participant from 1.17 times to 0.50 times, lifts the marginal return to 5.00 times, and drops the break-even from six hundred to two hundred and fifty — below the round's own post-money. Same asset, same exit, one clause.</t>
  </si>
  <si>
    <t xml:space="preserve">Four. And that is the trap. The clause makes every individual follow-on look obvious while costing the programme 0.27 times of multiple. A practitioner running the standard marginal-dollar test will be right about the margin and wrong about the position.</t>
  </si>
  <si>
    <t xml:space="preserve">Five. The reserve has an optimum, it is smaller than the instinct, and its size depends on the clause rather than on the portfolio. Sheet 6 runs the whole programme as an expectation over the binomial distribution of how many deals come back. Under plain dilution the best reserve is 9.1 per cent, exactly enough to fund four raisers, and it is worth 0.044 times; a fifteen per cent reserve is worth 0.019 and a twenty per cent reserve LOSES money. Under pay-to-play the best is 13.0 per cent, enough for six raisers, and it is worth 0.29 times — fifteen times more, on the same portfolio.</t>
  </si>
  <si>
    <t xml:space="preserve">Which changes the instruction</t>
  </si>
  <si>
    <t xml:space="preserve">Chapter 11 says build the reserve policy before the first deal. On this arithmetic you cannot: the right reserve under one document is value-destroying under the other, and a blanket fifteen per cent applied to deals with plain pro-rata dilution takes capital out of the fee-advantaged sleeve that Chapter 3 spends its whole length arguing you should route capital into. The two chapters give opposing instructions about the same dollars.</t>
  </si>
  <si>
    <t xml:space="preserve">The reconciliation is a question, not a ratio: does this vehicle's shareholders' agreement contain a pay-to-play or punitive shadow-conversion mechanic, yes or no. Size the reserve from the answer. That is a line of diligence, and it is worth about a quarter of a turn of multiple.</t>
  </si>
  <si>
    <t xml:space="preserve">The sheets</t>
  </si>
  <si>
    <t xml:space="preserve">1. The Inputs — every figure in the file, in one place</t>
  </si>
  <si>
    <t xml:space="preserve">2. The Round — the markdown, the pro rata, and why dilution is value-neutral on the day</t>
  </si>
  <si>
    <t xml:space="preserve">3. Plain Dilution — one deal, followed and not followed, and the break-even that matters</t>
  </si>
  <si>
    <t xml:space="preserve">4. Pay-to-Play — the same deal under a punitive clause</t>
  </si>
  <si>
    <t xml:space="preserve">5. The Programme — ten deals, no reserve, both document regimes</t>
  </si>
  <si>
    <t xml:space="preserve">6. Sizing the Reserve — the expectation over the binomial, and the optimum</t>
  </si>
  <si>
    <t xml:space="preserve">7. Checks — every figure in the appendix, recomputed here</t>
  </si>
  <si>
    <t xml:space="preserve">Conventions</t>
  </si>
  <si>
    <t xml:space="preserve">Amber cells are inputs. Grey cells are formulas. Nothing is locked, protected or watermarked.</t>
  </si>
  <si>
    <t xml:space="preserve">Every company, round and exit here is fictional. The parameters are chosen so the arithmetic can be rebuilt and so that it ties back to Chapter 3 and Appendix E, not because they describe any particular market.</t>
  </si>
  <si>
    <t xml:space="preserve">Revised 22 September 2026. The preference on the new money is participating, as the arithmetic always assumed: the label said</t>
  </si>
  <si>
    <t xml:space="preserve">non-participating, and a non-participating preference would convert at a 700 exit. The two optimum reserves are 9.1 and 13.0 per cent,</t>
  </si>
  <si>
    <t xml:space="preserve">the points at which the reserve funds exactly four and six raisers (sheet 6, column H), not nine and a half and thirteen and a half.</t>
  </si>
  <si>
    <t xml:space="preserve">Every figure in this file</t>
  </si>
  <si>
    <t xml:space="preserve">Chapter 11 contains one number in three thousand words. These are the numbers it would need.</t>
  </si>
  <si>
    <t xml:space="preserve">Value</t>
  </si>
  <si>
    <t xml:space="preserve">Where it comes from</t>
  </si>
  <si>
    <t xml:space="preserve">Your co-investment cheque</t>
  </si>
  <si>
    <t xml:space="preserve">Chapter 3's worked example</t>
  </si>
  <si>
    <t xml:space="preserve">Company equity value at entry</t>
  </si>
  <si>
    <t xml:space="preserve">Appendix E's return bridge</t>
  </si>
  <si>
    <t xml:space="preserve">Programme capital</t>
  </si>
  <si>
    <t xml:space="preserve">Chapter 3's blended sleeve</t>
  </si>
  <si>
    <t xml:space="preserve">Deals in the programme</t>
  </si>
  <si>
    <t xml:space="preserve">Chapter 3's diversification target</t>
  </si>
  <si>
    <t xml:space="preserve">Probability a deal raises a follow-on</t>
  </si>
  <si>
    <t xml:space="preserve">illustrative — the key sensitivity</t>
  </si>
  <si>
    <t xml:space="preserve">Follow-on round: pre-money</t>
  </si>
  <si>
    <t xml:space="preserve">a 50 per cent markdown</t>
  </si>
  <si>
    <t xml:space="preserve">Follow-on round: new money</t>
  </si>
  <si>
    <t xml:space="preserve">Exit equity, deals that never raise</t>
  </si>
  <si>
    <t xml:space="preserve">two times your entry, tying to Chapter 3</t>
  </si>
  <si>
    <t xml:space="preserve">Exit equity, deals that needed rescue</t>
  </si>
  <si>
    <t xml:space="preserve">worse than a non-raiser, or the premise is dishonest</t>
  </si>
  <si>
    <t xml:space="preserve">Return on reserve capital while idle</t>
  </si>
  <si>
    <t xml:space="preserve">about three per cent a year for three years</t>
  </si>
  <si>
    <t xml:space="preserve">Your alternative use of a marginal dollar</t>
  </si>
  <si>
    <t xml:space="preserve">another co-investment at Chapter 3's gross</t>
  </si>
  <si>
    <t xml:space="preserve">Pay-to-play: preference on the new money</t>
  </si>
  <si>
    <t xml:space="preserve">one times, participating: it takes its hundred first and shares in the rest</t>
  </si>
  <si>
    <t xml:space="preserve">Pay-to-play: non-participants' units multiplied by</t>
  </si>
  <si>
    <t xml:space="preserve">a 2:1 shadow conversion</t>
  </si>
  <si>
    <t xml:space="preserve">Reserve policy, as a share of the programme</t>
  </si>
  <si>
    <t xml:space="preserve">the figure the instinct reaches for</t>
  </si>
  <si>
    <t xml:space="preserve">Set the probability on row 9 to zero and the programme on sheet 5 must return exactly two times, which is Chapter 3's headline for a no-fee co-investment. That is check 20, and it is the control that keeps this file honest with the book.</t>
  </si>
  <si>
    <t xml:space="preserve">The markdown, the pro rata, and what dilution actually does</t>
  </si>
  <si>
    <t xml:space="preserve">Chapter 11: a co-investor who does not follow on can find "an original stake heavily eroded".</t>
  </si>
  <si>
    <t xml:space="preserve">Reading</t>
  </si>
  <si>
    <t xml:space="preserve">Your ownership at entry</t>
  </si>
  <si>
    <t xml:space="preserve">the cheque over the equity value</t>
  </si>
  <si>
    <t xml:space="preserve">Post-money of the follow-on round</t>
  </si>
  <si>
    <t xml:space="preserve">The markdown</t>
  </si>
  <si>
    <t xml:space="preserve">what the round says about the company</t>
  </si>
  <si>
    <t xml:space="preserve">Your ownership if you do not follow on</t>
  </si>
  <si>
    <t xml:space="preserve">diluted pro rata</t>
  </si>
  <si>
    <t xml:space="preserve">Your pro rata cheque to hold your stake</t>
  </si>
  <si>
    <t xml:space="preserve">ownership times the NEW money</t>
  </si>
  <si>
    <t xml:space="preserve">Your ownership if you do follow on</t>
  </si>
  <si>
    <t xml:space="preserve">unchanged, by definition</t>
  </si>
  <si>
    <t xml:space="preserve">And the thing the chapter gets wrong</t>
  </si>
  <si>
    <t xml:space="preserve">Your value the day before the round</t>
  </si>
  <si>
    <t xml:space="preserve">Your value the day after, having not followed on</t>
  </si>
  <si>
    <t xml:space="preserve">DIFFERENCE</t>
  </si>
  <si>
    <t xml:space="preserve">Nothing was taken from you by the dilution. Your percentage fell and your value did not move, because the new money bought exactly what it paid for. What cost you money was the markdown from four hundred to two hundred, and that hit everyone in the capital structure equally, whether they wrote a follow-on cheque or not.</t>
  </si>
  <si>
    <t xml:space="preserve">So the warning in Chapter 11 is aimed at the wrong thing. What a non-participant gives up is not value already held — it is the option to buy more at the marked-down price. That option has a price, and the next sheet computes it. Calling it erosion of the stake invites the reflex to defend the percentage, which is the expensive mistake rather than the prudent one.</t>
  </si>
  <si>
    <t xml:space="preserve">One deal, followed and not followed</t>
  </si>
  <si>
    <t xml:space="preserve">Plain pro-rata dilution: the documents contain no penalty for declining.</t>
  </si>
  <si>
    <t xml:space="preserve">Followed on</t>
  </si>
  <si>
    <t xml:space="preserve">Did not</t>
  </si>
  <si>
    <t xml:space="preserve">Capital in</t>
  </si>
  <si>
    <t xml:space="preserve">Ownership at exit</t>
  </si>
  <si>
    <t xml:space="preserve">Proceeds</t>
  </si>
  <si>
    <t xml:space="preserve">MULTIPLE</t>
  </si>
  <si>
    <t xml:space="preserve">The follow-on dollars on their own</t>
  </si>
  <si>
    <t xml:space="preserve">Extra ownership bought</t>
  </si>
  <si>
    <t xml:space="preserve">What it cost</t>
  </si>
  <si>
    <t xml:space="preserve">What it returns</t>
  </si>
  <si>
    <t xml:space="preserve">MARGINAL MULTIPLE</t>
  </si>
  <si>
    <t xml:space="preserve">The break-even that actually decides it</t>
  </si>
  <si>
    <t xml:space="preserve">The marginal multiple looks good. But the money has an alternative use — another co-investment at Chapter 3's two times gross. The follow-on is only the better decision above the exit value at which it matches that.</t>
  </si>
  <si>
    <t xml:space="preserve">Cost of the follow-on</t>
  </si>
  <si>
    <t xml:space="preserve">What that money would earn elsewhere</t>
  </si>
  <si>
    <t xml:space="preserve">BREAK-EVEN EXIT EQUITY</t>
  </si>
  <si>
    <t xml:space="preserve">  as a multiple of the entry equity value</t>
  </si>
  <si>
    <t xml:space="preserve">  as a multiple of the round's own post-money</t>
  </si>
  <si>
    <t xml:space="preserve">Twice the mark the rescue round has just set, in a company that missed plan badly enough to need rescuing. That is the test, and it is a demanding one — which is the useful thing to know before the round rather than during it.</t>
  </si>
  <si>
    <t xml:space="preserve">The same deal, one clause different</t>
  </si>
  <si>
    <t xml:space="preserve">Chapter 11: non-participation may trigger a penalty, the interest "not merely diluted but converted or subordinated on punitive terms".</t>
  </si>
  <si>
    <t xml:space="preserve">Ownership in the residual</t>
  </si>
  <si>
    <t xml:space="preserve">Residual after the preference</t>
  </si>
  <si>
    <t xml:space="preserve">Preference returned to you</t>
  </si>
  <si>
    <t xml:space="preserve">MARGINAL MULTIPLE ON THE FOLLOW-ON</t>
  </si>
  <si>
    <t xml:space="preserve">Below the round's own post-money. Which means that under this clause you should follow on in almost every state of the world — and you should notice that nothing about the company changed to make that true. The sponsor engineered an attractive marginal return by punishing refusal.</t>
  </si>
  <si>
    <t xml:space="preserve">What the clause costs you if you cannot follow on</t>
  </si>
  <si>
    <t xml:space="preserve">turns of multiple, on one deal</t>
  </si>
  <si>
    <t xml:space="preserve">This is the paragraph of Chapter 11 that most deserved a number, because the difference between the two document regimes is the entire content of the warning and the reader is given no way to price it. It is worth two thirds of a turn on the deal, and — as sheet 6 shows — about a quarter of a turn across a whole programme.</t>
  </si>
  <si>
    <t xml:space="preserve">Ten deals, no reserve, both document regimes</t>
  </si>
  <si>
    <t xml:space="preserve">The whole programme deployed into initial cheques, which is the behaviour Chapter 11 warns against.</t>
  </si>
  <si>
    <t xml:space="preserve">Plain dilution</t>
  </si>
  <si>
    <t xml:space="preserve">Pay-to-play</t>
  </si>
  <si>
    <t xml:space="preserve">Deals that never raise</t>
  </si>
  <si>
    <t xml:space="preserve">  value of each</t>
  </si>
  <si>
    <t xml:space="preserve">Deals that raise</t>
  </si>
  <si>
    <t xml:space="preserve">  value of each, undefended</t>
  </si>
  <si>
    <t xml:space="preserve">TOTAL VALUE</t>
  </si>
  <si>
    <t xml:space="preserve">PROGRAMME MULTIPLE</t>
  </si>
  <si>
    <t xml:space="preserve">What the clause costs the programme</t>
  </si>
  <si>
    <t xml:space="preserve">So the clause that makes each individual follow-on look obvious costs the programme a quarter of a turn of multiple. A practitioner applying the standard marginal-dollar test to each deal in turn will conclude "follow on" every time, and will be right about the margin and wrong about the position. That is the shape of good money after bad: it does not look like a bad decision at the margin, because it is not one.</t>
  </si>
  <si>
    <t xml:space="preserve">The control that keeps this file honest with the book</t>
  </si>
  <si>
    <t xml:space="preserve">Set the probability of a follow-on to zero and the programme returns</t>
  </si>
  <si>
    <t xml:space="preserve">Which is Chapter 3's two times gross on a no-fee co-investment. If that cell is not two, the extension does not reconcile with the book and nothing else on this sheet should be believed.</t>
  </si>
  <si>
    <t xml:space="preserve">How much to hold back, taken as an expectation</t>
  </si>
  <si>
    <t xml:space="preserve">Not the average number of raisers — the whole distribution. The reserve either covers a draw or it does not, and that is a step, not a slope.</t>
  </si>
  <si>
    <t xml:space="preserve">Reserve policy</t>
  </si>
  <si>
    <t xml:space="preserve">Reserve that funds exactly n raisers</t>
  </si>
  <si>
    <t xml:space="preserve">Reserve held back</t>
  </si>
  <si>
    <t xml:space="preserve">n</t>
  </si>
  <si>
    <t xml:space="preserve">reserve policy</t>
  </si>
  <si>
    <t xml:space="preserve">Initial cheque</t>
  </si>
  <si>
    <t xml:space="preserve">Ownership at entry</t>
  </si>
  <si>
    <t xml:space="preserve">Pro rata per raiser</t>
  </si>
  <si>
    <t xml:space="preserve">Raisers the reserve can fund</t>
  </si>
  <si>
    <t xml:space="preserve">Value of a deal that never raises</t>
  </si>
  <si>
    <t xml:space="preserve">Value of a raiser, followed on</t>
  </si>
  <si>
    <t xml:space="preserve">plain:</t>
  </si>
  <si>
    <t xml:space="preserve">Value of a raiser, not funded</t>
  </si>
  <si>
    <t xml:space="preserve">column B is the pay-to-play regime; column D the plain-dilution regime</t>
  </si>
  <si>
    <t xml:space="preserve">Raisers</t>
  </si>
  <si>
    <t xml:space="preserve">Probability</t>
  </si>
  <si>
    <t xml:space="preserve">Funded</t>
  </si>
  <si>
    <t xml:space="preserve">Left idle</t>
  </si>
  <si>
    <t xml:space="preserve">Total value — plain</t>
  </si>
  <si>
    <t xml:space="preserve">Total value — p2p</t>
  </si>
  <si>
    <t xml:space="preserve">The optimum always sits on one of these points: between them, extra reserve funds nothing and earns the idle rate.</t>
  </si>
  <si>
    <t xml:space="preserve">Probability of six or more raisers</t>
  </si>
  <si>
    <t xml:space="preserve">Probability of seven or more raisers</t>
  </si>
  <si>
    <t xml:space="preserve">EXPECTED PROGRAMME MULTIPLE</t>
  </si>
  <si>
    <t xml:space="preserve">No reserve, for comparison</t>
  </si>
  <si>
    <t xml:space="preserve">WHAT THE RESERVE IS WORTH</t>
  </si>
  <si>
    <t xml:space="preserve">Probability the reserve runs dry</t>
  </si>
  <si>
    <t xml:space="preserve">Change the reserve policy on row 4 and read row 30. Under plain dilution the value peaks at 9.1 per cent, where the reserve funds exactly four raisers, and turns negative somewhere before twenty: past the optimum the reserve is taking capital out of a two-times sleeve and parking it at 1.09. Under pay-to-play the optimum is 13.0 per cent, six raisers, and the value is fifteen times larger. Same portfolio, same companies, same probabilities — one clause.</t>
  </si>
  <si>
    <t xml:space="preserve">Which is why "build a reserve policy into your program before the first deal" cannot be executed as written. The right reserve under one set of documents destroys value under the other, and the document is not knowable before the deal. What is knowable before the deal is the question to ask of every shareholders' agreement, and the answer is worth about a quarter of a turn.</t>
  </si>
  <si>
    <t xml:space="preserve">Every figure in Appendix F, recomputed here</t>
  </si>
  <si>
    <t xml:space="preserve">Nothing here is reproduced from Chapter 11 — it prints one number. These check the appendix against the file, and the file against Chapter 3.</t>
  </si>
  <si>
    <t xml:space="preserve">Figure</t>
  </si>
  <si>
    <t xml:space="preserve">Appendix F</t>
  </si>
  <si>
    <t xml:space="preserve">This file</t>
  </si>
  <si>
    <t xml:space="preserve">Status</t>
  </si>
  <si>
    <t xml:space="preserve">Note</t>
  </si>
  <si>
    <t xml:space="preserve">tol 0.0002</t>
  </si>
  <si>
    <t xml:space="preserve">Ownership if you do not follow on</t>
  </si>
  <si>
    <t xml:space="preserve">Pro rata cheque</t>
  </si>
  <si>
    <t xml:space="preserve">tol 0.01</t>
  </si>
  <si>
    <t xml:space="preserve">Value change at the round</t>
  </si>
  <si>
    <t xml:space="preserve">tol 0.005</t>
  </si>
  <si>
    <t xml:space="preserve">Plain: multiple, followed on</t>
  </si>
  <si>
    <t xml:space="preserve">Plain: multiple, did not</t>
  </si>
  <si>
    <t xml:space="preserve">Plain: marginal multiple</t>
  </si>
  <si>
    <t xml:space="preserve">Plain: break-even exit equity</t>
  </si>
  <si>
    <t xml:space="preserve">tol 1.0</t>
  </si>
  <si>
    <t xml:space="preserve">  as a multiple of the new post-money</t>
  </si>
  <si>
    <t xml:space="preserve">Pay-to-play: multiple, followed on</t>
  </si>
  <si>
    <t xml:space="preserve">Pay-to-play: multiple, did not</t>
  </si>
  <si>
    <t xml:space="preserve">Pay-to-play: marginal multiple</t>
  </si>
  <si>
    <t xml:space="preserve">tol 0.02</t>
  </si>
  <si>
    <t xml:space="preserve">Pay-to-play: break-even exit equity</t>
  </si>
  <si>
    <t xml:space="preserve">What the clause costs on one deal</t>
  </si>
  <si>
    <t xml:space="preserve">Programme, no reserve, plain dilution</t>
  </si>
  <si>
    <t xml:space="preserve">tol 0.003</t>
  </si>
  <si>
    <t xml:space="preserve">Programme, no reserve, pay-to-play</t>
  </si>
  <si>
    <t xml:space="preserve">A 15% reserve is worth, plain dilution</t>
  </si>
  <si>
    <t xml:space="preserve">tol 0.002</t>
  </si>
  <si>
    <t xml:space="preserve">A 15% reserve is worth, pay-to-play</t>
  </si>
  <si>
    <t xml:space="preserve">Probability a 15% reserve runs dry</t>
  </si>
  <si>
    <t xml:space="preserve">Reconciles with Chapter 3: at zero follow-ons the programme returns 2.00x</t>
  </si>
  <si>
    <t xml:space="preserve">the control on the whole file</t>
  </si>
  <si>
    <t xml:space="preserve">The binomial probabilities sum to one</t>
  </si>
  <si>
    <t xml:space="preserve">must be 1</t>
  </si>
  <si>
    <t xml:space="preserve">Dilution at a fairly priced round is value-neutral</t>
  </si>
  <si>
    <t xml:space="preserve">must be 0 — the chapter implies otherwise</t>
  </si>
  <si>
    <t xml:space="preserve">The pay-to-play break-even is BELOW the round's own post-money</t>
  </si>
  <si>
    <t xml:space="preserve">must be under 1.00x</t>
  </si>
  <si>
    <t xml:space="preserve">Checks passing</t>
  </si>
</sst>
</file>

<file path=xl/styles.xml><?xml version="1.0" encoding="utf-8"?>
<styleSheet xmlns="http://schemas.openxmlformats.org/spreadsheetml/2006/main">
  <numFmts count="10">
    <numFmt numFmtId="164" formatCode="General"/>
    <numFmt numFmtId="165" formatCode="#,##0.00"/>
    <numFmt numFmtId="166" formatCode="0"/>
    <numFmt numFmtId="167" formatCode="0.0%"/>
    <numFmt numFmtId="168" formatCode="0.00\x"/>
    <numFmt numFmtId="169" formatCode="0.00%"/>
    <numFmt numFmtId="170" formatCode="0.0"/>
    <numFmt numFmtId="171" formatCode="\+0.000\x;\-0.000\x"/>
    <numFmt numFmtId="172" formatCode="0.0000"/>
    <numFmt numFmtId="173" formatCode="0.00000"/>
  </numFmts>
  <fonts count="16">
    <font>
      <sz val="11"/>
      <color theme="1"/>
      <name val="Calibri"/>
      <family val="2"/>
      <charset val="1"/>
    </font>
    <font>
      <sz val="10"/>
      <name val="Arial"/>
      <family val="0"/>
    </font>
    <font>
      <sz val="10"/>
      <name val="Arial"/>
      <family val="0"/>
    </font>
    <font>
      <sz val="10"/>
      <name val="Arial"/>
      <family val="0"/>
    </font>
    <font>
      <b val="true"/>
      <sz val="15"/>
      <color rgb="FF1F2733"/>
      <name val="Cambria"/>
      <family val="0"/>
      <charset val="1"/>
    </font>
    <font>
      <i val="true"/>
      <sz val="10"/>
      <color rgb="FF5A6470"/>
      <name val="Cambria"/>
      <family val="0"/>
      <charset val="1"/>
    </font>
    <font>
      <sz val="10.5"/>
      <color rgb="FF1F2733"/>
      <name val="Cambria"/>
      <family val="0"/>
      <charset val="1"/>
    </font>
    <font>
      <b val="true"/>
      <sz val="11.5"/>
      <color rgb="FF1F2733"/>
      <name val="Cambria"/>
      <family val="0"/>
      <charset val="1"/>
    </font>
    <font>
      <i val="true"/>
      <sz val="11"/>
      <color rgb="FF555555"/>
      <name val="Cambria"/>
      <family val="0"/>
      <charset val="1"/>
    </font>
    <font>
      <b val="true"/>
      <sz val="14"/>
      <color rgb="FF1F2733"/>
      <name val="Cambria"/>
      <family val="0"/>
      <charset val="1"/>
    </font>
    <font>
      <b val="true"/>
      <sz val="10"/>
      <color rgb="FFFFFFFF"/>
      <name val="Cambria"/>
      <family val="0"/>
      <charset val="1"/>
    </font>
    <font>
      <b val="true"/>
      <sz val="11"/>
      <color rgb="FF1B4E8C"/>
      <name val="Cambria"/>
      <family val="0"/>
      <charset val="1"/>
    </font>
    <font>
      <sz val="11"/>
      <color rgb="FF1F2733"/>
      <name val="Cambria"/>
      <family val="0"/>
      <charset val="1"/>
    </font>
    <font>
      <b val="true"/>
      <sz val="10.5"/>
      <color rgb="FF1F2733"/>
      <name val="Cambria"/>
      <family val="0"/>
      <charset val="1"/>
    </font>
    <font>
      <b val="true"/>
      <sz val="11"/>
      <color rgb="FF1F2733"/>
      <name val="Cambria"/>
      <family val="0"/>
      <charset val="1"/>
    </font>
    <font>
      <b val="true"/>
      <sz val="11"/>
      <name val="Cambria"/>
      <family val="0"/>
      <charset val="1"/>
    </font>
  </fonts>
  <fills count="7">
    <fill>
      <patternFill patternType="none"/>
    </fill>
    <fill>
      <patternFill patternType="gray125"/>
    </fill>
    <fill>
      <patternFill patternType="solid">
        <fgColor rgb="FF1F2733"/>
        <bgColor rgb="FF003366"/>
      </patternFill>
    </fill>
    <fill>
      <patternFill patternType="solid">
        <fgColor rgb="FFFDF3DC"/>
        <bgColor rgb="FFFBF0E4"/>
      </patternFill>
    </fill>
    <fill>
      <patternFill patternType="solid">
        <fgColor rgb="FFF1F3F5"/>
        <bgColor rgb="FFEDEDED"/>
      </patternFill>
    </fill>
    <fill>
      <patternFill patternType="solid">
        <fgColor rgb="FFFBF0E4"/>
        <bgColor rgb="FFFDF3DC"/>
      </patternFill>
    </fill>
    <fill>
      <patternFill patternType="solid">
        <fgColor rgb="FFEDEDED"/>
        <bgColor rgb="FFF1F3F5"/>
      </patternFill>
    </fill>
  </fills>
  <borders count="2">
    <border diagonalUp="false" diagonalDown="false">
      <left/>
      <right/>
      <top/>
      <bottom/>
      <diagonal/>
    </border>
    <border diagonalUp="false" diagonalDown="false">
      <left style="thin">
        <color rgb="FFC9CFD6"/>
      </left>
      <right style="thin">
        <color rgb="FFC9CFD6"/>
      </right>
      <top style="thin">
        <color rgb="FFC9CFD6"/>
      </top>
      <bottom style="thin">
        <color rgb="FFC9CF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11" fillId="3" borderId="1" xfId="0" applyFont="true" applyBorder="true" applyAlignment="false" applyProtection="false">
      <alignment horizontal="general" vertical="bottom" textRotation="0" wrapText="false" indent="0" shrinkToFit="false"/>
      <protection locked="true" hidden="false"/>
    </xf>
    <xf numFmtId="164" fontId="12" fillId="4" borderId="1" xfId="0" applyFont="true" applyBorder="true" applyAlignment="false" applyProtection="false">
      <alignment horizontal="general" vertical="bottom" textRotation="0" wrapText="false" indent="0" shrinkToFit="false"/>
      <protection locked="true" hidden="false"/>
    </xf>
    <xf numFmtId="166" fontId="11" fillId="3" borderId="1" xfId="0" applyFont="true" applyBorder="true" applyAlignment="false" applyProtection="false">
      <alignment horizontal="general" vertical="bottom" textRotation="0" wrapText="false" indent="0" shrinkToFit="false"/>
      <protection locked="true" hidden="false"/>
    </xf>
    <xf numFmtId="167" fontId="11" fillId="3" borderId="1" xfId="0" applyFont="true" applyBorder="true" applyAlignment="false" applyProtection="false">
      <alignment horizontal="general" vertical="bottom" textRotation="0" wrapText="false" indent="0" shrinkToFit="false"/>
      <protection locked="true" hidden="false"/>
    </xf>
    <xf numFmtId="168" fontId="11" fillId="3"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9" fontId="14" fillId="4" borderId="1" xfId="0" applyFont="true" applyBorder="true" applyAlignment="false" applyProtection="false">
      <alignment horizontal="general" vertical="bottom" textRotation="0" wrapText="false" indent="0" shrinkToFit="false"/>
      <protection locked="true" hidden="false"/>
    </xf>
    <xf numFmtId="165" fontId="12" fillId="4" borderId="1" xfId="0" applyFont="true" applyBorder="true" applyAlignment="false" applyProtection="false">
      <alignment horizontal="general" vertical="bottom" textRotation="0" wrapText="false" indent="0" shrinkToFit="false"/>
      <protection locked="true" hidden="false"/>
    </xf>
    <xf numFmtId="167" fontId="12" fillId="4" borderId="1" xfId="0" applyFont="true" applyBorder="true" applyAlignment="false" applyProtection="false">
      <alignment horizontal="general" vertical="bottom" textRotation="0" wrapText="false" indent="0" shrinkToFit="false"/>
      <protection locked="true" hidden="false"/>
    </xf>
    <xf numFmtId="169" fontId="12" fillId="4" borderId="1" xfId="0" applyFont="true" applyBorder="true" applyAlignment="false" applyProtection="false">
      <alignment horizontal="general" vertical="bottom" textRotation="0" wrapText="false" indent="0" shrinkToFit="false"/>
      <protection locked="true" hidden="false"/>
    </xf>
    <xf numFmtId="165" fontId="14" fillId="5" borderId="1" xfId="0" applyFont="true" applyBorder="true" applyAlignment="false" applyProtection="false">
      <alignment horizontal="general" vertical="bottom" textRotation="0" wrapText="false" indent="0" shrinkToFit="false"/>
      <protection locked="true" hidden="false"/>
    </xf>
    <xf numFmtId="168" fontId="14" fillId="5" borderId="1" xfId="0" applyFont="true" applyBorder="true" applyAlignment="false" applyProtection="false">
      <alignment horizontal="general" vertical="bottom" textRotation="0" wrapText="false" indent="0" shrinkToFit="false"/>
      <protection locked="true" hidden="false"/>
    </xf>
    <xf numFmtId="168" fontId="12" fillId="4" borderId="1" xfId="0" applyFont="true" applyBorder="true" applyAlignment="false" applyProtection="false">
      <alignment horizontal="general" vertical="bottom" textRotation="0" wrapText="false" indent="0" shrinkToFit="false"/>
      <protection locked="true" hidden="false"/>
    </xf>
    <xf numFmtId="168" fontId="14" fillId="4" borderId="1" xfId="0" applyFont="true" applyBorder="true" applyAlignment="false" applyProtection="false">
      <alignment horizontal="general" vertical="bottom" textRotation="0" wrapText="false" indent="0" shrinkToFit="false"/>
      <protection locked="true" hidden="false"/>
    </xf>
    <xf numFmtId="170" fontId="12" fillId="4" borderId="1" xfId="0" applyFont="true" applyBorder="true" applyAlignment="false" applyProtection="false">
      <alignment horizontal="general" vertical="bottom" textRotation="0" wrapText="false" indent="0" shrinkToFit="false"/>
      <protection locked="true" hidden="false"/>
    </xf>
    <xf numFmtId="165" fontId="14" fillId="4" borderId="1" xfId="0" applyFont="true" applyBorder="true" applyAlignment="false" applyProtection="false">
      <alignment horizontal="general" vertical="bottom" textRotation="0" wrapText="false" indent="0" shrinkToFit="false"/>
      <protection locked="true" hidden="false"/>
    </xf>
    <xf numFmtId="171" fontId="14" fillId="5" borderId="1" xfId="0" applyFont="true" applyBorder="true" applyAlignment="false" applyProtection="false">
      <alignment horizontal="general" vertical="bottom" textRotation="0" wrapText="false" indent="0" shrinkToFit="false"/>
      <protection locked="true" hidden="false"/>
    </xf>
    <xf numFmtId="167" fontId="14" fillId="4"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7" fontId="0" fillId="6" borderId="0" xfId="0" applyFont="false" applyBorder="false" applyAlignment="false" applyProtection="false">
      <alignment horizontal="general" vertical="bottom" textRotation="0" wrapText="false" indent="0" shrinkToFit="false"/>
      <protection locked="true" hidden="false"/>
    </xf>
    <xf numFmtId="166" fontId="14" fillId="4" borderId="1" xfId="0" applyFont="true" applyBorder="true" applyAlignment="false" applyProtection="false">
      <alignment horizontal="general" vertical="bottom" textRotation="0" wrapText="false" indent="0" shrinkToFit="false"/>
      <protection locked="true" hidden="false"/>
    </xf>
    <xf numFmtId="172" fontId="12" fillId="4" borderId="1" xfId="0" applyFont="true" applyBorder="true" applyAlignment="false" applyProtection="false">
      <alignment horizontal="general" vertical="bottom" textRotation="0" wrapText="false" indent="0" shrinkToFit="false"/>
      <protection locked="true" hidden="false"/>
    </xf>
    <xf numFmtId="166" fontId="12" fillId="4" borderId="1"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4" fillId="4" borderId="1" xfId="0" applyFont="true" applyBorder="true" applyAlignment="false" applyProtection="false">
      <alignment horizontal="general" vertical="bottom" textRotation="0" wrapText="false" indent="0" shrinkToFit="false"/>
      <protection locked="true" hidden="false"/>
    </xf>
    <xf numFmtId="173" fontId="12" fillId="4" borderId="1" xfId="0" applyFont="true" applyBorder="true" applyAlignment="false" applyProtection="false">
      <alignment horizontal="general" vertical="bottom" textRotation="0" wrapText="false" indent="0" shrinkToFit="false"/>
      <protection locked="true" hidden="false"/>
    </xf>
    <xf numFmtId="164" fontId="14"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3DC"/>
      <rgbColor rgb="FFF1F3F5"/>
      <rgbColor rgb="FF660066"/>
      <rgbColor rgb="FFFF8080"/>
      <rgbColor rgb="FF0066CC"/>
      <rgbColor rgb="FFC9CFD6"/>
      <rgbColor rgb="FF000080"/>
      <rgbColor rgb="FFFF00FF"/>
      <rgbColor rgb="FFFFFF00"/>
      <rgbColor rgb="FF00FFFF"/>
      <rgbColor rgb="FF800080"/>
      <rgbColor rgb="FF800000"/>
      <rgbColor rgb="FF008080"/>
      <rgbColor rgb="FF0000FF"/>
      <rgbColor rgb="FF00CCFF"/>
      <rgbColor rgb="FFEDEDED"/>
      <rgbColor rgb="FFCCFFCC"/>
      <rgbColor rgb="FFFBF0E4"/>
      <rgbColor rgb="FF99CCFF"/>
      <rgbColor rgb="FFFF99CC"/>
      <rgbColor rgb="FFCC99FF"/>
      <rgbColor rgb="FFFFCC99"/>
      <rgbColor rgb="FF3366FF"/>
      <rgbColor rgb="FF33CCCC"/>
      <rgbColor rgb="FF99CC00"/>
      <rgbColor rgb="FFFFCC00"/>
      <rgbColor rgb="FFFF9900"/>
      <rgbColor rgb="FFFF6600"/>
      <rgbColor rgb="FF5A6470"/>
      <rgbColor rgb="FF969696"/>
      <rgbColor rgb="FF003366"/>
      <rgbColor rgb="FF339966"/>
      <rgbColor rgb="FF003300"/>
      <rgbColor rgb="FF555555"/>
      <rgbColor rgb="FF993300"/>
      <rgbColor rgb="FF993366"/>
      <rgbColor rgb="FF1B4E8C"/>
      <rgbColor rgb="FF1F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4"/>
  </cols>
  <sheetData>
    <row r="1" customFormat="false" ht="18.55" hidden="false" customHeight="false" outlineLevel="0" collapsed="false">
      <c r="A1" s="1" t="s">
        <v>0</v>
      </c>
    </row>
    <row r="2" customFormat="false" ht="15" hidden="false" customHeight="false" outlineLevel="0" collapsed="false">
      <c r="A2" s="2" t="s">
        <v>1</v>
      </c>
    </row>
    <row r="4" customFormat="false" ht="75" hidden="false" customHeight="true" outlineLevel="0" collapsed="false">
      <c r="A4" s="3" t="s">
        <v>2</v>
      </c>
    </row>
    <row r="6" customFormat="false" ht="75" hidden="false" customHeight="true" outlineLevel="0" collapsed="false">
      <c r="A6" s="3" t="s">
        <v>3</v>
      </c>
    </row>
    <row r="8" customFormat="false" ht="15" hidden="false" customHeight="false" outlineLevel="0" collapsed="false">
      <c r="A8" s="4" t="s">
        <v>4</v>
      </c>
    </row>
    <row r="9" customFormat="false" ht="75" hidden="false" customHeight="true" outlineLevel="0" collapsed="false">
      <c r="A9" s="3" t="s">
        <v>5</v>
      </c>
    </row>
    <row r="10" customFormat="false" ht="60" hidden="false" customHeight="true" outlineLevel="0" collapsed="false">
      <c r="A10" s="3" t="s">
        <v>6</v>
      </c>
    </row>
    <row r="11" customFormat="false" ht="75" hidden="false" customHeight="true" outlineLevel="0" collapsed="false">
      <c r="A11" s="3" t="s">
        <v>7</v>
      </c>
    </row>
    <row r="12" customFormat="false" ht="45" hidden="false" customHeight="true" outlineLevel="0" collapsed="false">
      <c r="A12" s="3" t="s">
        <v>8</v>
      </c>
    </row>
    <row r="13" customFormat="false" ht="90" hidden="false" customHeight="true" outlineLevel="0" collapsed="false">
      <c r="A13" s="3" t="s">
        <v>9</v>
      </c>
    </row>
    <row r="15" customFormat="false" ht="15" hidden="false" customHeight="false" outlineLevel="0" collapsed="false">
      <c r="A15" s="4" t="s">
        <v>10</v>
      </c>
    </row>
    <row r="16" customFormat="false" ht="75" hidden="false" customHeight="true" outlineLevel="0" collapsed="false">
      <c r="A16" s="3" t="s">
        <v>11</v>
      </c>
    </row>
    <row r="17" customFormat="false" ht="45" hidden="false" customHeight="true" outlineLevel="0" collapsed="false">
      <c r="A17" s="3" t="s">
        <v>12</v>
      </c>
    </row>
    <row r="19" customFormat="false" ht="15" hidden="false" customHeight="false" outlineLevel="0" collapsed="false">
      <c r="A19" s="4" t="s">
        <v>13</v>
      </c>
    </row>
    <row r="20" customFormat="false" ht="15" hidden="false" customHeight="true" outlineLevel="0" collapsed="false">
      <c r="A20" s="3" t="s">
        <v>14</v>
      </c>
    </row>
    <row r="21" customFormat="false" ht="15" hidden="false" customHeight="true" outlineLevel="0" collapsed="false">
      <c r="A21" s="3" t="s">
        <v>15</v>
      </c>
    </row>
    <row r="22" customFormat="false" ht="15" hidden="false" customHeight="true" outlineLevel="0" collapsed="false">
      <c r="A22" s="3" t="s">
        <v>16</v>
      </c>
    </row>
    <row r="23" customFormat="false" ht="15" hidden="false" customHeight="true" outlineLevel="0" collapsed="false">
      <c r="A23" s="3" t="s">
        <v>17</v>
      </c>
    </row>
    <row r="24" customFormat="false" ht="15" hidden="false" customHeight="true" outlineLevel="0" collapsed="false">
      <c r="A24" s="3" t="s">
        <v>18</v>
      </c>
    </row>
    <row r="25" customFormat="false" ht="15" hidden="false" customHeight="true" outlineLevel="0" collapsed="false">
      <c r="A25" s="3" t="s">
        <v>19</v>
      </c>
    </row>
    <row r="26" customFormat="false" ht="15" hidden="false" customHeight="true" outlineLevel="0" collapsed="false">
      <c r="A26" s="3" t="s">
        <v>20</v>
      </c>
    </row>
    <row r="28" customFormat="false" ht="15" hidden="false" customHeight="false" outlineLevel="0" collapsed="false">
      <c r="A28" s="4" t="s">
        <v>21</v>
      </c>
    </row>
    <row r="29" customFormat="false" ht="15" hidden="false" customHeight="true" outlineLevel="0" collapsed="false">
      <c r="A29" s="3" t="s">
        <v>22</v>
      </c>
    </row>
    <row r="30" customFormat="false" ht="45" hidden="false" customHeight="true" outlineLevel="0" collapsed="false">
      <c r="A30" s="3" t="s">
        <v>23</v>
      </c>
    </row>
    <row r="32" customFormat="false" ht="15" hidden="false" customHeight="false" outlineLevel="0" collapsed="false">
      <c r="A32" s="5" t="s">
        <v>24</v>
      </c>
    </row>
    <row r="33" customFormat="false" ht="15" hidden="false" customHeight="false" outlineLevel="0" collapsed="false">
      <c r="A33" s="5" t="s">
        <v>25</v>
      </c>
    </row>
    <row r="34" customFormat="false" ht="15" hidden="false" customHeight="false" outlineLevel="0" collapsed="false">
      <c r="A34" s="5" t="s">
        <v>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3" min="2" style="0" width="15"/>
    <col collapsed="false" customWidth="true" hidden="false" outlineLevel="0" max="4" min="4" style="0" width="52"/>
  </cols>
  <sheetData>
    <row r="1" customFormat="false" ht="17.35" hidden="false" customHeight="false" outlineLevel="0" collapsed="false">
      <c r="A1" s="6" t="s">
        <v>27</v>
      </c>
    </row>
    <row r="2" customFormat="false" ht="15" hidden="false" customHeight="false" outlineLevel="0" collapsed="false">
      <c r="A2" s="2" t="s">
        <v>28</v>
      </c>
    </row>
    <row r="4" customFormat="false" ht="30" hidden="false" customHeight="true" outlineLevel="0" collapsed="false">
      <c r="A4" s="7"/>
      <c r="B4" s="7" t="s">
        <v>29</v>
      </c>
      <c r="C4" s="7"/>
      <c r="D4" s="7" t="s">
        <v>30</v>
      </c>
    </row>
    <row r="5" customFormat="false" ht="15" hidden="false" customHeight="false" outlineLevel="0" collapsed="false">
      <c r="A5" s="8" t="s">
        <v>31</v>
      </c>
      <c r="B5" s="9" t="n">
        <v>10</v>
      </c>
      <c r="D5" s="10" t="s">
        <v>32</v>
      </c>
    </row>
    <row r="6" customFormat="false" ht="15" hidden="false" customHeight="false" outlineLevel="0" collapsed="false">
      <c r="A6" s="8" t="s">
        <v>33</v>
      </c>
      <c r="B6" s="9" t="n">
        <v>400</v>
      </c>
      <c r="D6" s="10" t="s">
        <v>34</v>
      </c>
    </row>
    <row r="7" customFormat="false" ht="15" hidden="false" customHeight="false" outlineLevel="0" collapsed="false">
      <c r="A7" s="8" t="s">
        <v>35</v>
      </c>
      <c r="B7" s="9" t="n">
        <v>100</v>
      </c>
      <c r="D7" s="10" t="s">
        <v>36</v>
      </c>
    </row>
    <row r="8" customFormat="false" ht="15" hidden="false" customHeight="false" outlineLevel="0" collapsed="false">
      <c r="A8" s="8" t="s">
        <v>37</v>
      </c>
      <c r="B8" s="11" t="n">
        <v>10</v>
      </c>
      <c r="D8" s="10" t="s">
        <v>38</v>
      </c>
    </row>
    <row r="9" customFormat="false" ht="15" hidden="false" customHeight="false" outlineLevel="0" collapsed="false">
      <c r="A9" s="8" t="s">
        <v>39</v>
      </c>
      <c r="B9" s="12" t="n">
        <v>0.4</v>
      </c>
      <c r="D9" s="10" t="s">
        <v>40</v>
      </c>
    </row>
    <row r="10" customFormat="false" ht="15" hidden="false" customHeight="false" outlineLevel="0" collapsed="false">
      <c r="A10" s="8" t="s">
        <v>41</v>
      </c>
      <c r="B10" s="9" t="n">
        <v>200</v>
      </c>
      <c r="D10" s="10" t="s">
        <v>42</v>
      </c>
    </row>
    <row r="11" customFormat="false" ht="15" hidden="false" customHeight="false" outlineLevel="0" collapsed="false">
      <c r="A11" s="8" t="s">
        <v>43</v>
      </c>
      <c r="B11" s="9" t="n">
        <v>100</v>
      </c>
      <c r="D11" s="10"/>
    </row>
    <row r="12" customFormat="false" ht="15" hidden="false" customHeight="false" outlineLevel="0" collapsed="false">
      <c r="A12" s="8" t="s">
        <v>44</v>
      </c>
      <c r="B12" s="9" t="n">
        <v>800</v>
      </c>
      <c r="D12" s="10" t="s">
        <v>45</v>
      </c>
    </row>
    <row r="13" customFormat="false" ht="15" hidden="false" customHeight="false" outlineLevel="0" collapsed="false">
      <c r="A13" s="8" t="s">
        <v>46</v>
      </c>
      <c r="B13" s="9" t="n">
        <v>700</v>
      </c>
      <c r="D13" s="10" t="s">
        <v>47</v>
      </c>
    </row>
    <row r="14" customFormat="false" ht="15" hidden="false" customHeight="false" outlineLevel="0" collapsed="false">
      <c r="A14" s="8" t="s">
        <v>48</v>
      </c>
      <c r="B14" s="13" t="n">
        <v>1.09</v>
      </c>
      <c r="D14" s="10" t="s">
        <v>49</v>
      </c>
    </row>
    <row r="15" customFormat="false" ht="15" hidden="false" customHeight="false" outlineLevel="0" collapsed="false">
      <c r="A15" s="8" t="s">
        <v>50</v>
      </c>
      <c r="B15" s="13" t="n">
        <v>2</v>
      </c>
      <c r="D15" s="10" t="s">
        <v>51</v>
      </c>
    </row>
    <row r="16" customFormat="false" ht="15" hidden="false" customHeight="false" outlineLevel="0" collapsed="false">
      <c r="A16" s="8" t="s">
        <v>52</v>
      </c>
      <c r="B16" s="9" t="n">
        <v>100</v>
      </c>
      <c r="D16" s="10" t="s">
        <v>53</v>
      </c>
    </row>
    <row r="17" customFormat="false" ht="15" hidden="false" customHeight="false" outlineLevel="0" collapsed="false">
      <c r="A17" s="8" t="s">
        <v>54</v>
      </c>
      <c r="B17" s="13" t="n">
        <v>0.5</v>
      </c>
      <c r="D17" s="10" t="s">
        <v>55</v>
      </c>
    </row>
    <row r="18" customFormat="false" ht="15" hidden="false" customHeight="false" outlineLevel="0" collapsed="false">
      <c r="A18" s="8" t="s">
        <v>56</v>
      </c>
      <c r="B18" s="12" t="n">
        <v>0.15</v>
      </c>
      <c r="D18" s="10" t="s">
        <v>57</v>
      </c>
    </row>
    <row r="20" customFormat="false" ht="36" hidden="false" customHeight="true" outlineLevel="0" collapsed="false">
      <c r="A20" s="14" t="s">
        <v>58</v>
      </c>
      <c r="B20" s="14"/>
      <c r="C20" s="14"/>
      <c r="D20" s="14"/>
    </row>
  </sheetData>
  <mergeCells count="1">
    <mergeCell ref="A20:D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3" min="2" style="0" width="16"/>
    <col collapsed="false" customWidth="true" hidden="false" outlineLevel="0" max="4" min="4" style="0" width="50"/>
  </cols>
  <sheetData>
    <row r="1" customFormat="false" ht="17.35" hidden="false" customHeight="false" outlineLevel="0" collapsed="false">
      <c r="A1" s="6" t="s">
        <v>59</v>
      </c>
    </row>
    <row r="2" customFormat="false" ht="15" hidden="false" customHeight="false" outlineLevel="0" collapsed="false">
      <c r="A2" s="2" t="s">
        <v>60</v>
      </c>
    </row>
    <row r="4" customFormat="false" ht="30" hidden="false" customHeight="true" outlineLevel="0" collapsed="false">
      <c r="A4" s="7"/>
      <c r="B4" s="7" t="s">
        <v>29</v>
      </c>
      <c r="C4" s="7"/>
      <c r="D4" s="7" t="s">
        <v>61</v>
      </c>
    </row>
    <row r="5" customFormat="false" ht="15" hidden="false" customHeight="false" outlineLevel="0" collapsed="false">
      <c r="A5" s="15" t="s">
        <v>62</v>
      </c>
      <c r="B5" s="16" t="n">
        <f aca="false">IFERROR('1. The Inputs'!B5/'1. The Inputs'!B6,"")</f>
        <v>0.025</v>
      </c>
      <c r="D5" s="10" t="s">
        <v>63</v>
      </c>
    </row>
    <row r="6" customFormat="false" ht="15" hidden="false" customHeight="false" outlineLevel="0" collapsed="false">
      <c r="A6" s="8" t="s">
        <v>64</v>
      </c>
      <c r="B6" s="17" t="n">
        <f aca="false">'1. The Inputs'!B10+'1. The Inputs'!B11</f>
        <v>300</v>
      </c>
      <c r="D6" s="10"/>
    </row>
    <row r="7" customFormat="false" ht="15" hidden="false" customHeight="false" outlineLevel="0" collapsed="false">
      <c r="A7" s="8" t="s">
        <v>65</v>
      </c>
      <c r="B7" s="18" t="n">
        <f aca="false">IFERROR('1. The Inputs'!B10/'1. The Inputs'!B6-1,"")</f>
        <v>-0.5</v>
      </c>
      <c r="D7" s="10" t="s">
        <v>66</v>
      </c>
    </row>
    <row r="8" customFormat="false" ht="15" hidden="false" customHeight="false" outlineLevel="0" collapsed="false">
      <c r="A8" s="8" t="s">
        <v>67</v>
      </c>
      <c r="B8" s="19" t="n">
        <f aca="false">IFERROR(B5*'1. The Inputs'!B10/B6,"")</f>
        <v>0.0166666666666667</v>
      </c>
      <c r="D8" s="10" t="s">
        <v>68</v>
      </c>
    </row>
    <row r="9" customFormat="false" ht="15" hidden="false" customHeight="false" outlineLevel="0" collapsed="false">
      <c r="A9" s="15" t="s">
        <v>69</v>
      </c>
      <c r="B9" s="20" t="n">
        <f aca="false">IFERROR(B5*'1. The Inputs'!B11,"")</f>
        <v>2.5</v>
      </c>
      <c r="D9" s="10" t="s">
        <v>70</v>
      </c>
    </row>
    <row r="10" customFormat="false" ht="15" hidden="false" customHeight="false" outlineLevel="0" collapsed="false">
      <c r="A10" s="8" t="s">
        <v>71</v>
      </c>
      <c r="B10" s="19" t="n">
        <f aca="false">B5</f>
        <v>0.025</v>
      </c>
      <c r="D10" s="10" t="s">
        <v>72</v>
      </c>
    </row>
    <row r="12" customFormat="false" ht="15" hidden="false" customHeight="false" outlineLevel="0" collapsed="false">
      <c r="A12" s="4" t="s">
        <v>73</v>
      </c>
    </row>
    <row r="13" customFormat="false" ht="30" hidden="false" customHeight="true" outlineLevel="0" collapsed="false">
      <c r="A13" s="7"/>
      <c r="B13" s="7" t="s">
        <v>29</v>
      </c>
      <c r="C13" s="7"/>
      <c r="D13" s="7"/>
    </row>
    <row r="14" customFormat="false" ht="15" hidden="false" customHeight="false" outlineLevel="0" collapsed="false">
      <c r="A14" s="8" t="s">
        <v>74</v>
      </c>
      <c r="B14" s="17" t="n">
        <f aca="false">IFERROR(B5*'1. The Inputs'!B10,"")</f>
        <v>5</v>
      </c>
    </row>
    <row r="15" customFormat="false" ht="15" hidden="false" customHeight="false" outlineLevel="0" collapsed="false">
      <c r="A15" s="8" t="s">
        <v>75</v>
      </c>
      <c r="B15" s="17" t="n">
        <f aca="false">IFERROR(B8*B6,"")</f>
        <v>5</v>
      </c>
    </row>
    <row r="16" customFormat="false" ht="15" hidden="false" customHeight="false" outlineLevel="0" collapsed="false">
      <c r="A16" s="15" t="s">
        <v>76</v>
      </c>
      <c r="B16" s="20" t="n">
        <f aca="false">B15-B14</f>
        <v>0</v>
      </c>
      <c r="D16" s="10" t="str">
        <f aca="false">IF(ABS(B16)&lt;0.005,"zero — dilution at a fair price is value-neutral","CHECK")</f>
        <v>zero — dilution at a fair price is value-neutral</v>
      </c>
    </row>
    <row r="18" customFormat="false" ht="43.5" hidden="false" customHeight="true" outlineLevel="0" collapsed="false">
      <c r="A18" s="14" t="s">
        <v>77</v>
      </c>
      <c r="B18" s="14"/>
      <c r="C18" s="14"/>
      <c r="D18" s="14"/>
    </row>
    <row r="20" customFormat="false" ht="43.5" hidden="false" customHeight="true" outlineLevel="0" collapsed="false">
      <c r="A20" s="14" t="s">
        <v>78</v>
      </c>
      <c r="B20" s="14"/>
      <c r="C20" s="14"/>
      <c r="D20" s="14"/>
    </row>
  </sheetData>
  <mergeCells count="2">
    <mergeCell ref="A18:D18"/>
    <mergeCell ref="A20:D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3" min="2" style="0" width="17"/>
    <col collapsed="false" customWidth="true" hidden="false" outlineLevel="0" max="4" min="4" style="0" width="48"/>
  </cols>
  <sheetData>
    <row r="1" customFormat="false" ht="17.35" hidden="false" customHeight="false" outlineLevel="0" collapsed="false">
      <c r="A1" s="6" t="s">
        <v>79</v>
      </c>
    </row>
    <row r="2" customFormat="false" ht="15" hidden="false" customHeight="false" outlineLevel="0" collapsed="false">
      <c r="A2" s="2" t="s">
        <v>80</v>
      </c>
    </row>
    <row r="4" customFormat="false" ht="30" hidden="false" customHeight="true" outlineLevel="0" collapsed="false">
      <c r="A4" s="7"/>
      <c r="B4" s="7" t="s">
        <v>81</v>
      </c>
      <c r="C4" s="7" t="s">
        <v>82</v>
      </c>
      <c r="D4" s="7" t="s">
        <v>61</v>
      </c>
    </row>
    <row r="5" customFormat="false" ht="15" hidden="false" customHeight="false" outlineLevel="0" collapsed="false">
      <c r="A5" s="8" t="s">
        <v>83</v>
      </c>
      <c r="B5" s="17" t="n">
        <f aca="false">'1. The Inputs'!B5+'2. The Round'!B9</f>
        <v>12.5</v>
      </c>
      <c r="C5" s="17" t="n">
        <f aca="false">'1. The Inputs'!B5</f>
        <v>10</v>
      </c>
    </row>
    <row r="6" customFormat="false" ht="15" hidden="false" customHeight="false" outlineLevel="0" collapsed="false">
      <c r="A6" s="8" t="s">
        <v>84</v>
      </c>
      <c r="B6" s="19" t="n">
        <f aca="false">'2. The Round'!B10</f>
        <v>0.025</v>
      </c>
      <c r="C6" s="19" t="n">
        <f aca="false">'2. The Round'!B8</f>
        <v>0.0166666666666667</v>
      </c>
    </row>
    <row r="7" customFormat="false" ht="15" hidden="false" customHeight="false" outlineLevel="0" collapsed="false">
      <c r="A7" s="8" t="s">
        <v>85</v>
      </c>
      <c r="B7" s="17" t="n">
        <f aca="false">IFERROR(B6*'1. The Inputs'!B13,"")</f>
        <v>17.5</v>
      </c>
      <c r="C7" s="17" t="n">
        <f aca="false">IFERROR(C6*'1. The Inputs'!B13,"")</f>
        <v>11.6666666666667</v>
      </c>
    </row>
    <row r="8" customFormat="false" ht="15" hidden="false" customHeight="false" outlineLevel="0" collapsed="false">
      <c r="A8" s="15" t="s">
        <v>86</v>
      </c>
      <c r="B8" s="21" t="n">
        <f aca="false">IFERROR(B7/B5,"")</f>
        <v>1.4</v>
      </c>
      <c r="C8" s="21" t="n">
        <f aca="false">IFERROR(C7/C5,"")</f>
        <v>1.16666666666667</v>
      </c>
    </row>
    <row r="10" customFormat="false" ht="15" hidden="false" customHeight="false" outlineLevel="0" collapsed="false">
      <c r="A10" s="15" t="s">
        <v>87</v>
      </c>
    </row>
    <row r="11" customFormat="false" ht="30" hidden="false" customHeight="true" outlineLevel="0" collapsed="false">
      <c r="A11" s="7"/>
      <c r="B11" s="7" t="s">
        <v>29</v>
      </c>
      <c r="C11" s="7"/>
      <c r="D11" s="7"/>
    </row>
    <row r="12" customFormat="false" ht="15" hidden="false" customHeight="false" outlineLevel="0" collapsed="false">
      <c r="A12" s="8" t="s">
        <v>88</v>
      </c>
      <c r="B12" s="19" t="n">
        <f aca="false">'2. The Round'!B10-'2. The Round'!B8</f>
        <v>0.00833333333333334</v>
      </c>
    </row>
    <row r="13" customFormat="false" ht="15" hidden="false" customHeight="false" outlineLevel="0" collapsed="false">
      <c r="A13" s="8" t="s">
        <v>89</v>
      </c>
      <c r="B13" s="17" t="n">
        <f aca="false">'2. The Round'!B9</f>
        <v>2.5</v>
      </c>
    </row>
    <row r="14" customFormat="false" ht="15" hidden="false" customHeight="false" outlineLevel="0" collapsed="false">
      <c r="A14" s="8" t="s">
        <v>90</v>
      </c>
      <c r="B14" s="17" t="n">
        <f aca="false">IFERROR(B12*'1. The Inputs'!B13,"")</f>
        <v>5.83333333333334</v>
      </c>
    </row>
    <row r="15" customFormat="false" ht="15" hidden="false" customHeight="false" outlineLevel="0" collapsed="false">
      <c r="A15" s="15" t="s">
        <v>91</v>
      </c>
      <c r="B15" s="21" t="n">
        <f aca="false">IFERROR(B14/B13,"")</f>
        <v>2.33333333333333</v>
      </c>
    </row>
    <row r="17" customFormat="false" ht="15" hidden="false" customHeight="false" outlineLevel="0" collapsed="false">
      <c r="A17" s="4" t="s">
        <v>92</v>
      </c>
    </row>
    <row r="18" customFormat="false" ht="31.5" hidden="false" customHeight="true" outlineLevel="0" collapsed="false">
      <c r="A18" s="14" t="s">
        <v>93</v>
      </c>
      <c r="B18" s="14"/>
      <c r="C18" s="14"/>
      <c r="D18" s="14"/>
    </row>
    <row r="20" customFormat="false" ht="30" hidden="false" customHeight="true" outlineLevel="0" collapsed="false">
      <c r="A20" s="7"/>
      <c r="B20" s="7" t="s">
        <v>29</v>
      </c>
      <c r="C20" s="7"/>
      <c r="D20" s="7"/>
    </row>
    <row r="21" customFormat="false" ht="15" hidden="false" customHeight="false" outlineLevel="0" collapsed="false">
      <c r="A21" s="8" t="s">
        <v>88</v>
      </c>
      <c r="B21" s="19" t="n">
        <f aca="false">B12</f>
        <v>0.00833333333333334</v>
      </c>
    </row>
    <row r="22" customFormat="false" ht="15" hidden="false" customHeight="false" outlineLevel="0" collapsed="false">
      <c r="A22" s="8" t="s">
        <v>94</v>
      </c>
      <c r="B22" s="17" t="n">
        <f aca="false">B13</f>
        <v>2.5</v>
      </c>
    </row>
    <row r="23" customFormat="false" ht="15" hidden="false" customHeight="false" outlineLevel="0" collapsed="false">
      <c r="A23" s="8" t="s">
        <v>95</v>
      </c>
      <c r="B23" s="17" t="n">
        <f aca="false">IFERROR(B22*'1. The Inputs'!B15,"")</f>
        <v>5</v>
      </c>
    </row>
    <row r="24" customFormat="false" ht="15" hidden="false" customHeight="false" outlineLevel="0" collapsed="false">
      <c r="A24" s="15" t="s">
        <v>96</v>
      </c>
      <c r="B24" s="20" t="n">
        <f aca="false">IFERROR(B23/B21,"")</f>
        <v>600</v>
      </c>
    </row>
    <row r="25" customFormat="false" ht="15" hidden="false" customHeight="false" outlineLevel="0" collapsed="false">
      <c r="A25" s="8" t="s">
        <v>97</v>
      </c>
      <c r="B25" s="22" t="n">
        <f aca="false">IFERROR(B24/'1. The Inputs'!B6,"")</f>
        <v>1.5</v>
      </c>
    </row>
    <row r="26" customFormat="false" ht="15" hidden="false" customHeight="false" outlineLevel="0" collapsed="false">
      <c r="A26" s="8" t="s">
        <v>98</v>
      </c>
      <c r="B26" s="22" t="n">
        <f aca="false">IFERROR(B24/'2. The Round'!B6,"")</f>
        <v>2</v>
      </c>
    </row>
    <row r="28" customFormat="false" ht="31.5" hidden="false" customHeight="true" outlineLevel="0" collapsed="false">
      <c r="A28" s="14" t="s">
        <v>99</v>
      </c>
      <c r="B28" s="14"/>
      <c r="C28" s="14"/>
      <c r="D28" s="14"/>
    </row>
  </sheetData>
  <mergeCells count="2">
    <mergeCell ref="A18:D18"/>
    <mergeCell ref="A28:D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3" min="2" style="0" width="17"/>
    <col collapsed="false" customWidth="true" hidden="false" outlineLevel="0" max="4" min="4" style="0" width="48"/>
  </cols>
  <sheetData>
    <row r="1" customFormat="false" ht="17.35" hidden="false" customHeight="false" outlineLevel="0" collapsed="false">
      <c r="A1" s="6" t="s">
        <v>100</v>
      </c>
    </row>
    <row r="2" customFormat="false" ht="15" hidden="false" customHeight="false" outlineLevel="0" collapsed="false">
      <c r="A2" s="2" t="s">
        <v>101</v>
      </c>
    </row>
    <row r="4" customFormat="false" ht="30" hidden="false" customHeight="true" outlineLevel="0" collapsed="false">
      <c r="A4" s="7"/>
      <c r="B4" s="7" t="s">
        <v>81</v>
      </c>
      <c r="C4" s="7" t="s">
        <v>82</v>
      </c>
      <c r="D4" s="7" t="s">
        <v>61</v>
      </c>
    </row>
    <row r="5" customFormat="false" ht="15" hidden="false" customHeight="false" outlineLevel="0" collapsed="false">
      <c r="A5" s="8" t="s">
        <v>83</v>
      </c>
      <c r="B5" s="17" t="n">
        <f aca="false">'1. The Inputs'!B5+'2. The Round'!B9</f>
        <v>12.5</v>
      </c>
      <c r="C5" s="17" t="n">
        <f aca="false">'1. The Inputs'!B5</f>
        <v>10</v>
      </c>
    </row>
    <row r="6" customFormat="false" ht="15" hidden="false" customHeight="false" outlineLevel="0" collapsed="false">
      <c r="A6" s="8" t="s">
        <v>102</v>
      </c>
      <c r="B6" s="19" t="n">
        <f aca="false">'2. The Round'!B10</f>
        <v>0.025</v>
      </c>
      <c r="C6" s="19" t="n">
        <f aca="false">IFERROR('2. The Round'!B8*'1. The Inputs'!B17,"")</f>
        <v>0.00833333333333333</v>
      </c>
    </row>
    <row r="7" customFormat="false" ht="15" hidden="false" customHeight="false" outlineLevel="0" collapsed="false">
      <c r="A7" s="8" t="s">
        <v>103</v>
      </c>
      <c r="B7" s="17" t="n">
        <f aca="false">IFERROR('1. The Inputs'!B13-'1. The Inputs'!B16,"")</f>
        <v>600</v>
      </c>
      <c r="C7" s="17" t="n">
        <f aca="false">IFERROR('1. The Inputs'!B13-'1. The Inputs'!B16,"")</f>
        <v>600</v>
      </c>
    </row>
    <row r="8" customFormat="false" ht="15" hidden="false" customHeight="false" outlineLevel="0" collapsed="false">
      <c r="A8" s="8" t="s">
        <v>104</v>
      </c>
      <c r="B8" s="17" t="n">
        <f aca="false">'2. The Round'!B9</f>
        <v>2.5</v>
      </c>
      <c r="C8" s="17" t="n">
        <v>0</v>
      </c>
    </row>
    <row r="9" customFormat="false" ht="15" hidden="false" customHeight="false" outlineLevel="0" collapsed="false">
      <c r="A9" s="8" t="s">
        <v>85</v>
      </c>
      <c r="B9" s="17" t="n">
        <f aca="false">IFERROR(B8+B6*B7,"")</f>
        <v>17.5</v>
      </c>
      <c r="C9" s="17" t="n">
        <f aca="false">IFERROR(C8+C6*C7,"")</f>
        <v>5</v>
      </c>
    </row>
    <row r="10" customFormat="false" ht="15" hidden="false" customHeight="false" outlineLevel="0" collapsed="false">
      <c r="A10" s="15" t="s">
        <v>86</v>
      </c>
      <c r="B10" s="21" t="n">
        <f aca="false">IFERROR(B9/B5,"")</f>
        <v>1.4</v>
      </c>
      <c r="C10" s="21" t="n">
        <f aca="false">IFERROR(C9/C5,"")</f>
        <v>0.5</v>
      </c>
    </row>
    <row r="12" customFormat="false" ht="15" hidden="false" customHeight="false" outlineLevel="0" collapsed="false">
      <c r="A12" s="15" t="s">
        <v>105</v>
      </c>
      <c r="B12" s="21" t="n">
        <f aca="false">IFERROR((B9-C9)/'2. The Round'!B9,"")</f>
        <v>5</v>
      </c>
    </row>
    <row r="13" customFormat="false" ht="15" hidden="false" customHeight="false" outlineLevel="0" collapsed="false">
      <c r="A13" s="15" t="s">
        <v>96</v>
      </c>
      <c r="B13" s="20" t="n">
        <f aca="false">IFERROR('1. The Inputs'!B16+('2. The Round'!B9*'1. The Inputs'!B15-'2. The Round'!B9)/('2. The Round'!B10-'2. The Round'!B8*'1. The Inputs'!B17),"")</f>
        <v>250</v>
      </c>
    </row>
    <row r="14" customFormat="false" ht="15" hidden="false" customHeight="false" outlineLevel="0" collapsed="false">
      <c r="A14" s="8" t="s">
        <v>98</v>
      </c>
      <c r="B14" s="23" t="n">
        <f aca="false">IFERROR(B13/'2. The Round'!B6,"")</f>
        <v>0.833333333333333</v>
      </c>
    </row>
    <row r="16" customFormat="false" ht="39.75" hidden="false" customHeight="true" outlineLevel="0" collapsed="false">
      <c r="A16" s="14" t="s">
        <v>106</v>
      </c>
      <c r="B16" s="14"/>
      <c r="C16" s="14"/>
      <c r="D16" s="14"/>
    </row>
    <row r="18" customFormat="false" ht="15" hidden="false" customHeight="false" outlineLevel="0" collapsed="false">
      <c r="A18" s="15" t="s">
        <v>107</v>
      </c>
      <c r="B18" s="21" t="n">
        <f aca="false">IFERROR('3. Plain Dilution'!C8-C10,"")</f>
        <v>0.666666666666667</v>
      </c>
      <c r="D18" s="10" t="s">
        <v>108</v>
      </c>
    </row>
    <row r="20" customFormat="false" ht="43.5" hidden="false" customHeight="true" outlineLevel="0" collapsed="false">
      <c r="A20" s="14" t="s">
        <v>109</v>
      </c>
      <c r="B20" s="14"/>
      <c r="C20" s="14"/>
      <c r="D20" s="14"/>
    </row>
  </sheetData>
  <mergeCells count="2">
    <mergeCell ref="A16:D16"/>
    <mergeCell ref="A20:D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4" min="2" style="0" width="17"/>
    <col collapsed="false" customWidth="true" hidden="false" outlineLevel="0" max="5" min="5" style="0" width="44"/>
  </cols>
  <sheetData>
    <row r="1" customFormat="false" ht="17.35" hidden="false" customHeight="false" outlineLevel="0" collapsed="false">
      <c r="A1" s="6" t="s">
        <v>110</v>
      </c>
    </row>
    <row r="2" customFormat="false" ht="15" hidden="false" customHeight="false" outlineLevel="0" collapsed="false">
      <c r="A2" s="2" t="s">
        <v>111</v>
      </c>
    </row>
    <row r="4" customFormat="false" ht="30" hidden="false" customHeight="true" outlineLevel="0" collapsed="false">
      <c r="A4" s="7"/>
      <c r="B4" s="7" t="s">
        <v>112</v>
      </c>
      <c r="C4" s="7" t="s">
        <v>113</v>
      </c>
      <c r="D4" s="7"/>
      <c r="E4" s="7"/>
    </row>
    <row r="5" customFormat="false" ht="15" hidden="false" customHeight="false" outlineLevel="0" collapsed="false">
      <c r="A5" s="8" t="s">
        <v>114</v>
      </c>
      <c r="B5" s="24" t="n">
        <f aca="false">IFERROR('1. The Inputs'!B8*(1-'1. The Inputs'!B9),"")</f>
        <v>6</v>
      </c>
      <c r="C5" s="24" t="n">
        <f aca="false">B5</f>
        <v>6</v>
      </c>
    </row>
    <row r="6" customFormat="false" ht="15" hidden="false" customHeight="false" outlineLevel="0" collapsed="false">
      <c r="A6" s="8" t="s">
        <v>115</v>
      </c>
      <c r="B6" s="17" t="n">
        <f aca="false">IFERROR('2. The Round'!B5*'1. The Inputs'!B12,"")</f>
        <v>20</v>
      </c>
      <c r="C6" s="17" t="n">
        <f aca="false">B6</f>
        <v>20</v>
      </c>
    </row>
    <row r="7" customFormat="false" ht="15" hidden="false" customHeight="false" outlineLevel="0" collapsed="false">
      <c r="A7" s="8" t="s">
        <v>116</v>
      </c>
      <c r="B7" s="24" t="n">
        <f aca="false">IFERROR('1. The Inputs'!B8*'1. The Inputs'!B9,"")</f>
        <v>4</v>
      </c>
      <c r="C7" s="24" t="n">
        <f aca="false">B7</f>
        <v>4</v>
      </c>
    </row>
    <row r="8" customFormat="false" ht="15" hidden="false" customHeight="false" outlineLevel="0" collapsed="false">
      <c r="A8" s="8" t="s">
        <v>117</v>
      </c>
      <c r="B8" s="17" t="n">
        <f aca="false">'3. Plain Dilution'!C7</f>
        <v>11.6666666666667</v>
      </c>
      <c r="C8" s="17" t="n">
        <f aca="false">'4. Pay-to-Play'!C9</f>
        <v>5</v>
      </c>
    </row>
    <row r="9" customFormat="false" ht="15" hidden="false" customHeight="false" outlineLevel="0" collapsed="false">
      <c r="A9" s="15" t="s">
        <v>118</v>
      </c>
      <c r="B9" s="25" t="n">
        <f aca="false">B5*B6+B7*B8</f>
        <v>166.666666666667</v>
      </c>
      <c r="C9" s="25" t="n">
        <f aca="false">C5*C6+C7*C8</f>
        <v>140</v>
      </c>
    </row>
    <row r="10" customFormat="false" ht="15" hidden="false" customHeight="false" outlineLevel="0" collapsed="false">
      <c r="A10" s="15" t="s">
        <v>119</v>
      </c>
      <c r="B10" s="21" t="n">
        <f aca="false">IFERROR(B9/'1. The Inputs'!B7,"")</f>
        <v>1.66666666666667</v>
      </c>
      <c r="C10" s="21" t="n">
        <f aca="false">IFERROR(C9/'1. The Inputs'!B7,"")</f>
        <v>1.4</v>
      </c>
    </row>
    <row r="11" customFormat="false" ht="15" hidden="false" customHeight="false" outlineLevel="0" collapsed="false">
      <c r="A11" s="15" t="s">
        <v>120</v>
      </c>
      <c r="C11" s="26" t="n">
        <f aca="false">IFERROR(C10-B10,"")</f>
        <v>-0.266666666666667</v>
      </c>
    </row>
    <row r="13" customFormat="false" ht="51.75" hidden="false" customHeight="true" outlineLevel="0" collapsed="false">
      <c r="A13" s="14" t="s">
        <v>121</v>
      </c>
      <c r="B13" s="14"/>
      <c r="C13" s="14"/>
      <c r="D13" s="14"/>
      <c r="E13" s="14"/>
    </row>
    <row r="16" customFormat="false" ht="15" hidden="false" customHeight="false" outlineLevel="0" collapsed="false">
      <c r="A16" s="4" t="s">
        <v>122</v>
      </c>
    </row>
    <row r="17" customFormat="false" ht="15" hidden="false" customHeight="false" outlineLevel="0" collapsed="false">
      <c r="A17" s="15" t="s">
        <v>123</v>
      </c>
      <c r="C17" s="21" t="n">
        <f aca="false">IFERROR(('1. The Inputs'!B8*'2. The Round'!B5*'1. The Inputs'!B12)/'1. The Inputs'!B7,"")</f>
        <v>2</v>
      </c>
    </row>
    <row r="18" customFormat="false" ht="31.5" hidden="false" customHeight="true" outlineLevel="0" collapsed="false">
      <c r="A18" s="14" t="s">
        <v>124</v>
      </c>
      <c r="B18" s="14"/>
      <c r="C18" s="14"/>
      <c r="D18" s="14"/>
      <c r="E18" s="14"/>
    </row>
  </sheetData>
  <mergeCells count="2">
    <mergeCell ref="A13:E13"/>
    <mergeCell ref="A18:E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7" min="2" style="0" width="15"/>
    <col collapsed="false" customWidth="true" hidden="false" outlineLevel="0" max="8" min="8" style="0" width="36"/>
    <col collapsed="false" customWidth="true" hidden="false" outlineLevel="0" max="9" min="9" style="0" width="14"/>
  </cols>
  <sheetData>
    <row r="1" customFormat="false" ht="17.35" hidden="false" customHeight="false" outlineLevel="0" collapsed="false">
      <c r="A1" s="6" t="s">
        <v>125</v>
      </c>
    </row>
    <row r="2" customFormat="false" ht="15" hidden="false" customHeight="false" outlineLevel="0" collapsed="false">
      <c r="A2" s="2" t="s">
        <v>126</v>
      </c>
    </row>
    <row r="4" customFormat="false" ht="15" hidden="false" customHeight="false" outlineLevel="0" collapsed="false">
      <c r="A4" s="15" t="s">
        <v>127</v>
      </c>
      <c r="B4" s="27" t="n">
        <f aca="false">'1. The Inputs'!B18</f>
        <v>0.15</v>
      </c>
      <c r="H4" s="28" t="s">
        <v>128</v>
      </c>
    </row>
    <row r="5" customFormat="false" ht="15" hidden="false" customHeight="false" outlineLevel="0" collapsed="false">
      <c r="A5" s="8" t="s">
        <v>129</v>
      </c>
      <c r="B5" s="17" t="n">
        <f aca="false">IFERROR('1. The Inputs'!B7*B4,"")</f>
        <v>15</v>
      </c>
      <c r="H5" s="28" t="s">
        <v>130</v>
      </c>
      <c r="I5" s="28" t="s">
        <v>131</v>
      </c>
    </row>
    <row r="6" customFormat="false" ht="15" hidden="false" customHeight="false" outlineLevel="0" collapsed="false">
      <c r="A6" s="8" t="s">
        <v>132</v>
      </c>
      <c r="B6" s="17" t="n">
        <f aca="false">IFERROR(('1. The Inputs'!B7-B5)/'1. The Inputs'!B8,"")</f>
        <v>8.5</v>
      </c>
      <c r="H6" s="0" t="n">
        <v>0</v>
      </c>
      <c r="I6" s="29" t="n">
        <f aca="false">IFERROR(0*'1. The Inputs'!B7*'1. The Inputs'!B11/('1. The Inputs'!B8*'1. The Inputs'!B6+0*'1. The Inputs'!B11)/'1. The Inputs'!B7,"")</f>
        <v>0</v>
      </c>
    </row>
    <row r="7" customFormat="false" ht="15" hidden="false" customHeight="false" outlineLevel="0" collapsed="false">
      <c r="A7" s="8" t="s">
        <v>133</v>
      </c>
      <c r="B7" s="19" t="n">
        <f aca="false">IFERROR(B6/'1. The Inputs'!B6,"")</f>
        <v>0.02125</v>
      </c>
      <c r="H7" s="0" t="n">
        <v>1</v>
      </c>
      <c r="I7" s="29" t="n">
        <f aca="false">IFERROR(1*'1. The Inputs'!B7*'1. The Inputs'!B11/('1. The Inputs'!B8*'1. The Inputs'!B6+1*'1. The Inputs'!B11)/'1. The Inputs'!B7,"")</f>
        <v>0.024390243902439</v>
      </c>
    </row>
    <row r="8" customFormat="false" ht="15" hidden="false" customHeight="false" outlineLevel="0" collapsed="false">
      <c r="A8" s="8" t="s">
        <v>134</v>
      </c>
      <c r="B8" s="17" t="n">
        <f aca="false">IFERROR(B7*'1. The Inputs'!B11,"")</f>
        <v>2.125</v>
      </c>
      <c r="H8" s="0" t="n">
        <v>2</v>
      </c>
      <c r="I8" s="29" t="n">
        <f aca="false">IFERROR(2*'1. The Inputs'!B7*'1. The Inputs'!B11/('1. The Inputs'!B8*'1. The Inputs'!B6+2*'1. The Inputs'!B11)/'1. The Inputs'!B7,"")</f>
        <v>0.0476190476190476</v>
      </c>
    </row>
    <row r="9" customFormat="false" ht="15" hidden="false" customHeight="false" outlineLevel="0" collapsed="false">
      <c r="A9" s="8" t="s">
        <v>135</v>
      </c>
      <c r="B9" s="30" t="n">
        <f aca="false">IFERROR(INT(B5/B8),"")</f>
        <v>7</v>
      </c>
      <c r="H9" s="0" t="n">
        <v>3</v>
      </c>
      <c r="I9" s="29" t="n">
        <f aca="false">IFERROR(3*'1. The Inputs'!B7*'1. The Inputs'!B11/('1. The Inputs'!B8*'1. The Inputs'!B6+3*'1. The Inputs'!B11)/'1. The Inputs'!B7,"")</f>
        <v>0.0697674418604651</v>
      </c>
    </row>
    <row r="10" customFormat="false" ht="15" hidden="false" customHeight="false" outlineLevel="0" collapsed="false">
      <c r="A10" s="8" t="s">
        <v>136</v>
      </c>
      <c r="B10" s="17" t="n">
        <f aca="false">IFERROR(B7*'1. The Inputs'!B12,"")</f>
        <v>17</v>
      </c>
      <c r="H10" s="0" t="n">
        <v>4</v>
      </c>
      <c r="I10" s="29" t="n">
        <f aca="false">IFERROR(4*'1. The Inputs'!B7*'1. The Inputs'!B11/('1. The Inputs'!B8*'1. The Inputs'!B6+4*'1. The Inputs'!B11)/'1. The Inputs'!B7,"")</f>
        <v>0.0909090909090909</v>
      </c>
    </row>
    <row r="11" customFormat="false" ht="15" hidden="false" customHeight="false" outlineLevel="0" collapsed="false">
      <c r="A11" s="8" t="s">
        <v>137</v>
      </c>
      <c r="B11" s="17" t="n">
        <f aca="false">IFERROR(B8+B7*('1. The Inputs'!B13-'1. The Inputs'!B16),"")</f>
        <v>14.875</v>
      </c>
      <c r="C11" s="8" t="s">
        <v>138</v>
      </c>
      <c r="D11" s="17" t="n">
        <f aca="false">IFERROR(B7*'1. The Inputs'!B13,"")</f>
        <v>14.875</v>
      </c>
      <c r="H11" s="0" t="n">
        <v>5</v>
      </c>
      <c r="I11" s="29" t="n">
        <f aca="false">IFERROR(5*'1. The Inputs'!B7*'1. The Inputs'!B11/('1. The Inputs'!B8*'1. The Inputs'!B6+5*'1. The Inputs'!B11)/'1. The Inputs'!B7,"")</f>
        <v>0.111111111111111</v>
      </c>
    </row>
    <row r="12" customFormat="false" ht="15" hidden="false" customHeight="false" outlineLevel="0" collapsed="false">
      <c r="A12" s="8" t="s">
        <v>139</v>
      </c>
      <c r="B12" s="17" t="n">
        <f aca="false">IFERROR(B7*'1. The Inputs'!B10/('1. The Inputs'!B10+'1. The Inputs'!B11)*'1. The Inputs'!B17*('1. The Inputs'!B13-'1. The Inputs'!B16),"")</f>
        <v>4.25</v>
      </c>
      <c r="C12" s="8" t="s">
        <v>138</v>
      </c>
      <c r="D12" s="17" t="n">
        <f aca="false">IFERROR(B7*'1. The Inputs'!B10/('1. The Inputs'!B10+'1. The Inputs'!B11)*'1. The Inputs'!B13,"")</f>
        <v>9.91666666666667</v>
      </c>
      <c r="H12" s="0" t="n">
        <v>6</v>
      </c>
      <c r="I12" s="29" t="n">
        <f aca="false">IFERROR(6*'1. The Inputs'!B7*'1. The Inputs'!B11/('1. The Inputs'!B8*'1. The Inputs'!B6+6*'1. The Inputs'!B11)/'1. The Inputs'!B7,"")</f>
        <v>0.130434782608696</v>
      </c>
    </row>
    <row r="13" customFormat="false" ht="15" hidden="false" customHeight="false" outlineLevel="0" collapsed="false">
      <c r="A13" s="2" t="s">
        <v>140</v>
      </c>
      <c r="H13" s="0" t="n">
        <v>7</v>
      </c>
      <c r="I13" s="29" t="n">
        <f aca="false">IFERROR(7*'1. The Inputs'!B7*'1. The Inputs'!B11/('1. The Inputs'!B8*'1. The Inputs'!B6+7*'1. The Inputs'!B11)/'1. The Inputs'!B7,"")</f>
        <v>0.148936170212766</v>
      </c>
    </row>
    <row r="14" customFormat="false" ht="15" hidden="false" customHeight="false" outlineLevel="0" collapsed="false">
      <c r="H14" s="0" t="n">
        <v>8</v>
      </c>
      <c r="I14" s="29" t="n">
        <f aca="false">IFERROR(8*'1. The Inputs'!B7*'1. The Inputs'!B11/('1. The Inputs'!B8*'1. The Inputs'!B6+8*'1. The Inputs'!B11)/'1. The Inputs'!B7,"")</f>
        <v>0.166666666666667</v>
      </c>
    </row>
    <row r="15" customFormat="false" ht="30" hidden="false" customHeight="true" outlineLevel="0" collapsed="false">
      <c r="A15" s="7" t="s">
        <v>141</v>
      </c>
      <c r="B15" s="7" t="s">
        <v>142</v>
      </c>
      <c r="C15" s="7" t="s">
        <v>143</v>
      </c>
      <c r="D15" s="7" t="s">
        <v>144</v>
      </c>
      <c r="E15" s="7" t="s">
        <v>145</v>
      </c>
      <c r="F15" s="7" t="s">
        <v>146</v>
      </c>
      <c r="G15" s="7"/>
      <c r="H15" s="7" t="n">
        <v>9</v>
      </c>
      <c r="I15" s="29" t="n">
        <f aca="false">IFERROR(9*'1. The Inputs'!B7*'1. The Inputs'!B11/('1. The Inputs'!B8*'1. The Inputs'!B6+9*'1. The Inputs'!B11)/'1. The Inputs'!B7,"")</f>
        <v>0.183673469387755</v>
      </c>
    </row>
    <row r="16" customFormat="false" ht="15" hidden="false" customHeight="false" outlineLevel="0" collapsed="false">
      <c r="A16" s="11" t="n">
        <v>0</v>
      </c>
      <c r="B16" s="31" t="n">
        <f aca="false">IFERROR(BINOMDIST(A16,'1. The Inputs'!B8,'1. The Inputs'!B9,FALSE()),"")</f>
        <v>0.0060466176</v>
      </c>
      <c r="C16" s="32" t="n">
        <f aca="false">MIN(A16,$B$9)</f>
        <v>0</v>
      </c>
      <c r="D16" s="17" t="n">
        <f aca="false">IFERROR($B$5-C16*$B$8,"")</f>
        <v>15</v>
      </c>
      <c r="E16" s="17" t="n">
        <f aca="false">IFERROR(('1. The Inputs'!B8-A16)*$B$10+C16*$D$11+(A16-C16)*$D$12+D16*'1. The Inputs'!B14,"")</f>
        <v>186.35</v>
      </c>
      <c r="F16" s="17" t="n">
        <f aca="false">IFERROR(('1. The Inputs'!B8-A16)*$B$10+C16*$B$11+(A16-C16)*$B$12+D16*'1. The Inputs'!B14,"")</f>
        <v>186.35</v>
      </c>
      <c r="H16" s="0" t="n">
        <v>10</v>
      </c>
      <c r="I16" s="29" t="n">
        <f aca="false">IFERROR(10*'1. The Inputs'!B7*'1. The Inputs'!B11/('1. The Inputs'!B8*'1. The Inputs'!B6+10*'1. The Inputs'!B11)/'1. The Inputs'!B7,"")</f>
        <v>0.2</v>
      </c>
    </row>
    <row r="17" customFormat="false" ht="15" hidden="false" customHeight="false" outlineLevel="0" collapsed="false">
      <c r="A17" s="11" t="n">
        <v>1</v>
      </c>
      <c r="B17" s="31" t="n">
        <f aca="false">IFERROR(BINOMDIST(A17,'1. The Inputs'!B8,'1. The Inputs'!B9,FALSE()),"")</f>
        <v>0.040310784</v>
      </c>
      <c r="C17" s="32" t="n">
        <f aca="false">MIN(A17,$B$9)</f>
        <v>1</v>
      </c>
      <c r="D17" s="17" t="n">
        <f aca="false">IFERROR($B$5-C17*$B$8,"")</f>
        <v>12.875</v>
      </c>
      <c r="E17" s="17" t="n">
        <f aca="false">IFERROR(('1. The Inputs'!B8-A17)*$B$10+C17*$D$11+(A17-C17)*$D$12+D17*'1. The Inputs'!B14,"")</f>
        <v>181.90875</v>
      </c>
      <c r="F17" s="17" t="n">
        <f aca="false">IFERROR(('1. The Inputs'!B8-A17)*$B$10+C17*$B$11+(A17-C17)*$B$12+D17*'1. The Inputs'!B14,"")</f>
        <v>181.90875</v>
      </c>
    </row>
    <row r="18" customFormat="false" ht="15" hidden="false" customHeight="false" outlineLevel="0" collapsed="false">
      <c r="A18" s="11" t="n">
        <v>2</v>
      </c>
      <c r="B18" s="31" t="n">
        <f aca="false">IFERROR(BINOMDIST(A18,'1. The Inputs'!B8,'1. The Inputs'!B9,FALSE()),"")</f>
        <v>0.120932352</v>
      </c>
      <c r="C18" s="32" t="n">
        <f aca="false">MIN(A18,$B$9)</f>
        <v>2</v>
      </c>
      <c r="D18" s="17" t="n">
        <f aca="false">IFERROR($B$5-C18*$B$8,"")</f>
        <v>10.75</v>
      </c>
      <c r="E18" s="17" t="n">
        <f aca="false">IFERROR(('1. The Inputs'!B8-A18)*$B$10+C18*$D$11+(A18-C18)*$D$12+D18*'1. The Inputs'!B14,"")</f>
        <v>177.4675</v>
      </c>
      <c r="F18" s="17" t="n">
        <f aca="false">IFERROR(('1. The Inputs'!B8-A18)*$B$10+C18*$B$11+(A18-C18)*$B$12+D18*'1. The Inputs'!B14,"")</f>
        <v>177.4675</v>
      </c>
      <c r="H18" s="5" t="s">
        <v>147</v>
      </c>
    </row>
    <row r="19" customFormat="false" ht="15" hidden="false" customHeight="false" outlineLevel="0" collapsed="false">
      <c r="A19" s="11" t="n">
        <v>3</v>
      </c>
      <c r="B19" s="31" t="n">
        <f aca="false">IFERROR(BINOMDIST(A19,'1. The Inputs'!B8,'1. The Inputs'!B9,FALSE()),"")</f>
        <v>0.214990848</v>
      </c>
      <c r="C19" s="32" t="n">
        <f aca="false">MIN(A19,$B$9)</f>
        <v>3</v>
      </c>
      <c r="D19" s="17" t="n">
        <f aca="false">IFERROR($B$5-C19*$B$8,"")</f>
        <v>8.625</v>
      </c>
      <c r="E19" s="17" t="n">
        <f aca="false">IFERROR(('1. The Inputs'!B8-A19)*$B$10+C19*$D$11+(A19-C19)*$D$12+D19*'1. The Inputs'!B14,"")</f>
        <v>173.02625</v>
      </c>
      <c r="F19" s="17" t="n">
        <f aca="false">IFERROR(('1. The Inputs'!B8-A19)*$B$10+C19*$B$11+(A19-C19)*$B$12+D19*'1. The Inputs'!B14,"")</f>
        <v>173.02625</v>
      </c>
    </row>
    <row r="20" customFormat="false" ht="15" hidden="false" customHeight="false" outlineLevel="0" collapsed="false">
      <c r="A20" s="11" t="n">
        <v>4</v>
      </c>
      <c r="B20" s="31" t="n">
        <f aca="false">IFERROR(BINOMDIST(A20,'1. The Inputs'!B8,'1. The Inputs'!B9,FALSE()),"")</f>
        <v>0.250822656</v>
      </c>
      <c r="C20" s="32" t="n">
        <f aca="false">MIN(A20,$B$9)</f>
        <v>4</v>
      </c>
      <c r="D20" s="17" t="n">
        <f aca="false">IFERROR($B$5-C20*$B$8,"")</f>
        <v>6.5</v>
      </c>
      <c r="E20" s="17" t="n">
        <f aca="false">IFERROR(('1. The Inputs'!B8-A20)*$B$10+C20*$D$11+(A20-C20)*$D$12+D20*'1. The Inputs'!B14,"")</f>
        <v>168.585</v>
      </c>
      <c r="F20" s="17" t="n">
        <f aca="false">IFERROR(('1. The Inputs'!B8-A20)*$B$10+C20*$B$11+(A20-C20)*$B$12+D20*'1. The Inputs'!B14,"")</f>
        <v>168.585</v>
      </c>
      <c r="H20" s="33" t="s">
        <v>148</v>
      </c>
      <c r="I20" s="29" t="n">
        <f aca="false">IFERROR(1-BINOMDIST(5,'1. The Inputs'!B8,'1. The Inputs'!B9,TRUE()),"")</f>
        <v>0.1662386176</v>
      </c>
    </row>
    <row r="21" customFormat="false" ht="15" hidden="false" customHeight="false" outlineLevel="0" collapsed="false">
      <c r="A21" s="11" t="n">
        <v>5</v>
      </c>
      <c r="B21" s="31" t="n">
        <f aca="false">IFERROR(BINOMDIST(A21,'1. The Inputs'!B8,'1. The Inputs'!B9,FALSE()),"")</f>
        <v>0.2006581248</v>
      </c>
      <c r="C21" s="32" t="n">
        <f aca="false">MIN(A21,$B$9)</f>
        <v>5</v>
      </c>
      <c r="D21" s="17" t="n">
        <f aca="false">IFERROR($B$5-C21*$B$8,"")</f>
        <v>4.375</v>
      </c>
      <c r="E21" s="17" t="n">
        <f aca="false">IFERROR(('1. The Inputs'!B8-A21)*$B$10+C21*$D$11+(A21-C21)*$D$12+D21*'1. The Inputs'!B14,"")</f>
        <v>164.14375</v>
      </c>
      <c r="F21" s="17" t="n">
        <f aca="false">IFERROR(('1. The Inputs'!B8-A21)*$B$10+C21*$B$11+(A21-C21)*$B$12+D21*'1. The Inputs'!B14,"")</f>
        <v>164.14375</v>
      </c>
      <c r="H21" s="33" t="s">
        <v>149</v>
      </c>
      <c r="I21" s="29" t="n">
        <f aca="false">IFERROR(1-BINOMDIST(6,'1. The Inputs'!B8,'1. The Inputs'!B9,TRUE()),"")</f>
        <v>0.0547618816000003</v>
      </c>
    </row>
    <row r="22" customFormat="false" ht="15" hidden="false" customHeight="false" outlineLevel="0" collapsed="false">
      <c r="A22" s="11" t="n">
        <v>6</v>
      </c>
      <c r="B22" s="31" t="n">
        <f aca="false">IFERROR(BINOMDIST(A22,'1. The Inputs'!B8,'1. The Inputs'!B9,FALSE()),"")</f>
        <v>0.111476736</v>
      </c>
      <c r="C22" s="32" t="n">
        <f aca="false">MIN(A22,$B$9)</f>
        <v>6</v>
      </c>
      <c r="D22" s="17" t="n">
        <f aca="false">IFERROR($B$5-C22*$B$8,"")</f>
        <v>2.25</v>
      </c>
      <c r="E22" s="17" t="n">
        <f aca="false">IFERROR(('1. The Inputs'!B8-A22)*$B$10+C22*$D$11+(A22-C22)*$D$12+D22*'1. The Inputs'!B14,"")</f>
        <v>159.7025</v>
      </c>
      <c r="F22" s="17" t="n">
        <f aca="false">IFERROR(('1. The Inputs'!B8-A22)*$B$10+C22*$B$11+(A22-C22)*$B$12+D22*'1. The Inputs'!B14,"")</f>
        <v>159.7025</v>
      </c>
    </row>
    <row r="23" customFormat="false" ht="15" hidden="false" customHeight="false" outlineLevel="0" collapsed="false">
      <c r="A23" s="11" t="n">
        <v>7</v>
      </c>
      <c r="B23" s="31" t="n">
        <f aca="false">IFERROR(BINOMDIST(A23,'1. The Inputs'!B8,'1. The Inputs'!B9,FALSE()),"")</f>
        <v>0.042467328</v>
      </c>
      <c r="C23" s="32" t="n">
        <f aca="false">MIN(A23,$B$9)</f>
        <v>7</v>
      </c>
      <c r="D23" s="17" t="n">
        <f aca="false">IFERROR($B$5-C23*$B$8,"")</f>
        <v>0.125</v>
      </c>
      <c r="E23" s="17" t="n">
        <f aca="false">IFERROR(('1. The Inputs'!B8-A23)*$B$10+C23*$D$11+(A23-C23)*$D$12+D23*'1. The Inputs'!B14,"")</f>
        <v>155.26125</v>
      </c>
      <c r="F23" s="17" t="n">
        <f aca="false">IFERROR(('1. The Inputs'!B8-A23)*$B$10+C23*$B$11+(A23-C23)*$B$12+D23*'1. The Inputs'!B14,"")</f>
        <v>155.26125</v>
      </c>
    </row>
    <row r="24" customFormat="false" ht="15" hidden="false" customHeight="false" outlineLevel="0" collapsed="false">
      <c r="A24" s="11" t="n">
        <v>8</v>
      </c>
      <c r="B24" s="31" t="n">
        <f aca="false">IFERROR(BINOMDIST(A24,'1. The Inputs'!B8,'1. The Inputs'!B9,FALSE()),"")</f>
        <v>0.010616832</v>
      </c>
      <c r="C24" s="32" t="n">
        <f aca="false">MIN(A24,$B$9)</f>
        <v>7</v>
      </c>
      <c r="D24" s="17" t="n">
        <f aca="false">IFERROR($B$5-C24*$B$8,"")</f>
        <v>0.125</v>
      </c>
      <c r="E24" s="17" t="n">
        <f aca="false">IFERROR(('1. The Inputs'!B8-A24)*$B$10+C24*$D$11+(A24-C24)*$D$12+D24*'1. The Inputs'!B14,"")</f>
        <v>148.177916666667</v>
      </c>
      <c r="F24" s="17" t="n">
        <f aca="false">IFERROR(('1. The Inputs'!B8-A24)*$B$10+C24*$B$11+(A24-C24)*$B$12+D24*'1. The Inputs'!B14,"")</f>
        <v>142.51125</v>
      </c>
    </row>
    <row r="25" customFormat="false" ht="15" hidden="false" customHeight="false" outlineLevel="0" collapsed="false">
      <c r="A25" s="11" t="n">
        <v>9</v>
      </c>
      <c r="B25" s="31" t="n">
        <f aca="false">IFERROR(BINOMDIST(A25,'1. The Inputs'!B8,'1. The Inputs'!B9,FALSE()),"")</f>
        <v>0.001572864</v>
      </c>
      <c r="C25" s="32" t="n">
        <f aca="false">MIN(A25,$B$9)</f>
        <v>7</v>
      </c>
      <c r="D25" s="17" t="n">
        <f aca="false">IFERROR($B$5-C25*$B$8,"")</f>
        <v>0.125</v>
      </c>
      <c r="E25" s="17" t="n">
        <f aca="false">IFERROR(('1. The Inputs'!B8-A25)*$B$10+C25*$D$11+(A25-C25)*$D$12+D25*'1. The Inputs'!B14,"")</f>
        <v>141.094583333333</v>
      </c>
      <c r="F25" s="17" t="n">
        <f aca="false">IFERROR(('1. The Inputs'!B8-A25)*$B$10+C25*$B$11+(A25-C25)*$B$12+D25*'1. The Inputs'!B14,"")</f>
        <v>129.76125</v>
      </c>
    </row>
    <row r="26" customFormat="false" ht="15" hidden="false" customHeight="false" outlineLevel="0" collapsed="false">
      <c r="A26" s="11" t="n">
        <v>10</v>
      </c>
      <c r="B26" s="31" t="n">
        <f aca="false">IFERROR(BINOMDIST(A26,'1. The Inputs'!B8,'1. The Inputs'!B9,FALSE()),"")</f>
        <v>0.0001048576</v>
      </c>
      <c r="C26" s="32" t="n">
        <f aca="false">MIN(A26,$B$9)</f>
        <v>7</v>
      </c>
      <c r="D26" s="17" t="n">
        <f aca="false">IFERROR($B$5-C26*$B$8,"")</f>
        <v>0.125</v>
      </c>
      <c r="E26" s="17" t="n">
        <f aca="false">IFERROR(('1. The Inputs'!B8-A26)*$B$10+C26*$D$11+(A26-C26)*$D$12+D26*'1. The Inputs'!B14,"")</f>
        <v>134.01125</v>
      </c>
      <c r="F26" s="17" t="n">
        <f aca="false">IFERROR(('1. The Inputs'!B8-A26)*$B$10+C26*$B$11+(A26-C26)*$B$12+D26*'1. The Inputs'!B14,"")</f>
        <v>117.01125</v>
      </c>
    </row>
    <row r="28" customFormat="false" ht="15" hidden="false" customHeight="false" outlineLevel="0" collapsed="false">
      <c r="A28" s="15" t="s">
        <v>150</v>
      </c>
      <c r="E28" s="21" t="n">
        <f aca="false">IFERROR(SUMPRODUCT($B$16:$B$26,E16:E26)/'1. The Inputs'!B7,"")</f>
        <v>1.68547807042048</v>
      </c>
      <c r="F28" s="21" t="n">
        <f aca="false">IFERROR(SUMPRODUCT($B$16:$B$26,F16:F26)/'1. The Inputs'!B7,"")</f>
        <v>1.68468036622848</v>
      </c>
    </row>
    <row r="29" customFormat="false" ht="15" hidden="false" customHeight="false" outlineLevel="0" collapsed="false">
      <c r="A29" s="15" t="s">
        <v>151</v>
      </c>
      <c r="E29" s="23" t="n">
        <f aca="false">'5. The Programme'!B10</f>
        <v>1.66666666666667</v>
      </c>
      <c r="F29" s="23" t="n">
        <f aca="false">'5. The Programme'!C10</f>
        <v>1.4</v>
      </c>
    </row>
    <row r="30" customFormat="false" ht="15" hidden="false" customHeight="false" outlineLevel="0" collapsed="false">
      <c r="A30" s="15" t="s">
        <v>152</v>
      </c>
      <c r="E30" s="26" t="n">
        <f aca="false">IFERROR(E28-E29,"")</f>
        <v>0.0188114037538127</v>
      </c>
      <c r="F30" s="26" t="n">
        <f aca="false">IFERROR(F28-F29,"")</f>
        <v>0.284680366228479</v>
      </c>
    </row>
    <row r="31" customFormat="false" ht="15" hidden="false" customHeight="false" outlineLevel="0" collapsed="false">
      <c r="A31" s="15" t="s">
        <v>153</v>
      </c>
      <c r="E31" s="27" t="n">
        <f aca="false">IFERROR(1-BINOMDIST($B$9,'1. The Inputs'!B8,'1. The Inputs'!B9,TRUE()),"")</f>
        <v>0.0122945536000003</v>
      </c>
    </row>
    <row r="33" customFormat="false" ht="51.75" hidden="false" customHeight="true" outlineLevel="0" collapsed="false">
      <c r="A33" s="14" t="s">
        <v>154</v>
      </c>
      <c r="B33" s="14"/>
      <c r="C33" s="14"/>
      <c r="D33" s="14"/>
      <c r="E33" s="14"/>
      <c r="F33" s="14"/>
      <c r="G33" s="14"/>
      <c r="H33" s="14"/>
    </row>
    <row r="35" customFormat="false" ht="48" hidden="false" customHeight="true" outlineLevel="0" collapsed="false">
      <c r="A35" s="14" t="s">
        <v>155</v>
      </c>
      <c r="B35" s="14"/>
      <c r="C35" s="14"/>
      <c r="D35" s="14"/>
      <c r="E35" s="14"/>
      <c r="F35" s="14"/>
      <c r="G35" s="14"/>
      <c r="H35" s="14"/>
    </row>
  </sheetData>
  <mergeCells count="2">
    <mergeCell ref="A33:H33"/>
    <mergeCell ref="A35:H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6"/>
    <col collapsed="false" customWidth="true" hidden="false" outlineLevel="0" max="5" min="4" style="0" width="17"/>
  </cols>
  <sheetData>
    <row r="1" customFormat="false" ht="17.35" hidden="false" customHeight="false" outlineLevel="0" collapsed="false">
      <c r="A1" s="6" t="s">
        <v>156</v>
      </c>
    </row>
    <row r="2" customFormat="false" ht="15" hidden="false" customHeight="false" outlineLevel="0" collapsed="false">
      <c r="A2" s="2" t="s">
        <v>157</v>
      </c>
    </row>
    <row r="4" customFormat="false" ht="30" hidden="false" customHeight="true" outlineLevel="0" collapsed="false">
      <c r="A4" s="7" t="s">
        <v>158</v>
      </c>
      <c r="B4" s="7" t="s">
        <v>159</v>
      </c>
      <c r="C4" s="7" t="s">
        <v>160</v>
      </c>
      <c r="D4" s="7" t="s">
        <v>161</v>
      </c>
      <c r="E4" s="7" t="s">
        <v>162</v>
      </c>
    </row>
    <row r="5" customFormat="false" ht="15" hidden="false" customHeight="false" outlineLevel="0" collapsed="false">
      <c r="A5" s="8" t="s">
        <v>133</v>
      </c>
      <c r="B5" s="19" t="n">
        <v>0.025</v>
      </c>
      <c r="C5" s="19" t="n">
        <f aca="false">'2. The Round'!B5</f>
        <v>0.025</v>
      </c>
      <c r="D5" s="34" t="str">
        <f aca="false">IF(ISERROR(C5),"CHECK",IF(ABS(C5-B5)&lt;=0.0002,"OK","CHECK"))</f>
        <v>OK</v>
      </c>
      <c r="E5" s="10" t="s">
        <v>163</v>
      </c>
    </row>
    <row r="6" customFormat="false" ht="15" hidden="false" customHeight="false" outlineLevel="0" collapsed="false">
      <c r="A6" s="8" t="s">
        <v>164</v>
      </c>
      <c r="B6" s="19" t="n">
        <v>0.01667</v>
      </c>
      <c r="C6" s="19" t="n">
        <f aca="false">'2. The Round'!B8</f>
        <v>0.0166666666666667</v>
      </c>
      <c r="D6" s="34" t="str">
        <f aca="false">IF(ISERROR(C6),"CHECK",IF(ABS(C6-B6)&lt;=0.0002,"OK","CHECK"))</f>
        <v>OK</v>
      </c>
      <c r="E6" s="10" t="s">
        <v>163</v>
      </c>
    </row>
    <row r="7" customFormat="false" ht="15" hidden="false" customHeight="false" outlineLevel="0" collapsed="false">
      <c r="A7" s="8" t="s">
        <v>165</v>
      </c>
      <c r="B7" s="17" t="n">
        <v>2.5</v>
      </c>
      <c r="C7" s="17" t="n">
        <f aca="false">'2. The Round'!B9</f>
        <v>2.5</v>
      </c>
      <c r="D7" s="34" t="str">
        <f aca="false">IF(ISERROR(C7),"CHECK",IF(ABS(C7-B7)&lt;=0.01,"OK","CHECK"))</f>
        <v>OK</v>
      </c>
      <c r="E7" s="10" t="s">
        <v>166</v>
      </c>
    </row>
    <row r="8" customFormat="false" ht="15" hidden="false" customHeight="false" outlineLevel="0" collapsed="false">
      <c r="A8" s="8" t="s">
        <v>167</v>
      </c>
      <c r="B8" s="17" t="n">
        <v>0</v>
      </c>
      <c r="C8" s="17" t="n">
        <f aca="false">'2. The Round'!B16</f>
        <v>0</v>
      </c>
      <c r="D8" s="34" t="str">
        <f aca="false">IF(ISERROR(C8),"CHECK",IF(ABS(C8-B8)&lt;=0.005,"OK","CHECK"))</f>
        <v>OK</v>
      </c>
      <c r="E8" s="10" t="s">
        <v>168</v>
      </c>
    </row>
    <row r="9" customFormat="false" ht="15" hidden="false" customHeight="false" outlineLevel="0" collapsed="false">
      <c r="A9" s="8" t="s">
        <v>169</v>
      </c>
      <c r="B9" s="22" t="n">
        <v>1.4</v>
      </c>
      <c r="C9" s="22" t="n">
        <f aca="false">'3. Plain Dilution'!B8</f>
        <v>1.4</v>
      </c>
      <c r="D9" s="34" t="str">
        <f aca="false">IF(ISERROR(C9),"CHECK",IF(ABS(C9-B9)&lt;=0.01,"OK","CHECK"))</f>
        <v>OK</v>
      </c>
      <c r="E9" s="10" t="s">
        <v>166</v>
      </c>
    </row>
    <row r="10" customFormat="false" ht="15" hidden="false" customHeight="false" outlineLevel="0" collapsed="false">
      <c r="A10" s="8" t="s">
        <v>170</v>
      </c>
      <c r="B10" s="22" t="n">
        <v>1.17</v>
      </c>
      <c r="C10" s="22" t="n">
        <f aca="false">'3. Plain Dilution'!C8</f>
        <v>1.16666666666667</v>
      </c>
      <c r="D10" s="34" t="str">
        <f aca="false">IF(ISERROR(C10),"CHECK",IF(ABS(C10-B10)&lt;=0.01,"OK","CHECK"))</f>
        <v>OK</v>
      </c>
      <c r="E10" s="10" t="s">
        <v>166</v>
      </c>
    </row>
    <row r="11" customFormat="false" ht="15" hidden="false" customHeight="false" outlineLevel="0" collapsed="false">
      <c r="A11" s="8" t="s">
        <v>171</v>
      </c>
      <c r="B11" s="22" t="n">
        <v>2.33</v>
      </c>
      <c r="C11" s="22" t="n">
        <f aca="false">'3. Plain Dilution'!B15</f>
        <v>2.33333333333333</v>
      </c>
      <c r="D11" s="34" t="str">
        <f aca="false">IF(ISERROR(C11),"CHECK",IF(ABS(C11-B11)&lt;=0.01,"OK","CHECK"))</f>
        <v>OK</v>
      </c>
      <c r="E11" s="10" t="s">
        <v>166</v>
      </c>
    </row>
    <row r="12" customFormat="false" ht="15" hidden="false" customHeight="false" outlineLevel="0" collapsed="false">
      <c r="A12" s="8" t="s">
        <v>172</v>
      </c>
      <c r="B12" s="17" t="n">
        <v>600</v>
      </c>
      <c r="C12" s="17" t="n">
        <f aca="false">'3. Plain Dilution'!B24</f>
        <v>600</v>
      </c>
      <c r="D12" s="34" t="str">
        <f aca="false">IF(ISERROR(C12),"CHECK",IF(ABS(C12-B12)&lt;=1,"OK","CHECK"))</f>
        <v>OK</v>
      </c>
      <c r="E12" s="10" t="s">
        <v>173</v>
      </c>
    </row>
    <row r="13" customFormat="false" ht="15" hidden="false" customHeight="false" outlineLevel="0" collapsed="false">
      <c r="A13" s="8" t="s">
        <v>174</v>
      </c>
      <c r="B13" s="22" t="n">
        <v>2</v>
      </c>
      <c r="C13" s="22" t="n">
        <f aca="false">'3. Plain Dilution'!B26</f>
        <v>2</v>
      </c>
      <c r="D13" s="34" t="str">
        <f aca="false">IF(ISERROR(C13),"CHECK",IF(ABS(C13-B13)&lt;=0.01,"OK","CHECK"))</f>
        <v>OK</v>
      </c>
      <c r="E13" s="10" t="s">
        <v>166</v>
      </c>
    </row>
    <row r="14" customFormat="false" ht="15" hidden="false" customHeight="false" outlineLevel="0" collapsed="false">
      <c r="A14" s="8" t="s">
        <v>175</v>
      </c>
      <c r="B14" s="22" t="n">
        <v>1.4</v>
      </c>
      <c r="C14" s="22" t="n">
        <f aca="false">'4. Pay-to-Play'!B10</f>
        <v>1.4</v>
      </c>
      <c r="D14" s="34" t="str">
        <f aca="false">IF(ISERROR(C14),"CHECK",IF(ABS(C14-B14)&lt;=0.01,"OK","CHECK"))</f>
        <v>OK</v>
      </c>
      <c r="E14" s="10" t="s">
        <v>166</v>
      </c>
    </row>
    <row r="15" customFormat="false" ht="15" hidden="false" customHeight="false" outlineLevel="0" collapsed="false">
      <c r="A15" s="8" t="s">
        <v>176</v>
      </c>
      <c r="B15" s="22" t="n">
        <v>0.5</v>
      </c>
      <c r="C15" s="22" t="n">
        <f aca="false">'4. Pay-to-Play'!C10</f>
        <v>0.5</v>
      </c>
      <c r="D15" s="34" t="str">
        <f aca="false">IF(ISERROR(C15),"CHECK",IF(ABS(C15-B15)&lt;=0.01,"OK","CHECK"))</f>
        <v>OK</v>
      </c>
      <c r="E15" s="10" t="s">
        <v>166</v>
      </c>
    </row>
    <row r="16" customFormat="false" ht="15" hidden="false" customHeight="false" outlineLevel="0" collapsed="false">
      <c r="A16" s="8" t="s">
        <v>177</v>
      </c>
      <c r="B16" s="22" t="n">
        <v>5</v>
      </c>
      <c r="C16" s="22" t="n">
        <f aca="false">'4. Pay-to-Play'!B12</f>
        <v>5</v>
      </c>
      <c r="D16" s="34" t="str">
        <f aca="false">IF(ISERROR(C16),"CHECK",IF(ABS(C16-B16)&lt;=0.02,"OK","CHECK"))</f>
        <v>OK</v>
      </c>
      <c r="E16" s="10" t="s">
        <v>178</v>
      </c>
    </row>
    <row r="17" customFormat="false" ht="15" hidden="false" customHeight="false" outlineLevel="0" collapsed="false">
      <c r="A17" s="8" t="s">
        <v>179</v>
      </c>
      <c r="B17" s="17" t="n">
        <v>250</v>
      </c>
      <c r="C17" s="17" t="n">
        <f aca="false">'4. Pay-to-Play'!B13</f>
        <v>250</v>
      </c>
      <c r="D17" s="34" t="str">
        <f aca="false">IF(ISERROR(C17),"CHECK",IF(ABS(C17-B17)&lt;=1,"OK","CHECK"))</f>
        <v>OK</v>
      </c>
      <c r="E17" s="10" t="s">
        <v>173</v>
      </c>
    </row>
    <row r="18" customFormat="false" ht="15" hidden="false" customHeight="false" outlineLevel="0" collapsed="false">
      <c r="A18" s="8" t="s">
        <v>180</v>
      </c>
      <c r="B18" s="22" t="n">
        <v>0.67</v>
      </c>
      <c r="C18" s="22" t="n">
        <f aca="false">'4. Pay-to-Play'!B18</f>
        <v>0.666666666666667</v>
      </c>
      <c r="D18" s="34" t="str">
        <f aca="false">IF(ISERROR(C18),"CHECK",IF(ABS(C18-B18)&lt;=0.01,"OK","CHECK"))</f>
        <v>OK</v>
      </c>
      <c r="E18" s="10" t="s">
        <v>166</v>
      </c>
    </row>
    <row r="19" customFormat="false" ht="15" hidden="false" customHeight="false" outlineLevel="0" collapsed="false">
      <c r="A19" s="8" t="s">
        <v>181</v>
      </c>
      <c r="B19" s="22" t="n">
        <v>1.667</v>
      </c>
      <c r="C19" s="22" t="n">
        <f aca="false">'5. The Programme'!B10</f>
        <v>1.66666666666667</v>
      </c>
      <c r="D19" s="34" t="str">
        <f aca="false">IF(ISERROR(C19),"CHECK",IF(ABS(C19-B19)&lt;=0.003,"OK","CHECK"))</f>
        <v>OK</v>
      </c>
      <c r="E19" s="10" t="s">
        <v>182</v>
      </c>
    </row>
    <row r="20" customFormat="false" ht="15" hidden="false" customHeight="false" outlineLevel="0" collapsed="false">
      <c r="A20" s="8" t="s">
        <v>183</v>
      </c>
      <c r="B20" s="22" t="n">
        <v>1.4</v>
      </c>
      <c r="C20" s="22" t="n">
        <f aca="false">'5. The Programme'!C10</f>
        <v>1.4</v>
      </c>
      <c r="D20" s="34" t="str">
        <f aca="false">IF(ISERROR(C20),"CHECK",IF(ABS(C20-B20)&lt;=0.003,"OK","CHECK"))</f>
        <v>OK</v>
      </c>
      <c r="E20" s="10" t="s">
        <v>182</v>
      </c>
    </row>
    <row r="21" customFormat="false" ht="15" hidden="false" customHeight="false" outlineLevel="0" collapsed="false">
      <c r="A21" s="8" t="s">
        <v>120</v>
      </c>
      <c r="B21" s="22" t="n">
        <v>-0.267</v>
      </c>
      <c r="C21" s="22" t="n">
        <f aca="false">'5. The Programme'!C11</f>
        <v>-0.266666666666667</v>
      </c>
      <c r="D21" s="34" t="str">
        <f aca="false">IF(ISERROR(C21),"CHECK",IF(ABS(C21-B21)&lt;=0.003,"OK","CHECK"))</f>
        <v>OK</v>
      </c>
      <c r="E21" s="10" t="s">
        <v>182</v>
      </c>
    </row>
    <row r="22" customFormat="false" ht="15" hidden="false" customHeight="false" outlineLevel="0" collapsed="false">
      <c r="A22" s="8" t="s">
        <v>184</v>
      </c>
      <c r="B22" s="22" t="n">
        <v>0.019</v>
      </c>
      <c r="C22" s="22" t="n">
        <f aca="false">'6. Sizing the Reserve'!E30</f>
        <v>0.0188114037538127</v>
      </c>
      <c r="D22" s="34" t="str">
        <f aca="false">IF(ISERROR(C22),"CHECK",IF(ABS(C22-B22)&lt;=0.002,"OK","CHECK"))</f>
        <v>OK</v>
      </c>
      <c r="E22" s="10" t="s">
        <v>185</v>
      </c>
    </row>
    <row r="23" customFormat="false" ht="15" hidden="false" customHeight="false" outlineLevel="0" collapsed="false">
      <c r="A23" s="8" t="s">
        <v>186</v>
      </c>
      <c r="B23" s="22" t="n">
        <v>0.285</v>
      </c>
      <c r="C23" s="22" t="n">
        <f aca="false">'6. Sizing the Reserve'!F30</f>
        <v>0.284680366228479</v>
      </c>
      <c r="D23" s="34" t="str">
        <f aca="false">IF(ISERROR(C23),"CHECK",IF(ABS(C23-B23)&lt;=0.002,"OK","CHECK"))</f>
        <v>OK</v>
      </c>
      <c r="E23" s="10" t="s">
        <v>185</v>
      </c>
    </row>
    <row r="24" customFormat="false" ht="15" hidden="false" customHeight="false" outlineLevel="0" collapsed="false">
      <c r="A24" s="8" t="s">
        <v>187</v>
      </c>
      <c r="B24" s="18" t="n">
        <v>0.012</v>
      </c>
      <c r="C24" s="18" t="n">
        <f aca="false">'6. Sizing the Reserve'!E31</f>
        <v>0.0122945536000003</v>
      </c>
      <c r="D24" s="34" t="str">
        <f aca="false">IF(ISERROR(C24),"CHECK",IF(ABS(C24-B24)&lt;=0.003,"OK","CHECK"))</f>
        <v>OK</v>
      </c>
      <c r="E24" s="10" t="s">
        <v>182</v>
      </c>
    </row>
    <row r="25" customFormat="false" ht="15" hidden="false" customHeight="false" outlineLevel="0" collapsed="false">
      <c r="A25" s="15" t="s">
        <v>188</v>
      </c>
      <c r="B25" s="22" t="n">
        <v>2</v>
      </c>
      <c r="C25" s="22" t="n">
        <f aca="false">'5. The Programme'!C17</f>
        <v>2</v>
      </c>
      <c r="D25" s="34" t="str">
        <f aca="false">IF(ISERROR(C25),"CHECK",IF(ABS(C25-B25)&lt;=0.005,"OK","CHECK"))</f>
        <v>OK</v>
      </c>
      <c r="E25" s="10" t="s">
        <v>189</v>
      </c>
    </row>
    <row r="26" customFormat="false" ht="15" hidden="false" customHeight="false" outlineLevel="0" collapsed="false">
      <c r="A26" s="15" t="s">
        <v>190</v>
      </c>
      <c r="C26" s="35" t="n">
        <f aca="false">SUM('6. Sizing the Reserve'!B16:B26)</f>
        <v>1</v>
      </c>
      <c r="D26" s="34" t="str">
        <f aca="false">IF(ISERROR(C26),"CHECK",IF(ABS(C26-1)&lt;0.00001,"OK","CHECK"))</f>
        <v>OK</v>
      </c>
      <c r="E26" s="10" t="s">
        <v>191</v>
      </c>
    </row>
    <row r="27" customFormat="false" ht="15" hidden="false" customHeight="false" outlineLevel="0" collapsed="false">
      <c r="A27" s="15" t="s">
        <v>192</v>
      </c>
      <c r="C27" s="31" t="n">
        <f aca="false">IFERROR(ABS('2. The Round'!B16),"")</f>
        <v>0</v>
      </c>
      <c r="D27" s="34" t="str">
        <f aca="false">IF(ISERROR(C27),"CHECK",IF(C27&lt;0.005,"OK","CHECK"))</f>
        <v>OK</v>
      </c>
      <c r="E27" s="10" t="s">
        <v>193</v>
      </c>
    </row>
    <row r="28" customFormat="false" ht="15" hidden="false" customHeight="false" outlineLevel="0" collapsed="false">
      <c r="A28" s="15" t="s">
        <v>194</v>
      </c>
      <c r="C28" s="22" t="n">
        <f aca="false">IFERROR('4. Pay-to-Play'!B14,"")</f>
        <v>0.833333333333333</v>
      </c>
      <c r="D28" s="34" t="str">
        <f aca="false">IF(ISERROR(C28),"CHECK",IF(C28&lt;1,"OK","CHECK"))</f>
        <v>OK</v>
      </c>
      <c r="E28" s="10" t="s">
        <v>195</v>
      </c>
    </row>
    <row r="30" customFormat="false" ht="15" hidden="false" customHeight="false" outlineLevel="0" collapsed="false">
      <c r="A30" s="15" t="s">
        <v>196</v>
      </c>
      <c r="B30" s="30" t="n">
        <f aca="false">COUNTA(D5:D28)</f>
        <v>24</v>
      </c>
      <c r="C30" s="30" t="n">
        <f aca="false">COUNTIF(D5:D28,"OK")</f>
        <v>24</v>
      </c>
      <c r="D30" s="36" t="str">
        <f aca="false">IF(C30=B30,"ALL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2026-08-22T09:51:20Z</dcterms:created>
  <dc:creator>openpyxl</dc:creator>
  <dc:description/>
  <dc:language>en-US</dc:language>
  <cp:lastModifiedBy/>
  <dcterms:modified xsi:type="dcterms:W3CDTF">2026-09-22T18:53:39Z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