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egend" sheetId="1" state="visible" r:id="rId3"/>
    <sheet name="Assumptions" sheetId="2" state="visible" r:id="rId4"/>
    <sheet name="Price Paths" sheetId="3" state="visible" r:id="rId5"/>
    <sheet name="Volumes and Spend" sheetId="4" state="visible" r:id="rId6"/>
    <sheet name="Clause Costs" sheetId="5" state="visible" r:id="rId7"/>
    <sheet name="Bridge A" sheetId="6" state="visible" r:id="rId8"/>
    <sheet name="Bridge B" sheetId="7" state="visible" r:id="rId9"/>
    <sheet name="Counterfactuals" sheetId="8" state="visible" r:id="rId10"/>
    <sheet name="Forecast Risk" sheetId="9" state="visible" r:id="rId11"/>
    <sheet name="Checks"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<sst xmlns="http://schemas.openxmlformats.org/spreadsheetml/2006/main" count="358" uniqueCount="337">
  <si>
    <t xml:space="preserve">The Contract Priced</t>
  </si>
  <si>
    <t xml:space="preserve">Larchmere Industrial / Brackenhurst Components — every figure in the book, as a live formula.</t>
  </si>
  <si>
    <t xml:space="preserve">What this is</t>
  </si>
  <si>
    <t xml:space="preserve">The complete case from Contract Management: two bids, three years, and the cost of every clause.</t>
  </si>
  <si>
    <t xml:space="preserve">How to read it</t>
  </si>
  <si>
    <t xml:space="preserve">Blue cells are inputs you can change. Black cells are formulas. Green cells pull from another sheet.</t>
  </si>
  <si>
    <t xml:space="preserve">Yellow shading marks the assumptions that carry the answer: change one and watch the conclusion move.</t>
  </si>
  <si>
    <t xml:space="preserve">Sheet order</t>
  </si>
  <si>
    <t xml:space="preserve">Assumptions -&gt; Price Paths -&gt; Volumes and Spend -&gt; Clause Costs -&gt; Bridge A -&gt; Bridge B -&gt; Counterfactuals -&gt; Forecast Risk -&gt; Checks.</t>
  </si>
  <si>
    <t xml:space="preserve">Checks</t>
  </si>
  <si>
    <t xml:space="preserve">The Checks sheet recomputes every published figure from the live formulas and reports the variance.</t>
  </si>
  <si>
    <t xml:space="preserve">Nothing is locked</t>
  </si>
  <si>
    <t xml:space="preserve">No protection, no password, no watermark. Break it, rebuild it, use it on a contract of your own.</t>
  </si>
  <si>
    <t xml:space="preserve">The case is invented</t>
  </si>
  <si>
    <t xml:space="preserve">Larchmere and Brackenhurst do not exist. The arithmetic is exact and internally consistent.</t>
  </si>
  <si>
    <t xml:space="preserve">Revised</t>
  </si>
  <si>
    <t xml:space="preserve">Revised 24 September 2026. The Counterfactuals sheet the legend promised is built (Chapter 17). With the index capped, the force majeure premium is recomputed at the lower price like everything else: the best single fix leaves -901,798.46, not -891,671.30, and three clauses reach +21,103.79, not +31,230.95. Forecast Risk carries Chapter 16. Thirty-nine checks.</t>
  </si>
  <si>
    <t xml:space="preserve">Assumptions</t>
  </si>
  <si>
    <t xml:space="preserve">Blue cells drive everything else. Yellow cells are the ones that decide the answer.</t>
  </si>
  <si>
    <t xml:space="preserve">The tender</t>
  </si>
  <si>
    <t xml:space="preserve">Volume assumed in the tender, units a year</t>
  </si>
  <si>
    <t xml:space="preserve">volume_dossier</t>
  </si>
  <si>
    <t xml:space="preserve">Winning unit price, year one</t>
  </si>
  <si>
    <t xml:space="preserve">prix_retenu</t>
  </si>
  <si>
    <t xml:space="preserve">Rejected unit price, year one</t>
  </si>
  <si>
    <t xml:space="preserve">prix_ecarte</t>
  </si>
  <si>
    <t xml:space="preserve">Term, months</t>
  </si>
  <si>
    <t xml:space="preserve">duree_mois</t>
  </si>
  <si>
    <t xml:space="preserve">Volumes actually taken</t>
  </si>
  <si>
    <t xml:space="preserve">Units, year one</t>
  </si>
  <si>
    <t xml:space="preserve">vol_a1</t>
  </si>
  <si>
    <t xml:space="preserve">Units, year two</t>
  </si>
  <si>
    <t xml:space="preserve">vol_a2</t>
  </si>
  <si>
    <t xml:space="preserve">Units, year three</t>
  </si>
  <si>
    <t xml:space="preserve">vol_a3</t>
  </si>
  <si>
    <t xml:space="preserve">Indexation</t>
  </si>
  <si>
    <t xml:space="preserve">Index movement, year two</t>
  </si>
  <si>
    <t xml:space="preserve">index_a2</t>
  </si>
  <si>
    <t xml:space="preserve">Index movement, year three</t>
  </si>
  <si>
    <t xml:space="preserve">index_a3</t>
  </si>
  <si>
    <t xml:space="preserve">Signed: firm period, months</t>
  </si>
  <si>
    <t xml:space="preserve">signe_ferme_mois</t>
  </si>
  <si>
    <t xml:space="preserve">Signed: revision frequency, months</t>
  </si>
  <si>
    <t xml:space="preserve">signe_pas_mois</t>
  </si>
  <si>
    <t xml:space="preserve">Rejected bid: firm period, months</t>
  </si>
  <si>
    <t xml:space="preserve">alt_ferme_mois</t>
  </si>
  <si>
    <t xml:space="preserve">Rejected bid: annual cap</t>
  </si>
  <si>
    <t xml:space="preserve">alt_plafond_an</t>
  </si>
  <si>
    <t xml:space="preserve">Volume band and rebate</t>
  </si>
  <si>
    <t xml:space="preserve">Band threshold, units a year</t>
  </si>
  <si>
    <t xml:space="preserve">palier_volume</t>
  </si>
  <si>
    <t xml:space="preserve">Surcharge below the threshold</t>
  </si>
  <si>
    <t xml:space="preserve">surcharge_taux</t>
  </si>
  <si>
    <t xml:space="preserve">Rebate threshold, units a year</t>
  </si>
  <si>
    <t xml:space="preserve">ristourne_seuil</t>
  </si>
  <si>
    <t xml:space="preserve">Rebate rate</t>
  </si>
  <si>
    <t xml:space="preserve">ristourne_taux</t>
  </si>
  <si>
    <t xml:space="preserve">Stretch plan used in the business case</t>
  </si>
  <si>
    <t xml:space="preserve">vol_plan_etire</t>
  </si>
  <si>
    <t xml:space="preserve">Payment, currency, change control</t>
  </si>
  <si>
    <t xml:space="preserve">Payment terms signed, days</t>
  </si>
  <si>
    <t xml:space="preserve">delai_signe_j</t>
  </si>
  <si>
    <t xml:space="preserve">Payment terms offered, days</t>
  </si>
  <si>
    <t xml:space="preserve">delai_alternatif_j</t>
  </si>
  <si>
    <t xml:space="preserve">Buyer cost of funds</t>
  </si>
  <si>
    <t xml:space="preserve">cout_des_fonds</t>
  </si>
  <si>
    <t xml:space="preserve">Currency movement, year two</t>
  </si>
  <si>
    <t xml:space="preserve">fx_a2</t>
  </si>
  <si>
    <t xml:space="preserve">Currency movement, year three</t>
  </si>
  <si>
    <t xml:space="preserve">fx_a3</t>
  </si>
  <si>
    <t xml:space="preserve">Engineering changes a year</t>
  </si>
  <si>
    <t xml:space="preserve">avenants_an</t>
  </si>
  <si>
    <t xml:space="preserve">Average cost base of a change</t>
  </si>
  <si>
    <t xml:space="preserve">avenant_base</t>
  </si>
  <si>
    <t xml:space="preserve">Change margin signed</t>
  </si>
  <si>
    <t xml:space="preserve">marge_avenant_signe</t>
  </si>
  <si>
    <t xml:space="preserve">Change margin offered</t>
  </si>
  <si>
    <t xml:space="preserve">marge_avenant_alt</t>
  </si>
  <si>
    <t xml:space="preserve">Delivery, warranty, liability</t>
  </si>
  <si>
    <t xml:space="preserve">Cost of an hour of line stoppage</t>
  </si>
  <si>
    <t xml:space="preserve">cout_ligne_heure</t>
  </si>
  <si>
    <t xml:space="preserve">Hours lost, year one</t>
  </si>
  <si>
    <t xml:space="preserve">arret_h_a1</t>
  </si>
  <si>
    <t xml:space="preserve">Hours lost, year two</t>
  </si>
  <si>
    <t xml:space="preserve">arret_h_a2</t>
  </si>
  <si>
    <t xml:space="preserve">Hours lost, year three</t>
  </si>
  <si>
    <t xml:space="preserve">arret_h_a3</t>
  </si>
  <si>
    <t xml:space="preserve">Orders affected</t>
  </si>
  <si>
    <t xml:space="preserve">nb_cmd_touchees</t>
  </si>
  <si>
    <t xml:space="preserve">Units in an affected order</t>
  </si>
  <si>
    <t xml:space="preserve">cmd_touchee_unites</t>
  </si>
  <si>
    <t xml:space="preserve">Damages cap signed</t>
  </si>
  <si>
    <t xml:space="preserve">pen_plafond_signe</t>
  </si>
  <si>
    <t xml:space="preserve">Damages cap offered</t>
  </si>
  <si>
    <t xml:space="preserve">pen_plafond_alt</t>
  </si>
  <si>
    <t xml:space="preserve">Warranty signed, months from delivery</t>
  </si>
  <si>
    <t xml:space="preserve">garantie_signe_m</t>
  </si>
  <si>
    <t xml:space="preserve">Warranty offered, months</t>
  </si>
  <si>
    <t xml:space="preserve">garantie_alt_m</t>
  </si>
  <si>
    <t xml:space="preserve">Buyer's warranty to its customers, months</t>
  </si>
  <si>
    <t xml:space="preserve">garantie_client_m</t>
  </si>
  <si>
    <t xml:space="preserve">Delivery to commissioning, months</t>
  </si>
  <si>
    <t xml:space="preserve">delai_mise_en_service_m</t>
  </si>
  <si>
    <t xml:space="preserve">Defect rate</t>
  </si>
  <si>
    <t xml:space="preserve">taux_defaut</t>
  </si>
  <si>
    <t xml:space="preserve">Field repair cost a unit</t>
  </si>
  <si>
    <t xml:space="preserve">cout_reprise_unite</t>
  </si>
  <si>
    <t xml:space="preserve">Defects surfacing by 12 months</t>
  </si>
  <si>
    <t xml:space="preserve">part_defauts_12m</t>
  </si>
  <si>
    <t xml:space="preserve">Defects surfacing by 24 months</t>
  </si>
  <si>
    <t xml:space="preserve">part_defauts_24m</t>
  </si>
  <si>
    <t xml:space="preserve">Machines in a recall scenario</t>
  </si>
  <si>
    <t xml:space="preserve">rappel_machines</t>
  </si>
  <si>
    <t xml:space="preserve">Recall cost a machine</t>
  </si>
  <si>
    <t xml:space="preserve">rappel_cout_machine</t>
  </si>
  <si>
    <t xml:space="preserve">Rejected bid liability cap, multiple of annual charges</t>
  </si>
  <si>
    <t xml:space="preserve">plafond_alt_mult</t>
  </si>
  <si>
    <t xml:space="preserve">Force majeure, tooling, exit</t>
  </si>
  <si>
    <t xml:space="preserve">Force majeure declared, weeks</t>
  </si>
  <si>
    <t xml:space="preserve">fm_semaines</t>
  </si>
  <si>
    <t xml:space="preserve">Alternative sourcing trigger offered, weeks</t>
  </si>
  <si>
    <t xml:space="preserve">fm_franchise_alt_sem</t>
  </si>
  <si>
    <t xml:space="preserve">Units bought on the spot market</t>
  </si>
  <si>
    <t xml:space="preserve">fm_unites_spot</t>
  </si>
  <si>
    <t xml:space="preserve">Spot price</t>
  </si>
  <si>
    <t xml:space="preserve">fm_prix_spot</t>
  </si>
  <si>
    <t xml:space="preserve">Tooling paid by the buyer</t>
  </si>
  <si>
    <t xml:space="preserve">outillage_paye</t>
  </si>
  <si>
    <t xml:space="preserve">Tooling amortisation, months</t>
  </si>
  <si>
    <t xml:space="preserve">outillage_amort_mois</t>
  </si>
  <si>
    <t xml:space="preserve">Tooling at an alternative supplier</t>
  </si>
  <si>
    <t xml:space="preserve">outillage_ailleurs</t>
  </si>
  <si>
    <t xml:space="preserve">Notice signed, months</t>
  </si>
  <si>
    <t xml:space="preserve">preavis_signe_m</t>
  </si>
  <si>
    <t xml:space="preserve">Notice offered, months</t>
  </si>
  <si>
    <t xml:space="preserve">preavis_alt_m</t>
  </si>
  <si>
    <t xml:space="preserve">Market price obtained in year three</t>
  </si>
  <si>
    <t xml:space="preserve">prix_marche_a3</t>
  </si>
  <si>
    <t xml:space="preserve">Stock and work in progress, units</t>
  </si>
  <si>
    <t xml:space="preserve">stock_encours_unites</t>
  </si>
  <si>
    <t xml:space="preserve">Yellow = the assumptions that carry the answer. Change one and the whole book moves.</t>
  </si>
  <si>
    <t xml:space="preserve">Quarterly price paths, and the crossover</t>
  </si>
  <si>
    <t xml:space="preserve">The signed contract indexes from month 13 with no cap. The rejected bid is firm for 24 months, then capped.</t>
  </si>
  <si>
    <t xml:space="preserve">Quarter</t>
  </si>
  <si>
    <t xml:space="preserve">Months</t>
  </si>
  <si>
    <t xml:space="preserve">Price signed</t>
  </si>
  <si>
    <t xml:space="preserve">Price rejected bid</t>
  </si>
  <si>
    <t xml:space="preserve">Signed dearer?</t>
  </si>
  <si>
    <t xml:space="preserve">Quarterly step, year two</t>
  </si>
  <si>
    <t xml:space="preserve">Quarterly step, year three</t>
  </si>
  <si>
    <t xml:space="preserve">Quarterly step, capped alternative</t>
  </si>
  <si>
    <t xml:space="preserve">Each quarter compounds from the base price, exactly as the book does.</t>
  </si>
  <si>
    <t xml:space="preserve">Crossover quarter</t>
  </si>
  <si>
    <t xml:space="preserve">Crossover month</t>
  </si>
  <si>
    <t xml:space="preserve">Average price paid, by year</t>
  </si>
  <si>
    <t xml:space="preserve">Year 1</t>
  </si>
  <si>
    <t xml:space="preserve">Year 2</t>
  </si>
  <si>
    <t xml:space="preserve">Year 3</t>
  </si>
  <si>
    <t xml:space="preserve">Volumes, prices and spend</t>
  </si>
  <si>
    <t xml:space="preserve">The price line on its own, before a single clause is priced.</t>
  </si>
  <si>
    <t xml:space="preserve">Year</t>
  </si>
  <si>
    <t xml:space="preserve">Units</t>
  </si>
  <si>
    <t xml:space="preserve">Price paid</t>
  </si>
  <si>
    <t xml:space="preserve">Spend</t>
  </si>
  <si>
    <t xml:space="preserve">Spend rejected bid</t>
  </si>
  <si>
    <t xml:space="preserve">Difference</t>
  </si>
  <si>
    <t xml:space="preserve">Total</t>
  </si>
  <si>
    <t xml:space="preserve">Volume assumed in the tender, three years</t>
  </si>
  <si>
    <t xml:space="preserve">Shortfall against the tender</t>
  </si>
  <si>
    <t xml:space="preserve">The cost of every clause</t>
  </si>
  <si>
    <t xml:space="preserve">Each clause is priced as what was signed minus what the rejected bid offered. Both were on the table.</t>
  </si>
  <si>
    <t xml:space="preserve">Clause</t>
  </si>
  <si>
    <t xml:space="preserve">Working</t>
  </si>
  <si>
    <t xml:space="preserve">Cost over three years</t>
  </si>
  <si>
    <t xml:space="preserve">Per unit</t>
  </si>
  <si>
    <t xml:space="preserve">Volume band, by year</t>
  </si>
  <si>
    <t xml:space="preserve">Volume band: 4.50 per cent surcharge below the threshold; the rejected bid had none</t>
  </si>
  <si>
    <t xml:space="preserve">sum of the yearly surcharges</t>
  </si>
  <si>
    <t xml:space="preserve">Priced in the supplier's currency against the buyer's</t>
  </si>
  <si>
    <t xml:space="preserve">spend after year one x cumulative movement</t>
  </si>
  <si>
    <t xml:space="preserve">Warranty 12 months from delivery against 24</t>
  </si>
  <si>
    <t xml:space="preserve">defect population outside cover x repair cost</t>
  </si>
  <si>
    <t xml:space="preserve">Change control at cost plus 22 per cent against 12</t>
  </si>
  <si>
    <t xml:space="preserve">changes x base x margin difference x years</t>
  </si>
  <si>
    <t xml:space="preserve">Force majeure with no alternative sourcing right against a four-week trigger</t>
  </si>
  <si>
    <t xml:space="preserve">units outside the trigger x spot premium</t>
  </si>
  <si>
    <t xml:space="preserve">Liquidated damages capped at 5 per cent of the affected order against 10</t>
  </si>
  <si>
    <t xml:space="preserve">affected order value x difference in caps</t>
  </si>
  <si>
    <t xml:space="preserve">Payment terms: 45 days signed against 60 offered</t>
  </si>
  <si>
    <t xml:space="preserve">spend x days / 365 x cost of funds</t>
  </si>
  <si>
    <t xml:space="preserve">Total cost of the clause package</t>
  </si>
  <si>
    <t xml:space="preserve">Knowable at signature (everything except force majeure)</t>
  </si>
  <si>
    <t xml:space="preserve">Event-driven, not knowable</t>
  </si>
  <si>
    <t xml:space="preserve">Clause cost as a share of spend</t>
  </si>
  <si>
    <t xml:space="preserve">Not costs: exposure carried, and the barrier to exit</t>
  </si>
  <si>
    <t xml:space="preserve">Recall exposure the signed contract recovers nothing against</t>
  </si>
  <si>
    <t xml:space="preserve">Cost of walking away at the end of year two</t>
  </si>
  <si>
    <t xml:space="preserve">Neither is added to the clause cost above. Three columns, never summed.</t>
  </si>
  <si>
    <t xml:space="preserve">From the business case to what the price actually returned</t>
  </si>
  <si>
    <t xml:space="preserve">The 1,228,920 the board approved, and where it went.</t>
  </si>
  <si>
    <t xml:space="preserve">Amount</t>
  </si>
  <si>
    <t xml:space="preserve">Business case as approved</t>
  </si>
  <si>
    <t xml:space="preserve">Rebate booked in the case and never earned</t>
  </si>
  <si>
    <t xml:space="preserve">Volumes below the tender forecast</t>
  </si>
  <si>
    <t xml:space="preserve">Indexation from month thirteen</t>
  </si>
  <si>
    <t xml:space="preserve">Price saving actually realised</t>
  </si>
  <si>
    <t xml:space="preserve">Cross-check: the same figure taken straight from Volumes and Spend</t>
  </si>
  <si>
    <t xml:space="preserve">From the price saving to the net position</t>
  </si>
  <si>
    <t xml:space="preserve">The clause package, subtracted one line at a time.</t>
  </si>
  <si>
    <t xml:space="preserve">Net position against the rejected bid</t>
  </si>
  <si>
    <t xml:space="preserve">Swing against the approved business case</t>
  </si>
  <si>
    <t xml:space="preserve">Clause cost per unit</t>
  </si>
  <si>
    <t xml:space="preserve">Equivalence price: below this the deal is worth signing</t>
  </si>
  <si>
    <t xml:space="preserve">Further discount the winning bid needed</t>
  </si>
  <si>
    <t xml:space="preserve">Clause package as a multiple of the bid gap</t>
  </si>
  <si>
    <t xml:space="preserve">One clause at a time: the counterfactuals of Chapter 17</t>
  </si>
  <si>
    <t xml:space="preserve">Change one clause to the version the rejected bid offered, leave everything else, and recompute the net position.</t>
  </si>
  <si>
    <t xml:space="preserve">1. The signed price path with the rejected bid's 3 per cent annual cap</t>
  </si>
  <si>
    <t xml:space="preserve">Quarterly step, year two, capped</t>
  </si>
  <si>
    <t xml:space="preserve">Quarterly step, year three, capped</t>
  </si>
  <si>
    <t xml:space="preserve">Price, capped</t>
  </si>
  <si>
    <t xml:space="preserve">Average price, capped</t>
  </si>
  <si>
    <t xml:space="preserve">Spend, capped</t>
  </si>
  <si>
    <t xml:space="preserve">2. The clauses recomputed at the capped prices</t>
  </si>
  <si>
    <t xml:space="preserve">Price saving against the rejected bid, capped</t>
  </si>
  <si>
    <t xml:space="preserve">Volume band at the capped prices</t>
  </si>
  <si>
    <t xml:space="preserve">Currency at the capped spend</t>
  </si>
  <si>
    <t xml:space="preserve">Payment terms at the capped spend</t>
  </si>
  <si>
    <t xml:space="preserve">Force majeure: the spot premium over the capped year-two price</t>
  </si>
  <si>
    <t xml:space="preserve">Warranty, change control and liquidated damages do not move with the price</t>
  </si>
  <si>
    <t xml:space="preserve">Net position with only the indexation clause aligned</t>
  </si>
  <si>
    <t xml:space="preserve">The same, with the force majeure premium held at the uncapped price (the first edition)</t>
  </si>
  <si>
    <t xml:space="preserve">A lower contract price makes each spot unit dearer against it: the premium rises by the price the cap removes.</t>
  </si>
  <si>
    <t xml:space="preserve">3. Each clause aligned on its own</t>
  </si>
  <si>
    <t xml:space="preserve">Clause aligned to the rejected bid</t>
  </si>
  <si>
    <t xml:space="preserve">Net position</t>
  </si>
  <si>
    <t xml:space="preserve">Improvement</t>
  </si>
  <si>
    <t xml:space="preserve">Rank</t>
  </si>
  <si>
    <t xml:space="preserve">Cost, signed prices</t>
  </si>
  <si>
    <t xml:space="preserve">Cost, capped prices</t>
  </si>
  <si>
    <t xml:space="preserve">Indexation capped at 3 per cent</t>
  </si>
  <si>
    <t xml:space="preserve">Volume band removed</t>
  </si>
  <si>
    <t xml:space="preserve">Priced in the buyer's currency</t>
  </si>
  <si>
    <t xml:space="preserve">Warranty of 24 months</t>
  </si>
  <si>
    <t xml:space="preserve">Change control at 12 per cent</t>
  </si>
  <si>
    <t xml:space="preserve">Force majeure with a four-week trigger</t>
  </si>
  <si>
    <t xml:space="preserve">Liquidated damages at 10 per cent</t>
  </si>
  <si>
    <t xml:space="preserve">Payment terms of 60 days</t>
  </si>
  <si>
    <t xml:space="preserve">4. The smallest sufficient package: the most valuable remaining clause at each step</t>
  </si>
  <si>
    <t xml:space="preserve">Clauses aligned</t>
  </si>
  <si>
    <t xml:space="preserve">Clause added</t>
  </si>
  <si>
    <t xml:space="preserve">Clauses needed to break even</t>
  </si>
  <si>
    <t xml:space="preserve">Net position once they are aligned</t>
  </si>
  <si>
    <t xml:space="preserve">What the clauses below that line add</t>
  </si>
  <si>
    <t xml:space="preserve">The best single fix, as an improvement</t>
  </si>
  <si>
    <t xml:space="preserve">Distance still left to break even after it</t>
  </si>
  <si>
    <t xml:space="preserve">Rows 41 to 48 change one clause and hold the other seven. When the index is capped, the volume band, the currency, the payment terms and the force majeure premium are all recomputed at the lower price; the first version of this sheet in the book held the force majeure premium at the uncapped price, which overstated the index cap by 10,127.16.</t>
  </si>
  <si>
    <t xml:space="preserve">Who carries the forecast: Chapter 16</t>
  </si>
  <si>
    <t xml:space="preserve">The year-two scenarios of the commercial plan, run through the band and the rebate, and the twenty per cent test.</t>
  </si>
  <si>
    <t xml:space="preserve">Scenarios, year two</t>
  </si>
  <si>
    <t xml:space="preserve">Low case, units</t>
  </si>
  <si>
    <t xml:space="preserve">Base case, units (the tender)</t>
  </si>
  <si>
    <t xml:space="preserve">High case, units</t>
  </si>
  <si>
    <t xml:space="preserve">Price, year two</t>
  </si>
  <si>
    <t xml:space="preserve">Scenario</t>
  </si>
  <si>
    <t xml:space="preserve">Surcharge?</t>
  </si>
  <si>
    <t xml:space="preserve">Rebate?</t>
  </si>
  <si>
    <t xml:space="preserve">Low</t>
  </si>
  <si>
    <t xml:space="preserve">Base</t>
  </si>
  <si>
    <t xml:space="preserve">High</t>
  </si>
  <si>
    <t xml:space="preserve">The contract charges more per unit exactly when the buyer sells fewer machines.</t>
  </si>
  <si>
    <t xml:space="preserve">The twenty per cent test</t>
  </si>
  <si>
    <t xml:space="preserve">Units at twenty per cent below the forecast</t>
  </si>
  <si>
    <t xml:space="preserve">Surcharge that year, at the year-two price</t>
  </si>
  <si>
    <t xml:space="preserve">the first edition printed 253,073, the actual year two</t>
  </si>
  <si>
    <t xml:space="preserve">Units at twenty per cent above the forecast</t>
  </si>
  <si>
    <t xml:space="preserve">Rebate that year, at the year-two price</t>
  </si>
  <si>
    <t xml:space="preserve">the first edition said nothing changes: 74,400 clears 65,000</t>
  </si>
  <si>
    <t xml:space="preserve">How far the actual years fell below the band</t>
  </si>
  <si>
    <t xml:space="preserve">Year two, short of the threshold, as a share of it</t>
  </si>
  <si>
    <t xml:space="preserve">the first edition printed 5.81 per cent</t>
  </si>
  <si>
    <t xml:space="preserve">Year three, the same</t>
  </si>
  <si>
    <t xml:space="preserve">The four forecast mechanisms against the largest theme</t>
  </si>
  <si>
    <t xml:space="preserve">Volume band cost plus the rebate booked and never earned</t>
  </si>
  <si>
    <t xml:space="preserve">Indexation, from Bridge A, for comparison</t>
  </si>
  <si>
    <t xml:space="preserve">Which is larger</t>
  </si>
  <si>
    <t xml:space="preserve">Every figure published in the book, recomputed from the live formulas on the other sheets. Change an assumption and these move: that is the point.</t>
  </si>
  <si>
    <t xml:space="preserve">Figure</t>
  </si>
  <si>
    <t xml:space="preserve">Live formula</t>
  </si>
  <si>
    <t xml:space="preserve">As published</t>
  </si>
  <si>
    <t xml:space="preserve">Variance</t>
  </si>
  <si>
    <t xml:space="preserve">Status</t>
  </si>
  <si>
    <t xml:space="preserve">Average price paid, year three</t>
  </si>
  <si>
    <t xml:space="preserve">Spend over the term</t>
  </si>
  <si>
    <t xml:space="preserve">Spend under the rejected bid</t>
  </si>
  <si>
    <t xml:space="preserve">Volume band</t>
  </si>
  <si>
    <t xml:space="preserve">Currency</t>
  </si>
  <si>
    <t xml:space="preserve">Warranty</t>
  </si>
  <si>
    <t xml:space="preserve">Change control</t>
  </si>
  <si>
    <t xml:space="preserve">Force majeure</t>
  </si>
  <si>
    <t xml:space="preserve">Liquidated damages</t>
  </si>
  <si>
    <t xml:space="preserve">Payment terms</t>
  </si>
  <si>
    <t xml:space="preserve">Cost of the clause package</t>
  </si>
  <si>
    <t xml:space="preserve">Knowable at signature</t>
  </si>
  <si>
    <t xml:space="preserve">Share knowable at signature</t>
  </si>
  <si>
    <t xml:space="preserve">Recall exposure carried</t>
  </si>
  <si>
    <t xml:space="preserve">Cost of walking away, end of year two</t>
  </si>
  <si>
    <t xml:space="preserve">Net against the rejected bid</t>
  </si>
  <si>
    <t xml:space="preserve">Swing against the approved case</t>
  </si>
  <si>
    <t xml:space="preserve">Equivalence price</t>
  </si>
  <si>
    <t xml:space="preserve">Further discount required</t>
  </si>
  <si>
    <t xml:space="preserve">Multiple of the bid gap</t>
  </si>
  <si>
    <t xml:space="preserve">Counterfactual: indexation capped on its own, net position</t>
  </si>
  <si>
    <t xml:space="preserve">revised: the first edition printed -891,671.30 (force majeure premium frozen)</t>
  </si>
  <si>
    <t xml:space="preserve">Counterfactual: volume band removed on its own</t>
  </si>
  <si>
    <t xml:space="preserve">Counterfactual: payment terms of 60 days on its own</t>
  </si>
  <si>
    <t xml:space="preserve">Counterfactual: the best single fix, as an improvement</t>
  </si>
  <si>
    <t xml:space="preserve">revised: the first edition printed 586,931</t>
  </si>
  <si>
    <t xml:space="preserve">Counterfactual: clauses needed to break even</t>
  </si>
  <si>
    <t xml:space="preserve">Counterfactual: net position with those three aligned</t>
  </si>
  <si>
    <t xml:space="preserve">revised: the first edition printed +31,230.95</t>
  </si>
  <si>
    <t xml:space="preserve">Counterfactual: all eight aligned</t>
  </si>
  <si>
    <t xml:space="preserve">Counterfactual: what the five below the line add</t>
  </si>
  <si>
    <t xml:space="preserve">revised: the first edition printed 594,382</t>
  </si>
  <si>
    <t xml:space="preserve">Chapter 16: spend at the low case, year two</t>
  </si>
  <si>
    <t xml:space="preserve">Chapter 16: per unit at the low case</t>
  </si>
  <si>
    <t xml:space="preserve">Chapter 16: per unit at the high case</t>
  </si>
  <si>
    <t xml:space="preserve">Chapter 16: surcharge at twenty per cent below forecast</t>
  </si>
  <si>
    <t xml:space="preserve">revised: the first edition printed 253,073</t>
  </si>
  <si>
    <t xml:space="preserve">Chapter 16: rebate at twenty per cent above forecast</t>
  </si>
  <si>
    <t xml:space="preserve">revised: the first edition said nothing changes</t>
  </si>
  <si>
    <t xml:space="preserve">Chapter 4: year two short of the threshold, as a share of it</t>
  </si>
  <si>
    <t xml:space="preserve">revised: the first edition printed 5.81 per cent</t>
  </si>
  <si>
    <t xml:space="preserve">Chapter 16: the four forecast mechanisms</t>
  </si>
  <si>
    <t xml:space="preserve">second to indexation (791,046), not first</t>
  </si>
  <si>
    <t xml:space="preserve">Checks passing</t>
  </si>
  <si>
    <t xml:space="preserve">All checks</t>
  </si>
</sst>
</file>

<file path=xl/styles.xml><?xml version="1.0" encoding="utf-8"?>
<styleSheet xmlns="http://schemas.openxmlformats.org/spreadsheetml/2006/main">
  <numFmts count="11">
    <numFmt numFmtId="164" formatCode="General"/>
    <numFmt numFmtId="165" formatCode="#,##0"/>
    <numFmt numFmtId="166" formatCode="#,##0.00"/>
    <numFmt numFmtId="167" formatCode="0.00%"/>
    <numFmt numFmtId="168" formatCode="0.000%"/>
    <numFmt numFmtId="169" formatCode="0.0000%"/>
    <numFmt numFmtId="170" formatCode="#,##0.0000"/>
    <numFmt numFmtId="171" formatCode="General"/>
    <numFmt numFmtId="172" formatCode="0"/>
    <numFmt numFmtId="173" formatCode="0.0000"/>
    <numFmt numFmtId="174" formatCode="0.00"/>
  </numFmts>
  <fonts count="12">
    <font>
      <sz val="11"/>
      <color theme="1"/>
      <name val="Calibri"/>
      <family val="2"/>
      <charset val="1"/>
    </font>
    <font>
      <sz val="10"/>
      <name val="Arial"/>
      <family val="0"/>
    </font>
    <font>
      <sz val="10"/>
      <name val="Arial"/>
      <family val="0"/>
    </font>
    <font>
      <sz val="10"/>
      <name val="Arial"/>
      <family val="0"/>
    </font>
    <font>
      <b val="true"/>
      <sz val="13"/>
      <color rgb="FF1F3864"/>
      <name val="Arial"/>
      <family val="0"/>
      <charset val="1"/>
    </font>
    <font>
      <sz val="10"/>
      <color rgb="FF595959"/>
      <name val="Arial"/>
      <family val="0"/>
      <charset val="1"/>
    </font>
    <font>
      <b val="true"/>
      <sz val="10"/>
      <name val="Arial"/>
      <family val="0"/>
      <charset val="1"/>
    </font>
    <font>
      <sz val="10"/>
      <name val="Arial"/>
      <family val="0"/>
      <charset val="1"/>
    </font>
    <font>
      <sz val="10"/>
      <color rgb="FF0000CC"/>
      <name val="Arial"/>
      <family val="0"/>
      <charset val="1"/>
    </font>
    <font>
      <sz val="8"/>
      <color rgb="FF808080"/>
      <name val="Arial"/>
      <family val="0"/>
      <charset val="1"/>
    </font>
    <font>
      <b val="true"/>
      <sz val="10"/>
      <color rgb="FFFFFFFF"/>
      <name val="Arial"/>
      <family val="0"/>
      <charset val="1"/>
    </font>
    <font>
      <sz val="10"/>
      <color rgb="FF008000"/>
      <name val="Arial"/>
      <family val="0"/>
      <charset val="1"/>
    </font>
  </fonts>
  <fills count="5">
    <fill>
      <patternFill patternType="none"/>
    </fill>
    <fill>
      <patternFill patternType="gray125"/>
    </fill>
    <fill>
      <patternFill patternType="solid">
        <fgColor rgb="FFE8EDF5"/>
        <bgColor rgb="FFFFF2CC"/>
      </patternFill>
    </fill>
    <fill>
      <patternFill patternType="solid">
        <fgColor rgb="FFFFF2CC"/>
        <bgColor rgb="FFE8EDF5"/>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general" vertical="bottom" textRotation="0" wrapText="false" indent="0" shrinkToFit="false"/>
      <protection locked="true" hidden="false"/>
    </xf>
    <xf numFmtId="167" fontId="8" fillId="0" borderId="1" xfId="0" applyFont="true" applyBorder="true" applyAlignment="tru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bottom" textRotation="0" wrapText="true" indent="0" shrinkToFit="false"/>
      <protection locked="true" hidden="false"/>
    </xf>
    <xf numFmtId="169" fontId="7" fillId="0" borderId="0" xfId="0" applyFont="true" applyBorder="fals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70" fontId="7" fillId="0" borderId="1" xfId="0" applyFont="true" applyBorder="tru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70" fontId="11" fillId="0"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5" fontId="6" fillId="2" borderId="1" xfId="0" applyFont="true" applyBorder="true" applyAlignment="true" applyProtection="false">
      <alignment horizontal="general" vertical="bottom" textRotation="0" wrapText="false" indent="0" shrinkToFit="false"/>
      <protection locked="true" hidden="false"/>
    </xf>
    <xf numFmtId="166" fontId="6" fillId="2" borderId="1" xfId="0" applyFont="true" applyBorder="true" applyAlignment="tru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70" fontId="6" fillId="2"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6" fontId="11" fillId="0" borderId="1" xfId="0" applyFont="true" applyBorder="true" applyAlignment="true" applyProtection="false">
      <alignment horizontal="general" vertical="bottom" textRotation="0" wrapText="false" indent="0" shrinkToFit="false"/>
      <protection locked="true" hidden="false"/>
    </xf>
    <xf numFmtId="171" fontId="11" fillId="0" borderId="1" xfId="0" applyFont="true" applyBorder="true" applyAlignment="true" applyProtection="false">
      <alignment horizontal="general" vertical="top" textRotation="0" wrapText="true" indent="0" shrinkToFit="false"/>
      <protection locked="true" hidden="false"/>
    </xf>
    <xf numFmtId="170" fontId="6" fillId="3" borderId="1" xfId="0" applyFont="true" applyBorder="tru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general" vertical="center" textRotation="0" wrapText="true" indent="0" shrinkToFit="false"/>
      <protection locked="true" hidden="false"/>
    </xf>
    <xf numFmtId="172" fontId="7" fillId="0" borderId="1" xfId="0" applyFont="true" applyBorder="true" applyAlignment="false" applyProtection="false">
      <alignment horizontal="general" vertical="bottom" textRotation="0" wrapText="false" indent="0" shrinkToFit="false"/>
      <protection locked="true" hidden="false"/>
    </xf>
    <xf numFmtId="173"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2" borderId="1" xfId="0" applyFont="true" applyBorder="true" applyAlignment="false" applyProtection="false">
      <alignment horizontal="general" vertical="bottom" textRotation="0" wrapText="false" indent="0" shrinkToFit="false"/>
      <protection locked="true" hidden="false"/>
    </xf>
    <xf numFmtId="172" fontId="6"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73" fontId="11"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74"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73" fontId="7" fillId="0" borderId="1" xfId="0" applyFont="true" applyBorder="true" applyAlignment="true" applyProtection="false">
      <alignment horizontal="general" vertical="bottom" textRotation="0" wrapText="false" indent="0" shrinkToFit="false"/>
      <protection locked="true" hidden="false"/>
    </xf>
    <xf numFmtId="167" fontId="11" fillId="0" borderId="1" xfId="0" applyFont="true" applyBorder="true" applyAlignment="true" applyProtection="false">
      <alignment horizontal="general" vertical="bottom" textRotation="0" wrapText="false" indent="0" shrinkToFit="false"/>
      <protection locked="true" hidden="false"/>
    </xf>
    <xf numFmtId="173" fontId="11" fillId="0" borderId="1" xfId="0" applyFont="true" applyBorder="true" applyAlignment="tru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CC"/>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EDF5"/>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26"/>
    <col collapsed="false" customWidth="true" hidden="false" outlineLevel="0" max="3" min="3" style="1" width="96"/>
  </cols>
  <sheetData>
    <row r="2" customFormat="false" ht="15.75" hidden="false" customHeight="true" outlineLevel="0" collapsed="false">
      <c r="B2" s="2" t="s">
        <v>0</v>
      </c>
    </row>
    <row r="3" customFormat="false" ht="15" hidden="false" customHeight="true" outlineLevel="0" collapsed="false">
      <c r="B3" s="3" t="s">
        <v>1</v>
      </c>
    </row>
    <row r="6" customFormat="false" ht="25.5" hidden="false" customHeight="true" outlineLevel="0" collapsed="false">
      <c r="B6" s="4" t="s">
        <v>2</v>
      </c>
      <c r="C6" s="5" t="s">
        <v>3</v>
      </c>
    </row>
    <row r="7" customFormat="false" ht="25.5" hidden="false" customHeight="true" outlineLevel="0" collapsed="false">
      <c r="B7" s="4" t="s">
        <v>4</v>
      </c>
      <c r="C7" s="5" t="s">
        <v>5</v>
      </c>
    </row>
    <row r="8" customFormat="false" ht="25.5" hidden="false" customHeight="true" outlineLevel="0" collapsed="false">
      <c r="B8" s="4"/>
      <c r="C8" s="5" t="s">
        <v>6</v>
      </c>
    </row>
    <row r="9" customFormat="false" ht="25.5" hidden="false" customHeight="true" outlineLevel="0" collapsed="false">
      <c r="B9" s="4" t="s">
        <v>7</v>
      </c>
      <c r="C9" s="5" t="s">
        <v>8</v>
      </c>
    </row>
    <row r="10" customFormat="false" ht="25.5" hidden="false" customHeight="true" outlineLevel="0" collapsed="false">
      <c r="B10" s="4" t="s">
        <v>9</v>
      </c>
      <c r="C10" s="5" t="s">
        <v>10</v>
      </c>
    </row>
    <row r="11" customFormat="false" ht="25.5" hidden="false" customHeight="true" outlineLevel="0" collapsed="false">
      <c r="B11" s="4" t="s">
        <v>11</v>
      </c>
      <c r="C11" s="5" t="s">
        <v>12</v>
      </c>
    </row>
    <row r="12" customFormat="false" ht="13.5" hidden="false" customHeight="true" outlineLevel="0" collapsed="false">
      <c r="B12" s="4" t="s">
        <v>13</v>
      </c>
      <c r="C12" s="5" t="s">
        <v>14</v>
      </c>
    </row>
    <row r="13" customFormat="false" ht="63.75" hidden="false" customHeight="true" outlineLevel="0" collapsed="false">
      <c r="B13" s="6" t="s">
        <v>15</v>
      </c>
      <c r="C13" s="5"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6"/>
    <col collapsed="false" customWidth="true" hidden="false" outlineLevel="0" max="3" min="3" style="1" width="16"/>
    <col collapsed="false" customWidth="true" hidden="false" outlineLevel="0" max="4" min="4" style="1" width="62"/>
  </cols>
  <sheetData>
    <row r="2" customFormat="false" ht="15.75" hidden="false" customHeight="true" outlineLevel="0" collapsed="false">
      <c r="B2" s="2" t="s">
        <v>17</v>
      </c>
    </row>
    <row r="3" customFormat="false" ht="15" hidden="false" customHeight="true" outlineLevel="0" collapsed="false">
      <c r="B3" s="3" t="s">
        <v>18</v>
      </c>
    </row>
    <row r="6" customFormat="false" ht="15" hidden="false" customHeight="true" outlineLevel="0" collapsed="false">
      <c r="B6" s="7" t="s">
        <v>19</v>
      </c>
      <c r="C6" s="8"/>
      <c r="D6" s="8"/>
    </row>
    <row r="7" customFormat="false" ht="15" hidden="false" customHeight="true" outlineLevel="0" collapsed="false">
      <c r="B7" s="9" t="s">
        <v>20</v>
      </c>
      <c r="C7" s="10" t="n">
        <v>62000</v>
      </c>
      <c r="D7" s="11" t="s">
        <v>21</v>
      </c>
    </row>
    <row r="8" customFormat="false" ht="15" hidden="false" customHeight="true" outlineLevel="0" collapsed="false">
      <c r="B8" s="9" t="s">
        <v>22</v>
      </c>
      <c r="C8" s="12" t="n">
        <v>104</v>
      </c>
      <c r="D8" s="11" t="s">
        <v>23</v>
      </c>
    </row>
    <row r="9" customFormat="false" ht="15" hidden="false" customHeight="true" outlineLevel="0" collapsed="false">
      <c r="B9" s="9" t="s">
        <v>24</v>
      </c>
      <c r="C9" s="12" t="n">
        <v>109.5</v>
      </c>
      <c r="D9" s="11" t="s">
        <v>25</v>
      </c>
    </row>
    <row r="10" customFormat="false" ht="15" hidden="false" customHeight="true" outlineLevel="0" collapsed="false">
      <c r="B10" s="9" t="s">
        <v>26</v>
      </c>
      <c r="C10" s="13" t="n">
        <v>36</v>
      </c>
      <c r="D10" s="11" t="s">
        <v>27</v>
      </c>
    </row>
    <row r="12" customFormat="false" ht="15" hidden="false" customHeight="true" outlineLevel="0" collapsed="false">
      <c r="B12" s="7" t="s">
        <v>28</v>
      </c>
      <c r="C12" s="8"/>
      <c r="D12" s="8"/>
    </row>
    <row r="13" customFormat="false" ht="15" hidden="false" customHeight="true" outlineLevel="0" collapsed="false">
      <c r="B13" s="9" t="s">
        <v>29</v>
      </c>
      <c r="C13" s="10" t="n">
        <v>58400</v>
      </c>
      <c r="D13" s="11" t="s">
        <v>30</v>
      </c>
    </row>
    <row r="14" customFormat="false" ht="15" hidden="false" customHeight="true" outlineLevel="0" collapsed="false">
      <c r="B14" s="9" t="s">
        <v>31</v>
      </c>
      <c r="C14" s="10" t="n">
        <v>51400</v>
      </c>
      <c r="D14" s="11" t="s">
        <v>32</v>
      </c>
    </row>
    <row r="15" customFormat="false" ht="15" hidden="false" customHeight="true" outlineLevel="0" collapsed="false">
      <c r="B15" s="9" t="s">
        <v>33</v>
      </c>
      <c r="C15" s="10" t="n">
        <v>49900</v>
      </c>
      <c r="D15" s="11" t="s">
        <v>34</v>
      </c>
    </row>
    <row r="17" customFormat="false" ht="15" hidden="false" customHeight="true" outlineLevel="0" collapsed="false">
      <c r="B17" s="7" t="s">
        <v>35</v>
      </c>
      <c r="C17" s="8"/>
      <c r="D17" s="8"/>
    </row>
    <row r="18" customFormat="false" ht="15" hidden="false" customHeight="true" outlineLevel="0" collapsed="false">
      <c r="B18" s="9" t="s">
        <v>36</v>
      </c>
      <c r="C18" s="14" t="n">
        <v>0.084</v>
      </c>
      <c r="D18" s="11" t="s">
        <v>37</v>
      </c>
    </row>
    <row r="19" customFormat="false" ht="15" hidden="false" customHeight="true" outlineLevel="0" collapsed="false">
      <c r="B19" s="9" t="s">
        <v>38</v>
      </c>
      <c r="C19" s="14" t="n">
        <v>0.051</v>
      </c>
      <c r="D19" s="11" t="s">
        <v>39</v>
      </c>
    </row>
    <row r="20" customFormat="false" ht="15" hidden="false" customHeight="true" outlineLevel="0" collapsed="false">
      <c r="B20" s="9" t="s">
        <v>40</v>
      </c>
      <c r="C20" s="13" t="n">
        <v>12</v>
      </c>
      <c r="D20" s="11" t="s">
        <v>41</v>
      </c>
    </row>
    <row r="21" customFormat="false" ht="15" hidden="false" customHeight="true" outlineLevel="0" collapsed="false">
      <c r="B21" s="9" t="s">
        <v>42</v>
      </c>
      <c r="C21" s="13" t="n">
        <v>3</v>
      </c>
      <c r="D21" s="11" t="s">
        <v>43</v>
      </c>
    </row>
    <row r="22" customFormat="false" ht="15" hidden="false" customHeight="true" outlineLevel="0" collapsed="false">
      <c r="B22" s="9" t="s">
        <v>44</v>
      </c>
      <c r="C22" s="13" t="n">
        <v>24</v>
      </c>
      <c r="D22" s="11" t="s">
        <v>45</v>
      </c>
    </row>
    <row r="23" customFormat="false" ht="15" hidden="false" customHeight="true" outlineLevel="0" collapsed="false">
      <c r="B23" s="9" t="s">
        <v>46</v>
      </c>
      <c r="C23" s="14" t="n">
        <v>0.03</v>
      </c>
      <c r="D23" s="11" t="s">
        <v>47</v>
      </c>
    </row>
    <row r="25" customFormat="false" ht="15" hidden="false" customHeight="true" outlineLevel="0" collapsed="false">
      <c r="B25" s="7" t="s">
        <v>48</v>
      </c>
      <c r="C25" s="8"/>
      <c r="D25" s="8"/>
    </row>
    <row r="26" customFormat="false" ht="15" hidden="false" customHeight="true" outlineLevel="0" collapsed="false">
      <c r="B26" s="9" t="s">
        <v>49</v>
      </c>
      <c r="C26" s="10" t="n">
        <v>55000</v>
      </c>
      <c r="D26" s="11" t="s">
        <v>50</v>
      </c>
    </row>
    <row r="27" customFormat="false" ht="15" hidden="false" customHeight="true" outlineLevel="0" collapsed="false">
      <c r="B27" s="9" t="s">
        <v>51</v>
      </c>
      <c r="C27" s="14" t="n">
        <v>0.045</v>
      </c>
      <c r="D27" s="11" t="s">
        <v>52</v>
      </c>
    </row>
    <row r="28" customFormat="false" ht="15" hidden="false" customHeight="true" outlineLevel="0" collapsed="false">
      <c r="B28" s="9" t="s">
        <v>53</v>
      </c>
      <c r="C28" s="13" t="n">
        <v>65000</v>
      </c>
      <c r="D28" s="11" t="s">
        <v>54</v>
      </c>
    </row>
    <row r="29" customFormat="false" ht="15" hidden="false" customHeight="true" outlineLevel="0" collapsed="false">
      <c r="B29" s="9" t="s">
        <v>55</v>
      </c>
      <c r="C29" s="15" t="n">
        <v>0.015</v>
      </c>
      <c r="D29" s="11" t="s">
        <v>56</v>
      </c>
    </row>
    <row r="30" customFormat="false" ht="15" hidden="false" customHeight="true" outlineLevel="0" collapsed="false">
      <c r="B30" s="9" t="s">
        <v>57</v>
      </c>
      <c r="C30" s="13" t="n">
        <v>66000</v>
      </c>
      <c r="D30" s="11" t="s">
        <v>58</v>
      </c>
    </row>
    <row r="32" customFormat="false" ht="15" hidden="false" customHeight="true" outlineLevel="0" collapsed="false">
      <c r="B32" s="7" t="s">
        <v>59</v>
      </c>
      <c r="C32" s="8"/>
      <c r="D32" s="8"/>
    </row>
    <row r="33" customFormat="false" ht="15" hidden="false" customHeight="true" outlineLevel="0" collapsed="false">
      <c r="B33" s="9" t="s">
        <v>60</v>
      </c>
      <c r="C33" s="10" t="n">
        <v>45</v>
      </c>
      <c r="D33" s="11" t="s">
        <v>61</v>
      </c>
    </row>
    <row r="34" customFormat="false" ht="15" hidden="false" customHeight="true" outlineLevel="0" collapsed="false">
      <c r="B34" s="9" t="s">
        <v>62</v>
      </c>
      <c r="C34" s="13" t="n">
        <v>60</v>
      </c>
      <c r="D34" s="11" t="s">
        <v>63</v>
      </c>
    </row>
    <row r="35" customFormat="false" ht="15" hidden="false" customHeight="true" outlineLevel="0" collapsed="false">
      <c r="B35" s="9" t="s">
        <v>64</v>
      </c>
      <c r="C35" s="14" t="n">
        <v>0.064</v>
      </c>
      <c r="D35" s="11" t="s">
        <v>65</v>
      </c>
    </row>
    <row r="36" customFormat="false" ht="15" hidden="false" customHeight="true" outlineLevel="0" collapsed="false">
      <c r="B36" s="9" t="s">
        <v>66</v>
      </c>
      <c r="C36" s="14" t="n">
        <v>0.031</v>
      </c>
      <c r="D36" s="11" t="s">
        <v>67</v>
      </c>
    </row>
    <row r="37" customFormat="false" ht="15" hidden="false" customHeight="true" outlineLevel="0" collapsed="false">
      <c r="B37" s="9" t="s">
        <v>68</v>
      </c>
      <c r="C37" s="14" t="n">
        <v>0.017</v>
      </c>
      <c r="D37" s="11" t="s">
        <v>69</v>
      </c>
    </row>
    <row r="38" customFormat="false" ht="15" hidden="false" customHeight="true" outlineLevel="0" collapsed="false">
      <c r="B38" s="9" t="s">
        <v>70</v>
      </c>
      <c r="C38" s="10" t="n">
        <v>43</v>
      </c>
      <c r="D38" s="11" t="s">
        <v>71</v>
      </c>
    </row>
    <row r="39" customFormat="false" ht="15" hidden="false" customHeight="true" outlineLevel="0" collapsed="false">
      <c r="B39" s="9" t="s">
        <v>72</v>
      </c>
      <c r="C39" s="12" t="n">
        <v>14600</v>
      </c>
      <c r="D39" s="11" t="s">
        <v>73</v>
      </c>
    </row>
    <row r="40" customFormat="false" ht="15" hidden="false" customHeight="true" outlineLevel="0" collapsed="false">
      <c r="B40" s="9" t="s">
        <v>74</v>
      </c>
      <c r="C40" s="14" t="n">
        <v>0.22</v>
      </c>
      <c r="D40" s="11" t="s">
        <v>75</v>
      </c>
    </row>
    <row r="41" customFormat="false" ht="15" hidden="false" customHeight="true" outlineLevel="0" collapsed="false">
      <c r="B41" s="9" t="s">
        <v>76</v>
      </c>
      <c r="C41" s="15" t="n">
        <v>0.12</v>
      </c>
      <c r="D41" s="11" t="s">
        <v>77</v>
      </c>
    </row>
    <row r="43" customFormat="false" ht="15" hidden="false" customHeight="true" outlineLevel="0" collapsed="false">
      <c r="B43" s="7" t="s">
        <v>78</v>
      </c>
      <c r="C43" s="8"/>
      <c r="D43" s="8"/>
    </row>
    <row r="44" customFormat="false" ht="15" hidden="false" customHeight="true" outlineLevel="0" collapsed="false">
      <c r="B44" s="9" t="s">
        <v>79</v>
      </c>
      <c r="C44" s="12" t="n">
        <v>18400</v>
      </c>
      <c r="D44" s="11" t="s">
        <v>80</v>
      </c>
    </row>
    <row r="45" customFormat="false" ht="15" hidden="false" customHeight="true" outlineLevel="0" collapsed="false">
      <c r="B45" s="9" t="s">
        <v>81</v>
      </c>
      <c r="C45" s="16" t="n">
        <v>11.5</v>
      </c>
      <c r="D45" s="11" t="s">
        <v>82</v>
      </c>
    </row>
    <row r="46" customFormat="false" ht="15" hidden="false" customHeight="true" outlineLevel="0" collapsed="false">
      <c r="B46" s="9" t="s">
        <v>83</v>
      </c>
      <c r="C46" s="16" t="n">
        <v>7</v>
      </c>
      <c r="D46" s="11" t="s">
        <v>84</v>
      </c>
    </row>
    <row r="47" customFormat="false" ht="15" hidden="false" customHeight="true" outlineLevel="0" collapsed="false">
      <c r="B47" s="9" t="s">
        <v>85</v>
      </c>
      <c r="C47" s="16" t="n">
        <v>16.25</v>
      </c>
      <c r="D47" s="11" t="s">
        <v>86</v>
      </c>
    </row>
    <row r="48" customFormat="false" ht="15" hidden="false" customHeight="true" outlineLevel="0" collapsed="false">
      <c r="B48" s="9" t="s">
        <v>87</v>
      </c>
      <c r="C48" s="13" t="n">
        <v>3</v>
      </c>
      <c r="D48" s="11" t="s">
        <v>88</v>
      </c>
    </row>
    <row r="49" customFormat="false" ht="15" hidden="false" customHeight="true" outlineLevel="0" collapsed="false">
      <c r="B49" s="9" t="s">
        <v>89</v>
      </c>
      <c r="C49" s="13" t="n">
        <v>5200</v>
      </c>
      <c r="D49" s="11" t="s">
        <v>90</v>
      </c>
    </row>
    <row r="50" customFormat="false" ht="15" hidden="false" customHeight="true" outlineLevel="0" collapsed="false">
      <c r="B50" s="9" t="s">
        <v>91</v>
      </c>
      <c r="C50" s="14" t="n">
        <v>0.05</v>
      </c>
      <c r="D50" s="11" t="s">
        <v>92</v>
      </c>
    </row>
    <row r="51" customFormat="false" ht="15" hidden="false" customHeight="true" outlineLevel="0" collapsed="false">
      <c r="B51" s="9" t="s">
        <v>93</v>
      </c>
      <c r="C51" s="15" t="n">
        <v>0.1</v>
      </c>
      <c r="D51" s="11" t="s">
        <v>94</v>
      </c>
    </row>
    <row r="52" customFormat="false" ht="15" hidden="false" customHeight="true" outlineLevel="0" collapsed="false">
      <c r="B52" s="9" t="s">
        <v>95</v>
      </c>
      <c r="C52" s="10" t="n">
        <v>12</v>
      </c>
      <c r="D52" s="11" t="s">
        <v>96</v>
      </c>
    </row>
    <row r="53" customFormat="false" ht="15" hidden="false" customHeight="true" outlineLevel="0" collapsed="false">
      <c r="B53" s="9" t="s">
        <v>97</v>
      </c>
      <c r="C53" s="13" t="n">
        <v>24</v>
      </c>
      <c r="D53" s="11" t="s">
        <v>98</v>
      </c>
    </row>
    <row r="54" customFormat="false" ht="15" hidden="false" customHeight="true" outlineLevel="0" collapsed="false">
      <c r="B54" s="9" t="s">
        <v>99</v>
      </c>
      <c r="C54" s="13" t="n">
        <v>36</v>
      </c>
      <c r="D54" s="11" t="s">
        <v>100</v>
      </c>
    </row>
    <row r="55" customFormat="false" ht="15" hidden="false" customHeight="true" outlineLevel="0" collapsed="false">
      <c r="B55" s="9" t="s">
        <v>101</v>
      </c>
      <c r="C55" s="16" t="n">
        <v>5.2</v>
      </c>
      <c r="D55" s="11" t="s">
        <v>102</v>
      </c>
    </row>
    <row r="56" customFormat="false" ht="15" hidden="false" customHeight="true" outlineLevel="0" collapsed="false">
      <c r="B56" s="9" t="s">
        <v>103</v>
      </c>
      <c r="C56" s="17" t="n">
        <v>0.0042</v>
      </c>
      <c r="D56" s="11" t="s">
        <v>104</v>
      </c>
    </row>
    <row r="57" customFormat="false" ht="15" hidden="false" customHeight="true" outlineLevel="0" collapsed="false">
      <c r="B57" s="9" t="s">
        <v>105</v>
      </c>
      <c r="C57" s="12" t="n">
        <v>890</v>
      </c>
      <c r="D57" s="11" t="s">
        <v>106</v>
      </c>
    </row>
    <row r="58" customFormat="false" ht="15" hidden="false" customHeight="true" outlineLevel="0" collapsed="false">
      <c r="B58" s="9" t="s">
        <v>107</v>
      </c>
      <c r="C58" s="15" t="n">
        <v>0.38</v>
      </c>
      <c r="D58" s="11" t="s">
        <v>108</v>
      </c>
    </row>
    <row r="59" customFormat="false" ht="15" hidden="false" customHeight="true" outlineLevel="0" collapsed="false">
      <c r="B59" s="9" t="s">
        <v>109</v>
      </c>
      <c r="C59" s="15" t="n">
        <v>0.71</v>
      </c>
      <c r="D59" s="11" t="s">
        <v>110</v>
      </c>
    </row>
    <row r="60" customFormat="false" ht="15" hidden="false" customHeight="true" outlineLevel="0" collapsed="false">
      <c r="B60" s="9" t="s">
        <v>111</v>
      </c>
      <c r="C60" s="13" t="n">
        <v>1850</v>
      </c>
      <c r="D60" s="11" t="s">
        <v>112</v>
      </c>
    </row>
    <row r="61" customFormat="false" ht="15" hidden="false" customHeight="true" outlineLevel="0" collapsed="false">
      <c r="B61" s="9" t="s">
        <v>113</v>
      </c>
      <c r="C61" s="16" t="n">
        <v>1240</v>
      </c>
      <c r="D61" s="11" t="s">
        <v>114</v>
      </c>
    </row>
    <row r="62" customFormat="false" ht="15" hidden="false" customHeight="true" outlineLevel="0" collapsed="false">
      <c r="B62" s="9" t="s">
        <v>115</v>
      </c>
      <c r="C62" s="16" t="n">
        <v>2</v>
      </c>
      <c r="D62" s="11" t="s">
        <v>116</v>
      </c>
    </row>
    <row r="64" customFormat="false" ht="15" hidden="false" customHeight="true" outlineLevel="0" collapsed="false">
      <c r="B64" s="7" t="s">
        <v>117</v>
      </c>
      <c r="C64" s="8"/>
      <c r="D64" s="8"/>
    </row>
    <row r="65" customFormat="false" ht="15" hidden="false" customHeight="true" outlineLevel="0" collapsed="false">
      <c r="B65" s="9" t="s">
        <v>118</v>
      </c>
      <c r="C65" s="13" t="n">
        <v>7</v>
      </c>
      <c r="D65" s="11" t="s">
        <v>119</v>
      </c>
    </row>
    <row r="66" customFormat="false" ht="15" hidden="false" customHeight="true" outlineLevel="0" collapsed="false">
      <c r="B66" s="9" t="s">
        <v>120</v>
      </c>
      <c r="C66" s="13" t="n">
        <v>4</v>
      </c>
      <c r="D66" s="11" t="s">
        <v>121</v>
      </c>
    </row>
    <row r="67" customFormat="false" ht="15" hidden="false" customHeight="true" outlineLevel="0" collapsed="false">
      <c r="B67" s="9" t="s">
        <v>122</v>
      </c>
      <c r="C67" s="13" t="n">
        <v>6800</v>
      </c>
      <c r="D67" s="11" t="s">
        <v>123</v>
      </c>
    </row>
    <row r="68" customFormat="false" ht="15" hidden="false" customHeight="true" outlineLevel="0" collapsed="false">
      <c r="B68" s="9" t="s">
        <v>124</v>
      </c>
      <c r="C68" s="16" t="n">
        <v>138</v>
      </c>
      <c r="D68" s="11" t="s">
        <v>125</v>
      </c>
    </row>
    <row r="69" customFormat="false" ht="15" hidden="false" customHeight="true" outlineLevel="0" collapsed="false">
      <c r="B69" s="9" t="s">
        <v>126</v>
      </c>
      <c r="C69" s="16" t="n">
        <v>340000</v>
      </c>
      <c r="D69" s="11" t="s">
        <v>127</v>
      </c>
    </row>
    <row r="70" customFormat="false" ht="15" hidden="false" customHeight="true" outlineLevel="0" collapsed="false">
      <c r="B70" s="9" t="s">
        <v>128</v>
      </c>
      <c r="C70" s="13" t="n">
        <v>36</v>
      </c>
      <c r="D70" s="11" t="s">
        <v>129</v>
      </c>
    </row>
    <row r="71" customFormat="false" ht="15" hidden="false" customHeight="true" outlineLevel="0" collapsed="false">
      <c r="B71" s="9" t="s">
        <v>130</v>
      </c>
      <c r="C71" s="16" t="n">
        <v>415000</v>
      </c>
      <c r="D71" s="11" t="s">
        <v>131</v>
      </c>
    </row>
    <row r="72" customFormat="false" ht="15" hidden="false" customHeight="true" outlineLevel="0" collapsed="false">
      <c r="B72" s="9" t="s">
        <v>132</v>
      </c>
      <c r="C72" s="10" t="n">
        <v>12</v>
      </c>
      <c r="D72" s="11" t="s">
        <v>133</v>
      </c>
    </row>
    <row r="73" customFormat="false" ht="15" hidden="false" customHeight="true" outlineLevel="0" collapsed="false">
      <c r="B73" s="9" t="s">
        <v>134</v>
      </c>
      <c r="C73" s="13" t="n">
        <v>6</v>
      </c>
      <c r="D73" s="11" t="s">
        <v>135</v>
      </c>
    </row>
    <row r="74" customFormat="false" ht="15" hidden="false" customHeight="true" outlineLevel="0" collapsed="false">
      <c r="B74" s="9" t="s">
        <v>136</v>
      </c>
      <c r="C74" s="16" t="n">
        <v>96.2</v>
      </c>
      <c r="D74" s="11" t="s">
        <v>137</v>
      </c>
    </row>
    <row r="75" customFormat="false" ht="15" hidden="false" customHeight="true" outlineLevel="0" collapsed="false">
      <c r="B75" s="9" t="s">
        <v>138</v>
      </c>
      <c r="C75" s="13" t="n">
        <v>4100</v>
      </c>
      <c r="D75" s="11" t="s">
        <v>139</v>
      </c>
    </row>
    <row r="78" customFormat="false" ht="15" hidden="false" customHeight="true" outlineLevel="0" collapsed="false">
      <c r="B78" s="3" t="s">
        <v>140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10"/>
    <col collapsed="false" customWidth="true" hidden="false" outlineLevel="0" max="3" min="3" style="1" width="12"/>
    <col collapsed="false" customWidth="true" hidden="false" outlineLevel="0" max="4" min="4" style="1" width="16"/>
    <col collapsed="false" customWidth="true" hidden="false" outlineLevel="0" max="5" min="5" style="1" width="18"/>
    <col collapsed="false" customWidth="true" hidden="false" outlineLevel="0" max="6" min="6" style="1" width="16"/>
    <col collapsed="false" customWidth="true" hidden="false" outlineLevel="0" max="8" min="8" style="1" width="30"/>
    <col collapsed="false" customWidth="true" hidden="false" outlineLevel="0" max="10" min="10" style="1" width="14"/>
  </cols>
  <sheetData>
    <row r="2" customFormat="false" ht="15.75" hidden="false" customHeight="true" outlineLevel="0" collapsed="false">
      <c r="B2" s="2" t="s">
        <v>141</v>
      </c>
    </row>
    <row r="3" customFormat="false" ht="15" hidden="false" customHeight="true" outlineLevel="0" collapsed="false">
      <c r="B3" s="3" t="s">
        <v>142</v>
      </c>
    </row>
    <row r="6" customFormat="false" ht="15" hidden="false" customHeight="true" outlineLevel="0" collapsed="false">
      <c r="B6" s="18" t="s">
        <v>143</v>
      </c>
      <c r="C6" s="18" t="s">
        <v>144</v>
      </c>
      <c r="D6" s="18" t="s">
        <v>145</v>
      </c>
      <c r="E6" s="18" t="s">
        <v>146</v>
      </c>
      <c r="F6" s="18" t="s">
        <v>147</v>
      </c>
      <c r="H6" s="4" t="s">
        <v>148</v>
      </c>
      <c r="J6" s="19" t="n">
        <f aca="false">ROUND((1+Assumptions!$C$18)^(1/4)-1,4)</f>
        <v>0.0204</v>
      </c>
    </row>
    <row r="7" customFormat="false" ht="15" hidden="false" customHeight="true" outlineLevel="0" collapsed="false">
      <c r="B7" s="20" t="n">
        <v>1</v>
      </c>
      <c r="C7" s="20" t="str">
        <f aca="false">1&amp;"-"&amp;3</f>
        <v>1-3</v>
      </c>
      <c r="D7" s="21" t="n">
        <f aca="false">ROUND(Assumptions!$C$8*(1+$J$6)^0*(1+$J$7)^0,4)</f>
        <v>104</v>
      </c>
      <c r="E7" s="21" t="n">
        <f aca="false">ROUND(Assumptions!$C$9*(1+$J$8)^0,4)</f>
        <v>109.5</v>
      </c>
      <c r="F7" s="22" t="str">
        <f aca="false">IF(D7&gt;E7,"yes","no")</f>
        <v>no</v>
      </c>
      <c r="H7" s="4" t="s">
        <v>149</v>
      </c>
      <c r="J7" s="19" t="n">
        <f aca="false">ROUND((1+Assumptions!$C$19)^(1/4)-1,4)</f>
        <v>0.0125</v>
      </c>
    </row>
    <row r="8" customFormat="false" ht="15" hidden="false" customHeight="true" outlineLevel="0" collapsed="false">
      <c r="B8" s="20" t="n">
        <v>2</v>
      </c>
      <c r="C8" s="20" t="str">
        <f aca="false">4&amp;"-"&amp;6</f>
        <v>4-6</v>
      </c>
      <c r="D8" s="21" t="n">
        <f aca="false">ROUND(Assumptions!$C$8*(1+$J$6)^0*(1+$J$7)^0,4)</f>
        <v>104</v>
      </c>
      <c r="E8" s="21" t="n">
        <f aca="false">ROUND(Assumptions!$C$9*(1+$J$8)^0,4)</f>
        <v>109.5</v>
      </c>
      <c r="F8" s="22" t="str">
        <f aca="false">IF(D8&gt;E8,"yes","no")</f>
        <v>no</v>
      </c>
      <c r="H8" s="4" t="s">
        <v>150</v>
      </c>
      <c r="J8" s="19" t="n">
        <f aca="false">ROUND((1+Assumptions!$C$23)^(1/4)-1,4)</f>
        <v>0.0074</v>
      </c>
    </row>
    <row r="9" customFormat="false" ht="15" hidden="false" customHeight="true" outlineLevel="0" collapsed="false">
      <c r="B9" s="20" t="n">
        <v>3</v>
      </c>
      <c r="C9" s="20" t="str">
        <f aca="false">7&amp;"-"&amp;9</f>
        <v>7-9</v>
      </c>
      <c r="D9" s="21" t="n">
        <f aca="false">ROUND(Assumptions!$C$8*(1+$J$6)^0*(1+$J$7)^0,4)</f>
        <v>104</v>
      </c>
      <c r="E9" s="21" t="n">
        <f aca="false">ROUND(Assumptions!$C$9*(1+$J$8)^0,4)</f>
        <v>109.5</v>
      </c>
      <c r="F9" s="22" t="str">
        <f aca="false">IF(D9&gt;E9,"yes","no")</f>
        <v>no</v>
      </c>
    </row>
    <row r="10" customFormat="false" ht="15" hidden="false" customHeight="true" outlineLevel="0" collapsed="false">
      <c r="B10" s="20" t="n">
        <v>4</v>
      </c>
      <c r="C10" s="20" t="str">
        <f aca="false">10&amp;"-"&amp;12</f>
        <v>10-12</v>
      </c>
      <c r="D10" s="21" t="n">
        <f aca="false">ROUND(Assumptions!$C$8*(1+$J$6)^0*(1+$J$7)^0,4)</f>
        <v>104</v>
      </c>
      <c r="E10" s="21" t="n">
        <f aca="false">ROUND(Assumptions!$C$9*(1+$J$8)^0,4)</f>
        <v>109.5</v>
      </c>
      <c r="F10" s="22" t="str">
        <f aca="false">IF(D10&gt;E10,"yes","no")</f>
        <v>no</v>
      </c>
      <c r="H10" s="3" t="s">
        <v>151</v>
      </c>
    </row>
    <row r="11" customFormat="false" ht="15" hidden="false" customHeight="true" outlineLevel="0" collapsed="false">
      <c r="B11" s="20" t="n">
        <v>5</v>
      </c>
      <c r="C11" s="20" t="str">
        <f aca="false">13&amp;"-"&amp;15</f>
        <v>13-15</v>
      </c>
      <c r="D11" s="21" t="n">
        <f aca="false">ROUND(Assumptions!$C$8*(1+$J$6)^1*(1+$J$7)^0,4)</f>
        <v>106.1216</v>
      </c>
      <c r="E11" s="21" t="n">
        <f aca="false">ROUND(Assumptions!$C$9*(1+$J$8)^0,4)</f>
        <v>109.5</v>
      </c>
      <c r="F11" s="22" t="str">
        <f aca="false">IF(D11&gt;E11,"yes","no")</f>
        <v>no</v>
      </c>
    </row>
    <row r="12" customFormat="false" ht="15" hidden="false" customHeight="true" outlineLevel="0" collapsed="false">
      <c r="B12" s="20" t="n">
        <v>6</v>
      </c>
      <c r="C12" s="20" t="str">
        <f aca="false">16&amp;"-"&amp;18</f>
        <v>16-18</v>
      </c>
      <c r="D12" s="21" t="n">
        <f aca="false">ROUND(Assumptions!$C$8*(1+$J$6)^2*(1+$J$7)^0,4)</f>
        <v>108.2865</v>
      </c>
      <c r="E12" s="21" t="n">
        <f aca="false">ROUND(Assumptions!$C$9*(1+$J$8)^0,4)</f>
        <v>109.5</v>
      </c>
      <c r="F12" s="22" t="str">
        <f aca="false">IF(D12&gt;E12,"yes","no")</f>
        <v>no</v>
      </c>
    </row>
    <row r="13" customFormat="false" ht="15" hidden="false" customHeight="true" outlineLevel="0" collapsed="false">
      <c r="B13" s="20" t="n">
        <v>7</v>
      </c>
      <c r="C13" s="20" t="str">
        <f aca="false">19&amp;"-"&amp;21</f>
        <v>19-21</v>
      </c>
      <c r="D13" s="21" t="n">
        <f aca="false">ROUND(Assumptions!$C$8*(1+$J$6)^3*(1+$J$7)^0,4)</f>
        <v>110.4955</v>
      </c>
      <c r="E13" s="21" t="n">
        <f aca="false">ROUND(Assumptions!$C$9*(1+$J$8)^0,4)</f>
        <v>109.5</v>
      </c>
      <c r="F13" s="22" t="str">
        <f aca="false">IF(D13&gt;E13,"yes","no")</f>
        <v>yes</v>
      </c>
    </row>
    <row r="14" customFormat="false" ht="15" hidden="false" customHeight="true" outlineLevel="0" collapsed="false">
      <c r="B14" s="20" t="n">
        <v>8</v>
      </c>
      <c r="C14" s="20" t="str">
        <f aca="false">22&amp;"-"&amp;24</f>
        <v>22-24</v>
      </c>
      <c r="D14" s="21" t="n">
        <f aca="false">ROUND(Assumptions!$C$8*(1+$J$6)^4*(1+$J$7)^0,4)</f>
        <v>112.7496</v>
      </c>
      <c r="E14" s="21" t="n">
        <f aca="false">ROUND(Assumptions!$C$9*(1+$J$8)^0,4)</f>
        <v>109.5</v>
      </c>
      <c r="F14" s="22" t="str">
        <f aca="false">IF(D14&gt;E14,"yes","no")</f>
        <v>yes</v>
      </c>
    </row>
    <row r="15" customFormat="false" ht="15" hidden="false" customHeight="true" outlineLevel="0" collapsed="false">
      <c r="B15" s="20" t="n">
        <v>9</v>
      </c>
      <c r="C15" s="20" t="str">
        <f aca="false">25&amp;"-"&amp;27</f>
        <v>25-27</v>
      </c>
      <c r="D15" s="21" t="n">
        <f aca="false">ROUND(Assumptions!$C$8*(1+$J$6)^4*(1+$J$7)^1,4)</f>
        <v>114.159</v>
      </c>
      <c r="E15" s="21" t="n">
        <f aca="false">ROUND(Assumptions!$C$9*(1+$J$8)^1,4)</f>
        <v>110.3103</v>
      </c>
      <c r="F15" s="22" t="str">
        <f aca="false">IF(D15&gt;E15,"yes","no")</f>
        <v>yes</v>
      </c>
    </row>
    <row r="16" customFormat="false" ht="15" hidden="false" customHeight="true" outlineLevel="0" collapsed="false">
      <c r="B16" s="20" t="n">
        <v>10</v>
      </c>
      <c r="C16" s="20" t="str">
        <f aca="false">28&amp;"-"&amp;30</f>
        <v>28-30</v>
      </c>
      <c r="D16" s="21" t="n">
        <f aca="false">ROUND(Assumptions!$C$8*(1+$J$6)^4*(1+$J$7)^2,4)</f>
        <v>115.586</v>
      </c>
      <c r="E16" s="21" t="n">
        <f aca="false">ROUND(Assumptions!$C$9*(1+$J$8)^2,4)</f>
        <v>111.1266</v>
      </c>
      <c r="F16" s="22" t="str">
        <f aca="false">IF(D16&gt;E16,"yes","no")</f>
        <v>yes</v>
      </c>
    </row>
    <row r="17" customFormat="false" ht="15" hidden="false" customHeight="true" outlineLevel="0" collapsed="false">
      <c r="B17" s="20" t="n">
        <v>11</v>
      </c>
      <c r="C17" s="20" t="str">
        <f aca="false">31&amp;"-"&amp;33</f>
        <v>31-33</v>
      </c>
      <c r="D17" s="21" t="n">
        <f aca="false">ROUND(Assumptions!$C$8*(1+$J$6)^4*(1+$J$7)^3,4)</f>
        <v>117.0308</v>
      </c>
      <c r="E17" s="21" t="n">
        <f aca="false">ROUND(Assumptions!$C$9*(1+$J$8)^3,4)</f>
        <v>111.9489</v>
      </c>
      <c r="F17" s="22" t="str">
        <f aca="false">IF(D17&gt;E17,"yes","no")</f>
        <v>yes</v>
      </c>
    </row>
    <row r="18" customFormat="false" ht="15" hidden="false" customHeight="true" outlineLevel="0" collapsed="false">
      <c r="B18" s="20" t="n">
        <v>12</v>
      </c>
      <c r="C18" s="20" t="str">
        <f aca="false">34&amp;"-"&amp;36</f>
        <v>34-36</v>
      </c>
      <c r="D18" s="21" t="n">
        <f aca="false">ROUND(Assumptions!$C$8*(1+$J$6)^4*(1+$J$7)^4,4)</f>
        <v>118.4937</v>
      </c>
      <c r="E18" s="21" t="n">
        <f aca="false">ROUND(Assumptions!$C$9*(1+$J$8)^4,4)</f>
        <v>112.7774</v>
      </c>
      <c r="F18" s="22" t="str">
        <f aca="false">IF(D18&gt;E18,"yes","no")</f>
        <v>yes</v>
      </c>
    </row>
    <row r="20" customFormat="false" ht="15" hidden="false" customHeight="true" outlineLevel="0" collapsed="false">
      <c r="B20" s="4" t="s">
        <v>152</v>
      </c>
      <c r="D20" s="20" t="n">
        <f aca="false">MATCH("yes",F7:F18,0)</f>
        <v>7</v>
      </c>
    </row>
    <row r="21" customFormat="false" ht="15" hidden="false" customHeight="true" outlineLevel="0" collapsed="false">
      <c r="B21" s="4" t="s">
        <v>153</v>
      </c>
      <c r="D21" s="20" t="n">
        <f aca="false">(D20-1)*3+1</f>
        <v>19</v>
      </c>
    </row>
    <row r="23" customFormat="false" ht="15" hidden="false" customHeight="true" outlineLevel="0" collapsed="false">
      <c r="B23" s="4" t="s">
        <v>154</v>
      </c>
    </row>
    <row r="24" customFormat="false" ht="15" hidden="false" customHeight="true" outlineLevel="0" collapsed="false">
      <c r="B24" s="9" t="s">
        <v>155</v>
      </c>
      <c r="D24" s="21" t="n">
        <f aca="false">ROUND(AVERAGE(D7:D10),4)</f>
        <v>104</v>
      </c>
      <c r="E24" s="21" t="n">
        <f aca="false">ROUND(AVERAGE(E7:E10),4)</f>
        <v>109.5</v>
      </c>
    </row>
    <row r="25" customFormat="false" ht="15" hidden="false" customHeight="true" outlineLevel="0" collapsed="false">
      <c r="B25" s="9" t="s">
        <v>156</v>
      </c>
      <c r="D25" s="21" t="n">
        <f aca="false">ROUND(AVERAGE(D11:D14),4)</f>
        <v>109.4133</v>
      </c>
      <c r="E25" s="21" t="n">
        <f aca="false">ROUND(AVERAGE(E11:E14),4)</f>
        <v>109.5</v>
      </c>
    </row>
    <row r="26" customFormat="false" ht="15" hidden="false" customHeight="true" outlineLevel="0" collapsed="false">
      <c r="B26" s="9" t="s">
        <v>157</v>
      </c>
      <c r="D26" s="21" t="n">
        <f aca="false">ROUND(AVERAGE(D15:D18),4)</f>
        <v>116.3174</v>
      </c>
      <c r="E26" s="21" t="n">
        <f aca="false">ROUND(AVERAGE(E15:E18),4)</f>
        <v>111.5408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8"/>
    <col collapsed="false" customWidth="true" hidden="false" outlineLevel="0" max="3" min="3" style="1" width="12"/>
    <col collapsed="false" customWidth="true" hidden="false" outlineLevel="0" max="4" min="4" style="1" width="14"/>
    <col collapsed="false" customWidth="true" hidden="false" outlineLevel="0" max="5" min="5" style="1" width="18"/>
    <col collapsed="false" customWidth="true" hidden="false" outlineLevel="0" max="6" min="6" style="1" width="16"/>
    <col collapsed="false" customWidth="true" hidden="false" outlineLevel="0" max="7" min="7" style="1" width="18"/>
    <col collapsed="false" customWidth="true" hidden="false" outlineLevel="0" max="8" min="8" style="1" width="16"/>
  </cols>
  <sheetData>
    <row r="2" customFormat="false" ht="15.75" hidden="false" customHeight="true" outlineLevel="0" collapsed="false">
      <c r="B2" s="2" t="s">
        <v>158</v>
      </c>
    </row>
    <row r="3" customFormat="false" ht="15" hidden="false" customHeight="true" outlineLevel="0" collapsed="false">
      <c r="B3" s="3" t="s">
        <v>159</v>
      </c>
    </row>
    <row r="6" customFormat="false" ht="15" hidden="false" customHeight="true" outlineLevel="0" collapsed="false">
      <c r="B6" s="18" t="s">
        <v>160</v>
      </c>
      <c r="C6" s="18" t="s">
        <v>161</v>
      </c>
      <c r="D6" s="18" t="s">
        <v>162</v>
      </c>
      <c r="E6" s="18" t="s">
        <v>146</v>
      </c>
      <c r="F6" s="18" t="s">
        <v>163</v>
      </c>
      <c r="G6" s="18" t="s">
        <v>164</v>
      </c>
      <c r="H6" s="18" t="s">
        <v>165</v>
      </c>
    </row>
    <row r="7" customFormat="false" ht="15" hidden="false" customHeight="true" outlineLevel="0" collapsed="false">
      <c r="B7" s="20" t="n">
        <v>1</v>
      </c>
      <c r="C7" s="23" t="n">
        <f aca="false">Assumptions!$C$13</f>
        <v>58400</v>
      </c>
      <c r="D7" s="24" t="n">
        <f aca="false">'Price Paths'!$D$24</f>
        <v>104</v>
      </c>
      <c r="E7" s="24" t="n">
        <f aca="false">'Price Paths'!$E$24</f>
        <v>109.5</v>
      </c>
      <c r="F7" s="25" t="n">
        <f aca="false">ROUND(C7*D7,2)</f>
        <v>6073600</v>
      </c>
      <c r="G7" s="25" t="n">
        <f aca="false">ROUND(C7*E7,2)</f>
        <v>6394800</v>
      </c>
      <c r="H7" s="25" t="n">
        <f aca="false">ROUND(G7-F7,2)</f>
        <v>321200</v>
      </c>
    </row>
    <row r="8" customFormat="false" ht="15" hidden="false" customHeight="true" outlineLevel="0" collapsed="false">
      <c r="B8" s="20" t="n">
        <v>2</v>
      </c>
      <c r="C8" s="23" t="n">
        <f aca="false">Assumptions!$C$14</f>
        <v>51400</v>
      </c>
      <c r="D8" s="24" t="n">
        <f aca="false">'Price Paths'!$D$25</f>
        <v>109.4133</v>
      </c>
      <c r="E8" s="24" t="n">
        <f aca="false">'Price Paths'!$E$25</f>
        <v>109.5</v>
      </c>
      <c r="F8" s="25" t="n">
        <f aca="false">ROUND(C8*D8,2)</f>
        <v>5623843.62</v>
      </c>
      <c r="G8" s="25" t="n">
        <f aca="false">ROUND(C8*E8,2)</f>
        <v>5628300</v>
      </c>
      <c r="H8" s="25" t="n">
        <f aca="false">ROUND(G8-F8,2)</f>
        <v>4456.38</v>
      </c>
    </row>
    <row r="9" customFormat="false" ht="15" hidden="false" customHeight="true" outlineLevel="0" collapsed="false">
      <c r="B9" s="20" t="n">
        <v>3</v>
      </c>
      <c r="C9" s="23" t="n">
        <f aca="false">Assumptions!$C$15</f>
        <v>49900</v>
      </c>
      <c r="D9" s="24" t="n">
        <f aca="false">'Price Paths'!$D$26</f>
        <v>116.3174</v>
      </c>
      <c r="E9" s="24" t="n">
        <f aca="false">'Price Paths'!$E$26</f>
        <v>111.5408</v>
      </c>
      <c r="F9" s="25" t="n">
        <f aca="false">ROUND(C9*D9,2)</f>
        <v>5804238.26</v>
      </c>
      <c r="G9" s="25" t="n">
        <f aca="false">ROUND(C9*E9,2)</f>
        <v>5565885.92</v>
      </c>
      <c r="H9" s="25" t="n">
        <f aca="false">ROUND(G9-F9,2)</f>
        <v>-238352.34</v>
      </c>
    </row>
    <row r="10" customFormat="false" ht="15" hidden="false" customHeight="true" outlineLevel="0" collapsed="false">
      <c r="B10" s="4" t="s">
        <v>166</v>
      </c>
      <c r="C10" s="26" t="n">
        <f aca="false">SUM(C7:C9)</f>
        <v>159700</v>
      </c>
      <c r="F10" s="27" t="n">
        <f aca="false">SUM(F7:F9)</f>
        <v>17501681.88</v>
      </c>
      <c r="G10" s="27" t="n">
        <f aca="false">SUM(G7:G9)</f>
        <v>17588985.92</v>
      </c>
      <c r="H10" s="27" t="n">
        <f aca="false">SUM(H7:H9)</f>
        <v>87304.04</v>
      </c>
    </row>
    <row r="12" customFormat="false" ht="15" hidden="false" customHeight="true" outlineLevel="0" collapsed="false">
      <c r="B12" s="9" t="s">
        <v>167</v>
      </c>
      <c r="F12" s="28" t="n">
        <f aca="false">Assumptions!$C$7*3</f>
        <v>186000</v>
      </c>
    </row>
    <row r="13" customFormat="false" ht="15" hidden="false" customHeight="true" outlineLevel="0" collapsed="false">
      <c r="B13" s="9" t="s">
        <v>168</v>
      </c>
      <c r="F13" s="28" t="n">
        <f aca="false">F12-C10</f>
        <v>26300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58"/>
    <col collapsed="false" customWidth="true" hidden="false" outlineLevel="0" max="3" min="3" style="1" width="44"/>
    <col collapsed="false" customWidth="true" hidden="false" outlineLevel="0" max="4" min="4" style="1" width="22"/>
    <col collapsed="false" customWidth="true" hidden="false" outlineLevel="0" max="5" min="5" style="1" width="14"/>
    <col collapsed="false" customWidth="true" hidden="false" outlineLevel="0" max="8" min="8" style="1" width="22"/>
    <col collapsed="false" customWidth="true" hidden="false" outlineLevel="0" max="9" min="9" style="1" width="16"/>
  </cols>
  <sheetData>
    <row r="2" customFormat="false" ht="15.75" hidden="false" customHeight="true" outlineLevel="0" collapsed="false">
      <c r="B2" s="2" t="s">
        <v>169</v>
      </c>
    </row>
    <row r="3" customFormat="false" ht="15" hidden="false" customHeight="true" outlineLevel="0" collapsed="false">
      <c r="B3" s="3" t="s">
        <v>170</v>
      </c>
    </row>
    <row r="6" customFormat="false" ht="15" hidden="false" customHeight="true" outlineLevel="0" collapsed="false">
      <c r="B6" s="18" t="s">
        <v>171</v>
      </c>
      <c r="C6" s="18" t="s">
        <v>172</v>
      </c>
      <c r="D6" s="18" t="s">
        <v>173</v>
      </c>
      <c r="E6" s="18" t="s">
        <v>174</v>
      </c>
      <c r="H6" s="4" t="s">
        <v>175</v>
      </c>
    </row>
    <row r="7" customFormat="false" ht="25.5" hidden="false" customHeight="true" outlineLevel="0" collapsed="false">
      <c r="B7" s="29" t="s">
        <v>176</v>
      </c>
      <c r="C7" s="30" t="s">
        <v>177</v>
      </c>
      <c r="D7" s="25" t="n">
        <f aca="false">SUM(I7:I9)</f>
        <v>514263.68</v>
      </c>
      <c r="E7" s="21" t="n">
        <f aca="false">D7/'Volumes and Spend'!$C$10</f>
        <v>3.22018584846587</v>
      </c>
      <c r="H7" s="9" t="s">
        <v>155</v>
      </c>
      <c r="I7" s="25" t="n">
        <f aca="false">IF('Volumes and Spend'!$C$7&lt;Assumptions!$C$26,ROUND('Volumes and Spend'!$C$7*'Price Paths'!$D$24*Assumptions!$C$27,2),0)</f>
        <v>0</v>
      </c>
    </row>
    <row r="8" customFormat="false" ht="25.5" hidden="false" customHeight="true" outlineLevel="0" collapsed="false">
      <c r="B8" s="29" t="s">
        <v>178</v>
      </c>
      <c r="C8" s="30" t="s">
        <v>179</v>
      </c>
      <c r="D8" s="25" t="n">
        <f aca="false">ROUND('Volumes and Spend'!$F$8*ROUND(Assumptions!$C$36,4)+'Volumes and Spend'!$F$9*ROUND((1+Assumptions!$C$36)*(1+Assumptions!$C$37)-1,4),2)</f>
        <v>455844.71</v>
      </c>
      <c r="E8" s="21" t="n">
        <f aca="false">D8/'Volumes and Spend'!$C$10</f>
        <v>2.85438140262993</v>
      </c>
      <c r="H8" s="9" t="s">
        <v>156</v>
      </c>
      <c r="I8" s="25" t="n">
        <f aca="false">IF('Volumes and Spend'!$C$8&lt;Assumptions!$C$26,ROUND('Volumes and Spend'!$C$8*'Price Paths'!$D$25*Assumptions!$C$27,2),0)</f>
        <v>253072.96</v>
      </c>
    </row>
    <row r="9" customFormat="false" ht="25.5" hidden="false" customHeight="true" outlineLevel="0" collapsed="false">
      <c r="B9" s="29" t="s">
        <v>180</v>
      </c>
      <c r="C9" s="30" t="s">
        <v>181</v>
      </c>
      <c r="D9" s="25" t="n">
        <f aca="false">ROUND(ROUND('Volumes and Spend'!$C$10*Assumptions!$C$56,2)*(1-Assumptions!$C$58)*Assumptions!$C$57,2)-ROUND(ROUND('Volumes and Spend'!$C$10*Assumptions!$C$56,2)*(1-Assumptions!$C$59)*Assumptions!$C$57,2)</f>
        <v>196996.34</v>
      </c>
      <c r="E9" s="21" t="n">
        <f aca="false">D9/'Volumes and Spend'!$C$10</f>
        <v>1.23354001252348</v>
      </c>
      <c r="H9" s="9" t="s">
        <v>157</v>
      </c>
      <c r="I9" s="25" t="n">
        <f aca="false">IF('Volumes and Spend'!$C$9&lt;Assumptions!$C$26,ROUND('Volumes and Spend'!$C$9*'Price Paths'!$D$26*Assumptions!$C$27,2),0)</f>
        <v>261190.72</v>
      </c>
    </row>
    <row r="10" customFormat="false" ht="25.5" hidden="false" customHeight="true" outlineLevel="0" collapsed="false">
      <c r="B10" s="29" t="s">
        <v>182</v>
      </c>
      <c r="C10" s="30" t="s">
        <v>183</v>
      </c>
      <c r="D10" s="25" t="n">
        <f aca="false">ROUND(Assumptions!$C$38*Assumptions!$C$39*ROUND(Assumptions!$C$40-Assumptions!$C$41,4)*3,2)</f>
        <v>188340</v>
      </c>
      <c r="E10" s="21" t="n">
        <f aca="false">D10/'Volumes and Spend'!$C$10</f>
        <v>1.17933625547902</v>
      </c>
    </row>
    <row r="11" customFormat="false" ht="25.5" hidden="false" customHeight="true" outlineLevel="0" collapsed="false">
      <c r="B11" s="29" t="s">
        <v>184</v>
      </c>
      <c r="C11" s="30" t="s">
        <v>185</v>
      </c>
      <c r="D11" s="25" t="n">
        <f aca="false">ROUND(Assumptions!$C$67*(Assumptions!$C$65-Assumptions!$C$66)/Assumptions!$C$65,2)*ROUND(Assumptions!$C$68-'Price Paths'!$D$25,4)</f>
        <v>83309.933943</v>
      </c>
      <c r="E11" s="21" t="n">
        <f aca="false">D11/'Volumes and Spend'!$C$10</f>
        <v>0.521665209411396</v>
      </c>
    </row>
    <row r="12" customFormat="false" ht="25.5" hidden="false" customHeight="true" outlineLevel="0" collapsed="false">
      <c r="B12" s="29" t="s">
        <v>186</v>
      </c>
      <c r="C12" s="30" t="s">
        <v>187</v>
      </c>
      <c r="D12" s="25" t="n">
        <f aca="false">ROUND(ROUND(Assumptions!$C$48*Assumptions!$C$49*'Price Paths'!$D$24,2)*Assumptions!$C$51,2)-ROUND(ROUND(Assumptions!$C$48*Assumptions!$C$49*'Price Paths'!$D$24,2)*Assumptions!$C$50,2)</f>
        <v>81120</v>
      </c>
      <c r="E12" s="21" t="n">
        <f aca="false">D12/'Volumes and Spend'!$C$10</f>
        <v>0.507952410770194</v>
      </c>
    </row>
    <row r="13" customFormat="false" ht="25.5" hidden="false" customHeight="true" outlineLevel="0" collapsed="false">
      <c r="B13" s="29" t="s">
        <v>188</v>
      </c>
      <c r="C13" s="30" t="s">
        <v>189</v>
      </c>
      <c r="D13" s="25" t="n">
        <f aca="false">ROUND('Volumes and Spend'!$F$10*(Assumptions!$C$34-Assumptions!$C$33)/365*Assumptions!$C$35,2)</f>
        <v>46031.82</v>
      </c>
      <c r="E13" s="21" t="n">
        <f aca="false">D13/'Volumes and Spend'!$C$10</f>
        <v>0.288239323731998</v>
      </c>
    </row>
    <row r="15" customFormat="false" ht="15" hidden="false" customHeight="true" outlineLevel="0" collapsed="false">
      <c r="B15" s="4" t="s">
        <v>190</v>
      </c>
      <c r="D15" s="27" t="n">
        <f aca="false">ROUND(SUM(D7:D13),2)</f>
        <v>1565906.48</v>
      </c>
      <c r="E15" s="31" t="n">
        <f aca="false">D15/'Volumes and Spend'!$C$10</f>
        <v>9.80530043832185</v>
      </c>
    </row>
    <row r="17" customFormat="false" ht="15" hidden="false" customHeight="true" outlineLevel="0" collapsed="false">
      <c r="B17" s="9" t="s">
        <v>191</v>
      </c>
      <c r="D17" s="25" t="n">
        <f aca="false">D15-D11</f>
        <v>1482596.546057</v>
      </c>
      <c r="E17" s="32" t="n">
        <f aca="false">D17/D15</f>
        <v>0.946797631271697</v>
      </c>
    </row>
    <row r="18" customFormat="false" ht="15" hidden="false" customHeight="true" outlineLevel="0" collapsed="false">
      <c r="B18" s="9" t="s">
        <v>192</v>
      </c>
      <c r="D18" s="25" t="n">
        <f aca="false">D11</f>
        <v>83309.933943</v>
      </c>
      <c r="E18" s="32" t="n">
        <f aca="false">D18/D15</f>
        <v>0.0532023687283036</v>
      </c>
    </row>
    <row r="20" customFormat="false" ht="15" hidden="false" customHeight="true" outlineLevel="0" collapsed="false">
      <c r="B20" s="9" t="s">
        <v>193</v>
      </c>
      <c r="D20" s="32" t="n">
        <f aca="false">D15/'Volumes and Spend'!$F$10</f>
        <v>0.0894717713838368</v>
      </c>
    </row>
    <row r="23" customFormat="false" ht="15" hidden="false" customHeight="true" outlineLevel="0" collapsed="false">
      <c r="B23" s="4" t="s">
        <v>194</v>
      </c>
    </row>
    <row r="24" customFormat="false" ht="15" hidden="false" customHeight="true" outlineLevel="0" collapsed="false">
      <c r="B24" s="9" t="s">
        <v>195</v>
      </c>
      <c r="D24" s="25" t="n">
        <f aca="false">Assumptions!$C$60*Assumptions!$C$61</f>
        <v>2294000</v>
      </c>
    </row>
    <row r="25" customFormat="false" ht="15" hidden="false" customHeight="true" outlineLevel="0" collapsed="false">
      <c r="B25" s="9" t="s">
        <v>196</v>
      </c>
      <c r="D25" s="25" t="n">
        <f aca="false">ROUND(ROUND('Volumes and Spend'!$C$9*Assumptions!$C$72/12,2)*ROUND('Price Paths'!$D$26-Assumptions!$C$74,4),2)+ROUND(Assumptions!$C$75*'Price Paths'!$D$26,2)+ROUND(Assumptions!$C$69*(Assumptions!$C$70-24)/Assumptions!$C$70,2)+Assumptions!$C$71</f>
        <v>2009092.93</v>
      </c>
    </row>
    <row r="26" customFormat="false" ht="15" hidden="false" customHeight="true" outlineLevel="0" collapsed="false">
      <c r="B26" s="3" t="s">
        <v>197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62"/>
    <col collapsed="false" customWidth="true" hidden="false" outlineLevel="0" max="3" min="3" style="1" width="20"/>
  </cols>
  <sheetData>
    <row r="2" customFormat="false" ht="15.75" hidden="false" customHeight="true" outlineLevel="0" collapsed="false">
      <c r="B2" s="2" t="s">
        <v>198</v>
      </c>
    </row>
    <row r="3" customFormat="false" ht="15" hidden="false" customHeight="true" outlineLevel="0" collapsed="false">
      <c r="B3" s="3" t="s">
        <v>199</v>
      </c>
    </row>
    <row r="6" customFormat="false" ht="15" hidden="false" customHeight="true" outlineLevel="0" collapsed="false">
      <c r="B6" s="18"/>
      <c r="C6" s="18" t="s">
        <v>200</v>
      </c>
    </row>
    <row r="7" customFormat="false" ht="15" hidden="false" customHeight="true" outlineLevel="0" collapsed="false">
      <c r="B7" s="20" t="s">
        <v>201</v>
      </c>
      <c r="C7" s="25" t="n">
        <f aca="false">(Assumptions!$C$9-Assumptions!$C$8)*Assumptions!$C$7*3+Assumptions!$C$29*Assumptions!$C$30*Assumptions!$C$8*2</f>
        <v>1228920</v>
      </c>
    </row>
    <row r="8" customFormat="false" ht="15" hidden="false" customHeight="true" outlineLevel="0" collapsed="false">
      <c r="B8" s="20" t="s">
        <v>202</v>
      </c>
      <c r="C8" s="25" t="n">
        <f aca="false">-Assumptions!$C$29*Assumptions!$C$30*Assumptions!$C$8*2</f>
        <v>-205920</v>
      </c>
    </row>
    <row r="9" customFormat="false" ht="15" hidden="false" customHeight="true" outlineLevel="0" collapsed="false">
      <c r="B9" s="20" t="s">
        <v>203</v>
      </c>
      <c r="C9" s="25" t="n">
        <f aca="false">(Assumptions!$C$9-Assumptions!$C$8)*('Volumes and Spend'!$C$10-Assumptions!$C$7*3)</f>
        <v>-144650</v>
      </c>
    </row>
    <row r="10" customFormat="false" ht="15" hidden="false" customHeight="true" outlineLevel="0" collapsed="false">
      <c r="B10" s="20" t="s">
        <v>204</v>
      </c>
      <c r="C10" s="25" t="n">
        <f aca="false">'Volumes and Spend'!$H$10-C7-C8-C9</f>
        <v>-791045.96</v>
      </c>
    </row>
    <row r="12" customFormat="false" ht="15" hidden="false" customHeight="true" outlineLevel="0" collapsed="false">
      <c r="B12" s="4" t="s">
        <v>205</v>
      </c>
      <c r="C12" s="27" t="n">
        <f aca="false">ROUND(SUM(C7:C10),2)</f>
        <v>87304.04</v>
      </c>
    </row>
    <row r="14" customFormat="false" ht="15" hidden="false" customHeight="true" outlineLevel="0" collapsed="false">
      <c r="B14" s="3" t="s">
        <v>206</v>
      </c>
      <c r="C14" s="33" t="n">
        <f aca="false">'Volumes and Spend'!$H$10</f>
        <v>87304.04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62"/>
    <col collapsed="false" customWidth="true" hidden="false" outlineLevel="0" max="3" min="3" style="1" width="20"/>
  </cols>
  <sheetData>
    <row r="2" customFormat="false" ht="15.75" hidden="false" customHeight="true" outlineLevel="0" collapsed="false">
      <c r="B2" s="2" t="s">
        <v>207</v>
      </c>
    </row>
    <row r="3" customFormat="false" ht="15" hidden="false" customHeight="true" outlineLevel="0" collapsed="false">
      <c r="B3" s="3" t="s">
        <v>208</v>
      </c>
    </row>
    <row r="6" customFormat="false" ht="15" hidden="false" customHeight="true" outlineLevel="0" collapsed="false">
      <c r="B6" s="18"/>
      <c r="C6" s="18" t="s">
        <v>200</v>
      </c>
    </row>
    <row r="7" customFormat="false" ht="15" hidden="false" customHeight="true" outlineLevel="0" collapsed="false">
      <c r="B7" s="20" t="s">
        <v>205</v>
      </c>
      <c r="C7" s="34" t="n">
        <f aca="false">'Volumes and Spend'!$H$10</f>
        <v>87304.04</v>
      </c>
    </row>
    <row r="8" customFormat="false" ht="25.5" hidden="false" customHeight="true" outlineLevel="0" collapsed="false">
      <c r="B8" s="35" t="str">
        <f aca="false">'Clause Costs'!B7</f>
        <v>Volume band: 4.50 per cent surcharge below the threshold; the rejected bid had none</v>
      </c>
      <c r="C8" s="34" t="n">
        <f aca="false">-'Clause Costs'!D7</f>
        <v>-514263.68</v>
      </c>
    </row>
    <row r="9" customFormat="false" ht="25.5" hidden="false" customHeight="true" outlineLevel="0" collapsed="false">
      <c r="B9" s="35" t="str">
        <f aca="false">'Clause Costs'!B8</f>
        <v>Priced in the supplier's currency against the buyer's</v>
      </c>
      <c r="C9" s="34" t="n">
        <f aca="false">-'Clause Costs'!D8</f>
        <v>-455844.71</v>
      </c>
    </row>
    <row r="10" customFormat="false" ht="25.5" hidden="false" customHeight="true" outlineLevel="0" collapsed="false">
      <c r="B10" s="35" t="str">
        <f aca="false">'Clause Costs'!B9</f>
        <v>Warranty 12 months from delivery against 24</v>
      </c>
      <c r="C10" s="34" t="n">
        <f aca="false">-'Clause Costs'!D9</f>
        <v>-196996.34</v>
      </c>
    </row>
    <row r="11" customFormat="false" ht="25.5" hidden="false" customHeight="true" outlineLevel="0" collapsed="false">
      <c r="B11" s="35" t="str">
        <f aca="false">'Clause Costs'!B10</f>
        <v>Change control at cost plus 22 per cent against 12</v>
      </c>
      <c r="C11" s="34" t="n">
        <f aca="false">-'Clause Costs'!D10</f>
        <v>-188340</v>
      </c>
    </row>
    <row r="12" customFormat="false" ht="25.5" hidden="false" customHeight="true" outlineLevel="0" collapsed="false">
      <c r="B12" s="35" t="str">
        <f aca="false">'Clause Costs'!B11</f>
        <v>Force majeure with no alternative sourcing right against a four-week trigger</v>
      </c>
      <c r="C12" s="34" t="n">
        <f aca="false">-'Clause Costs'!D11</f>
        <v>-83309.933943</v>
      </c>
    </row>
    <row r="13" customFormat="false" ht="25.5" hidden="false" customHeight="true" outlineLevel="0" collapsed="false">
      <c r="B13" s="35" t="str">
        <f aca="false">'Clause Costs'!B12</f>
        <v>Liquidated damages capped at 5 per cent of the affected order against 10</v>
      </c>
      <c r="C13" s="34" t="n">
        <f aca="false">-'Clause Costs'!D12</f>
        <v>-81120</v>
      </c>
    </row>
    <row r="14" customFormat="false" ht="25.5" hidden="false" customHeight="true" outlineLevel="0" collapsed="false">
      <c r="B14" s="35" t="str">
        <f aca="false">'Clause Costs'!B13</f>
        <v>Payment terms: 45 days signed against 60 offered</v>
      </c>
      <c r="C14" s="34" t="n">
        <f aca="false">-'Clause Costs'!D13</f>
        <v>-46031.82</v>
      </c>
    </row>
    <row r="16" customFormat="false" ht="15" hidden="false" customHeight="true" outlineLevel="0" collapsed="false">
      <c r="B16" s="4" t="s">
        <v>209</v>
      </c>
      <c r="C16" s="27" t="n">
        <f aca="false">SUM(C7:C14)</f>
        <v>-1478602.443943</v>
      </c>
    </row>
    <row r="18" customFormat="false" ht="15" hidden="false" customHeight="true" outlineLevel="0" collapsed="false">
      <c r="B18" s="9" t="s">
        <v>210</v>
      </c>
      <c r="C18" s="25" t="n">
        <f aca="false">'Bridge A'!C7-'Bridge B'!$C$16</f>
        <v>2707522.443943</v>
      </c>
    </row>
    <row r="19" customFormat="false" ht="15" hidden="false" customHeight="true" outlineLevel="0" collapsed="false">
      <c r="B19" s="9" t="s">
        <v>211</v>
      </c>
      <c r="C19" s="24" t="n">
        <f aca="false">'Clause Costs'!$E$15</f>
        <v>9.80530043832185</v>
      </c>
    </row>
    <row r="20" customFormat="false" ht="15" hidden="false" customHeight="true" outlineLevel="0" collapsed="false">
      <c r="B20" s="4" t="s">
        <v>212</v>
      </c>
      <c r="C20" s="36" t="n">
        <f aca="false">Assumptions!$C$8-'Clause Costs'!$E$15</f>
        <v>94.1946995616782</v>
      </c>
    </row>
    <row r="21" customFormat="false" ht="15" hidden="false" customHeight="true" outlineLevel="0" collapsed="false">
      <c r="B21" s="9" t="s">
        <v>213</v>
      </c>
      <c r="C21" s="32" t="n">
        <f aca="false">'Clause Costs'!$E$15/Assumptions!$C$8</f>
        <v>0.094281734983864</v>
      </c>
    </row>
    <row r="22" customFormat="false" ht="15" hidden="false" customHeight="true" outlineLevel="0" collapsed="false">
      <c r="B22" s="9" t="s">
        <v>214</v>
      </c>
      <c r="C22" s="21" t="n">
        <f aca="false">'Clause Costs'!$E$15/(Assumptions!$C$9-Assumptions!$C$8)</f>
        <v>1.7827818978767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5"/>
    <col collapsed="false" customWidth="true" hidden="false" outlineLevel="0" max="2" min="2" style="0" width="58"/>
    <col collapsed="false" customWidth="true" hidden="false" outlineLevel="0" max="4" min="3" style="0" width="18"/>
    <col collapsed="false" customWidth="true" hidden="false" outlineLevel="0" max="5" min="5" style="0" width="12"/>
    <col collapsed="false" customWidth="true" hidden="false" outlineLevel="0" max="7" min="6" style="0" width="18"/>
  </cols>
  <sheetData>
    <row r="2" customFormat="false" ht="16.15" hidden="false" customHeight="false" outlineLevel="0" collapsed="false">
      <c r="B2" s="37" t="s">
        <v>215</v>
      </c>
    </row>
    <row r="3" customFormat="false" ht="15" hidden="false" customHeight="false" outlineLevel="0" collapsed="false">
      <c r="B3" s="38" t="s">
        <v>216</v>
      </c>
    </row>
    <row r="5" customFormat="false" ht="15" hidden="false" customHeight="false" outlineLevel="0" collapsed="false">
      <c r="B5" s="6" t="s">
        <v>217</v>
      </c>
    </row>
    <row r="6" customFormat="false" ht="15" hidden="false" customHeight="false" outlineLevel="0" collapsed="false">
      <c r="B6" s="39" t="s">
        <v>218</v>
      </c>
      <c r="C6" s="40" t="n">
        <f aca="false">MIN('Price Paths'!$J$6,'Price Paths'!$J$8)</f>
        <v>0.0074</v>
      </c>
    </row>
    <row r="7" customFormat="false" ht="15" hidden="false" customHeight="false" outlineLevel="0" collapsed="false">
      <c r="B7" s="39" t="s">
        <v>219</v>
      </c>
      <c r="C7" s="40" t="n">
        <f aca="false">MIN('Price Paths'!$J$7,'Price Paths'!$J$8)</f>
        <v>0.0074</v>
      </c>
    </row>
    <row r="9" customFormat="false" ht="15" hidden="false" customHeight="false" outlineLevel="0" collapsed="false">
      <c r="B9" s="41" t="s">
        <v>143</v>
      </c>
      <c r="C9" s="41" t="s">
        <v>220</v>
      </c>
    </row>
    <row r="10" customFormat="false" ht="15" hidden="false" customHeight="false" outlineLevel="0" collapsed="false">
      <c r="B10" s="42" t="n">
        <v>1</v>
      </c>
      <c r="C10" s="43" t="n">
        <f aca="false">ROUND(Assumptions!$C$8*(1+$C$6)^0*(1+$C$7)^0,4)</f>
        <v>104</v>
      </c>
    </row>
    <row r="11" customFormat="false" ht="15" hidden="false" customHeight="false" outlineLevel="0" collapsed="false">
      <c r="B11" s="42" t="n">
        <v>2</v>
      </c>
      <c r="C11" s="43" t="n">
        <f aca="false">ROUND(Assumptions!$C$8*(1+$C$6)^0*(1+$C$7)^0,4)</f>
        <v>104</v>
      </c>
    </row>
    <row r="12" customFormat="false" ht="15" hidden="false" customHeight="false" outlineLevel="0" collapsed="false">
      <c r="B12" s="42" t="n">
        <v>3</v>
      </c>
      <c r="C12" s="43" t="n">
        <f aca="false">ROUND(Assumptions!$C$8*(1+$C$6)^0*(1+$C$7)^0,4)</f>
        <v>104</v>
      </c>
    </row>
    <row r="13" customFormat="false" ht="15" hidden="false" customHeight="false" outlineLevel="0" collapsed="false">
      <c r="B13" s="42" t="n">
        <v>4</v>
      </c>
      <c r="C13" s="43" t="n">
        <f aca="false">ROUND(Assumptions!$C$8*(1+$C$6)^0*(1+$C$7)^0,4)</f>
        <v>104</v>
      </c>
    </row>
    <row r="14" customFormat="false" ht="15" hidden="false" customHeight="false" outlineLevel="0" collapsed="false">
      <c r="B14" s="42" t="n">
        <v>5</v>
      </c>
      <c r="C14" s="43" t="n">
        <f aca="false">ROUND(Assumptions!$C$8*(1+$C$6)^1*(1+$C$7)^0,4)</f>
        <v>104.7696</v>
      </c>
    </row>
    <row r="15" customFormat="false" ht="15" hidden="false" customHeight="false" outlineLevel="0" collapsed="false">
      <c r="B15" s="42" t="n">
        <v>6</v>
      </c>
      <c r="C15" s="43" t="n">
        <f aca="false">ROUND(Assumptions!$C$8*(1+$C$6)^2*(1+$C$7)^0,4)</f>
        <v>105.5449</v>
      </c>
    </row>
    <row r="16" customFormat="false" ht="15" hidden="false" customHeight="false" outlineLevel="0" collapsed="false">
      <c r="B16" s="42" t="n">
        <v>7</v>
      </c>
      <c r="C16" s="43" t="n">
        <f aca="false">ROUND(Assumptions!$C$8*(1+$C$6)^3*(1+$C$7)^0,4)</f>
        <v>106.3259</v>
      </c>
    </row>
    <row r="17" customFormat="false" ht="15" hidden="false" customHeight="false" outlineLevel="0" collapsed="false">
      <c r="B17" s="42" t="n">
        <v>8</v>
      </c>
      <c r="C17" s="43" t="n">
        <f aca="false">ROUND(Assumptions!$C$8*(1+$C$6)^4*(1+$C$7)^0,4)</f>
        <v>107.1127</v>
      </c>
    </row>
    <row r="18" customFormat="false" ht="15" hidden="false" customHeight="false" outlineLevel="0" collapsed="false">
      <c r="B18" s="42" t="n">
        <v>9</v>
      </c>
      <c r="C18" s="43" t="n">
        <f aca="false">ROUND(Assumptions!$C$8*(1+$C$6)^4*(1+$C$7)^1,4)</f>
        <v>107.9054</v>
      </c>
    </row>
    <row r="19" customFormat="false" ht="15" hidden="false" customHeight="false" outlineLevel="0" collapsed="false">
      <c r="B19" s="42" t="n">
        <v>10</v>
      </c>
      <c r="C19" s="43" t="n">
        <f aca="false">ROUND(Assumptions!$C$8*(1+$C$6)^4*(1+$C$7)^2,4)</f>
        <v>108.7039</v>
      </c>
    </row>
    <row r="20" customFormat="false" ht="15" hidden="false" customHeight="false" outlineLevel="0" collapsed="false">
      <c r="B20" s="42" t="n">
        <v>11</v>
      </c>
      <c r="C20" s="43" t="n">
        <f aca="false">ROUND(Assumptions!$C$8*(1+$C$6)^4*(1+$C$7)^3,4)</f>
        <v>109.5083</v>
      </c>
    </row>
    <row r="21" customFormat="false" ht="15" hidden="false" customHeight="false" outlineLevel="0" collapsed="false">
      <c r="B21" s="42" t="n">
        <v>12</v>
      </c>
      <c r="C21" s="43" t="n">
        <f aca="false">ROUND(Assumptions!$C$8*(1+$C$6)^4*(1+$C$7)^4,4)</f>
        <v>110.3186</v>
      </c>
    </row>
    <row r="23" customFormat="false" ht="15" hidden="false" customHeight="false" outlineLevel="0" collapsed="false">
      <c r="B23" s="41" t="s">
        <v>160</v>
      </c>
      <c r="C23" s="41" t="s">
        <v>221</v>
      </c>
      <c r="D23" s="41" t="s">
        <v>222</v>
      </c>
    </row>
    <row r="24" customFormat="false" ht="15" hidden="false" customHeight="false" outlineLevel="0" collapsed="false">
      <c r="B24" s="39" t="s">
        <v>155</v>
      </c>
      <c r="C24" s="43" t="n">
        <f aca="false">ROUND(AVERAGE(C10:C13),4)</f>
        <v>104</v>
      </c>
      <c r="D24" s="44" t="n">
        <f aca="false">ROUND('Volumes and Spend'!C7*C24,2)</f>
        <v>6073600</v>
      </c>
    </row>
    <row r="25" customFormat="false" ht="15" hidden="false" customHeight="false" outlineLevel="0" collapsed="false">
      <c r="B25" s="39" t="s">
        <v>156</v>
      </c>
      <c r="C25" s="43" t="n">
        <f aca="false">ROUND(AVERAGE(C14:C17),4)</f>
        <v>105.9383</v>
      </c>
      <c r="D25" s="44" t="n">
        <f aca="false">ROUND('Volumes and Spend'!C8*C25,2)</f>
        <v>5445228.62</v>
      </c>
    </row>
    <row r="26" customFormat="false" ht="15" hidden="false" customHeight="false" outlineLevel="0" collapsed="false">
      <c r="B26" s="39" t="s">
        <v>157</v>
      </c>
      <c r="C26" s="43" t="n">
        <f aca="false">ROUND(AVERAGE(C18:C21),4)</f>
        <v>109.1091</v>
      </c>
      <c r="D26" s="44" t="n">
        <f aca="false">ROUND('Volumes and Spend'!C9*C26,2)</f>
        <v>5444544.09</v>
      </c>
    </row>
    <row r="27" customFormat="false" ht="15" hidden="false" customHeight="false" outlineLevel="0" collapsed="false">
      <c r="B27" s="45" t="s">
        <v>166</v>
      </c>
      <c r="D27" s="46" t="n">
        <f aca="false">SUM(D24:D26)</f>
        <v>16963372.71</v>
      </c>
    </row>
    <row r="29" customFormat="false" ht="15" hidden="false" customHeight="false" outlineLevel="0" collapsed="false">
      <c r="B29" s="6" t="s">
        <v>223</v>
      </c>
    </row>
    <row r="30" customFormat="false" ht="15" hidden="false" customHeight="false" outlineLevel="0" collapsed="false">
      <c r="B30" s="39" t="s">
        <v>224</v>
      </c>
      <c r="C30" s="44" t="n">
        <f aca="false">'Volumes and Spend'!G10-D27</f>
        <v>625613.210000001</v>
      </c>
    </row>
    <row r="31" customFormat="false" ht="15" hidden="false" customHeight="false" outlineLevel="0" collapsed="false">
      <c r="B31" s="39" t="s">
        <v>225</v>
      </c>
      <c r="C31" s="44" t="n">
        <f aca="false">IF('Volumes and Spend'!C7&lt;Assumptions!$C$26,ROUND('Volumes and Spend'!C7*C24*Assumptions!$C$27,2),0)+IF('Volumes and Spend'!C8&lt;Assumptions!$C$26,ROUND('Volumes and Spend'!C8*C25*Assumptions!$C$27,2),0)+IF('Volumes and Spend'!C9&lt;Assumptions!$C$26,ROUND('Volumes and Spend'!C9*C26*Assumptions!$C$27,2),0)</f>
        <v>490039.77</v>
      </c>
    </row>
    <row r="32" customFormat="false" ht="15" hidden="false" customHeight="false" outlineLevel="0" collapsed="false">
      <c r="B32" s="39" t="s">
        <v>226</v>
      </c>
      <c r="C32" s="44" t="n">
        <f aca="false">ROUND(D25*ROUND(Assumptions!$C$36,4)+D26*ROUND((1+Assumptions!$C$36)*(1+Assumptions!$C$37)-1,4),2)</f>
        <v>432862.48</v>
      </c>
    </row>
    <row r="33" customFormat="false" ht="15" hidden="false" customHeight="false" outlineLevel="0" collapsed="false">
      <c r="B33" s="39" t="s">
        <v>227</v>
      </c>
      <c r="C33" s="44" t="n">
        <f aca="false">ROUND(D27*(Assumptions!$C$34-Assumptions!$C$33)/365*Assumptions!$C$35,2)</f>
        <v>44615.99</v>
      </c>
    </row>
    <row r="34" customFormat="false" ht="15" hidden="false" customHeight="false" outlineLevel="0" collapsed="false">
      <c r="B34" s="39" t="s">
        <v>228</v>
      </c>
      <c r="C34" s="44" t="n">
        <f aca="false">ROUND(Assumptions!$C$67*(Assumptions!$C$65-Assumptions!$C$66)/Assumptions!$C$65,2)*ROUND(Assumptions!$C$68-C25,4)</f>
        <v>93437.091693</v>
      </c>
    </row>
    <row r="35" customFormat="false" ht="15" hidden="false" customHeight="false" outlineLevel="0" collapsed="false">
      <c r="B35" s="39" t="s">
        <v>229</v>
      </c>
      <c r="C35" s="44" t="n">
        <f aca="false">'Clause Costs'!D9+'Clause Costs'!D10+'Clause Costs'!D12</f>
        <v>466456.34</v>
      </c>
    </row>
    <row r="36" customFormat="false" ht="15" hidden="false" customHeight="false" outlineLevel="0" collapsed="false">
      <c r="B36" s="45" t="s">
        <v>230</v>
      </c>
      <c r="C36" s="46" t="n">
        <f aca="false">C30-SUM(C31:C35)</f>
        <v>-901798.461692999</v>
      </c>
    </row>
    <row r="37" customFormat="false" ht="15" hidden="false" customHeight="false" outlineLevel="0" collapsed="false">
      <c r="B37" s="39" t="s">
        <v>231</v>
      </c>
      <c r="C37" s="44" t="n">
        <f aca="false">C36+C34-'Clause Costs'!D11</f>
        <v>-891671.303942999</v>
      </c>
      <c r="D37" s="38" t="s">
        <v>232</v>
      </c>
    </row>
    <row r="39" customFormat="false" ht="15" hidden="false" customHeight="false" outlineLevel="0" collapsed="false">
      <c r="B39" s="6" t="s">
        <v>233</v>
      </c>
    </row>
    <row r="40" customFormat="false" ht="15" hidden="false" customHeight="false" outlineLevel="0" collapsed="false">
      <c r="B40" s="41" t="s">
        <v>234</v>
      </c>
      <c r="C40" s="41" t="s">
        <v>235</v>
      </c>
      <c r="D40" s="41" t="s">
        <v>236</v>
      </c>
      <c r="E40" s="41" t="s">
        <v>237</v>
      </c>
      <c r="F40" s="41" t="s">
        <v>238</v>
      </c>
      <c r="G40" s="41" t="s">
        <v>239</v>
      </c>
    </row>
    <row r="41" customFormat="false" ht="15" hidden="false" customHeight="false" outlineLevel="0" collapsed="false">
      <c r="B41" s="39" t="s">
        <v>240</v>
      </c>
      <c r="C41" s="44" t="n">
        <f aca="false">C36</f>
        <v>-901798.461692999</v>
      </c>
      <c r="D41" s="44" t="n">
        <f aca="false">C41-'Bridge B'!$C$16</f>
        <v>576803.982250001</v>
      </c>
      <c r="E41" s="42" t="n">
        <f aca="false">RANK(C41,$C$41:$C$48)+COUNTIF($C$41:C41,C41)-1</f>
        <v>1</v>
      </c>
      <c r="F41" s="44" t="n">
        <v>0</v>
      </c>
      <c r="G41" s="44" t="n">
        <v>0</v>
      </c>
    </row>
    <row r="42" customFormat="false" ht="15" hidden="false" customHeight="false" outlineLevel="0" collapsed="false">
      <c r="B42" s="39" t="s">
        <v>241</v>
      </c>
      <c r="C42" s="44" t="n">
        <f aca="false">'Bridge B'!$C$16+'Clause Costs'!D7</f>
        <v>-964338.763943</v>
      </c>
      <c r="D42" s="44" t="n">
        <f aca="false">C42-'Bridge B'!$C$16</f>
        <v>514263.68</v>
      </c>
      <c r="E42" s="42" t="n">
        <f aca="false">RANK(C42,$C$41:$C$48)+COUNTIF($C$41:C42,C42)-1</f>
        <v>2</v>
      </c>
      <c r="F42" s="44" t="n">
        <f aca="false">'Clause Costs'!D7</f>
        <v>514263.68</v>
      </c>
      <c r="G42" s="44" t="n">
        <f aca="false">C31</f>
        <v>490039.77</v>
      </c>
    </row>
    <row r="43" customFormat="false" ht="15" hidden="false" customHeight="false" outlineLevel="0" collapsed="false">
      <c r="B43" s="39" t="s">
        <v>242</v>
      </c>
      <c r="C43" s="44" t="n">
        <f aca="false">'Bridge B'!$C$16+'Clause Costs'!D8</f>
        <v>-1022757.733943</v>
      </c>
      <c r="D43" s="44" t="n">
        <f aca="false">C43-'Bridge B'!$C$16</f>
        <v>455844.71</v>
      </c>
      <c r="E43" s="42" t="n">
        <f aca="false">RANK(C43,$C$41:$C$48)+COUNTIF($C$41:C43,C43)-1</f>
        <v>3</v>
      </c>
      <c r="F43" s="44" t="n">
        <f aca="false">'Clause Costs'!D8</f>
        <v>455844.71</v>
      </c>
      <c r="G43" s="44" t="n">
        <f aca="false">C32</f>
        <v>432862.48</v>
      </c>
    </row>
    <row r="44" customFormat="false" ht="15" hidden="false" customHeight="false" outlineLevel="0" collapsed="false">
      <c r="B44" s="39" t="s">
        <v>243</v>
      </c>
      <c r="C44" s="44" t="n">
        <f aca="false">'Bridge B'!$C$16+'Clause Costs'!D9</f>
        <v>-1281606.103943</v>
      </c>
      <c r="D44" s="44" t="n">
        <f aca="false">C44-'Bridge B'!$C$16</f>
        <v>196996.34</v>
      </c>
      <c r="E44" s="42" t="n">
        <f aca="false">RANK(C44,$C$41:$C$48)+COUNTIF($C$41:C44,C44)-1</f>
        <v>4</v>
      </c>
      <c r="F44" s="44" t="n">
        <f aca="false">'Clause Costs'!D9</f>
        <v>196996.34</v>
      </c>
      <c r="G44" s="44" t="n">
        <f aca="false">'Clause Costs'!D9</f>
        <v>196996.34</v>
      </c>
    </row>
    <row r="45" customFormat="false" ht="15" hidden="false" customHeight="false" outlineLevel="0" collapsed="false">
      <c r="B45" s="39" t="s">
        <v>244</v>
      </c>
      <c r="C45" s="44" t="n">
        <f aca="false">'Bridge B'!$C$16+'Clause Costs'!D10</f>
        <v>-1290262.443943</v>
      </c>
      <c r="D45" s="44" t="n">
        <f aca="false">C45-'Bridge B'!$C$16</f>
        <v>188340</v>
      </c>
      <c r="E45" s="42" t="n">
        <f aca="false">RANK(C45,$C$41:$C$48)+COUNTIF($C$41:C45,C45)-1</f>
        <v>5</v>
      </c>
      <c r="F45" s="44" t="n">
        <f aca="false">'Clause Costs'!D10</f>
        <v>188340</v>
      </c>
      <c r="G45" s="44" t="n">
        <f aca="false">'Clause Costs'!D10</f>
        <v>188340</v>
      </c>
    </row>
    <row r="46" customFormat="false" ht="15" hidden="false" customHeight="false" outlineLevel="0" collapsed="false">
      <c r="B46" s="39" t="s">
        <v>245</v>
      </c>
      <c r="C46" s="44" t="n">
        <f aca="false">'Bridge B'!$C$16+'Clause Costs'!D11</f>
        <v>-1395292.51</v>
      </c>
      <c r="D46" s="44" t="n">
        <f aca="false">C46-'Bridge B'!$C$16</f>
        <v>83309.9339429999</v>
      </c>
      <c r="E46" s="42" t="n">
        <f aca="false">RANK(C46,$C$41:$C$48)+COUNTIF($C$41:C46,C46)-1</f>
        <v>6</v>
      </c>
      <c r="F46" s="44" t="n">
        <f aca="false">'Clause Costs'!D11</f>
        <v>83309.933943</v>
      </c>
      <c r="G46" s="44" t="n">
        <f aca="false">C34</f>
        <v>93437.091693</v>
      </c>
    </row>
    <row r="47" customFormat="false" ht="15" hidden="false" customHeight="false" outlineLevel="0" collapsed="false">
      <c r="B47" s="39" t="s">
        <v>246</v>
      </c>
      <c r="C47" s="44" t="n">
        <f aca="false">'Bridge B'!$C$16+'Clause Costs'!D12</f>
        <v>-1397482.443943</v>
      </c>
      <c r="D47" s="44" t="n">
        <f aca="false">C47-'Bridge B'!$C$16</f>
        <v>81120</v>
      </c>
      <c r="E47" s="42" t="n">
        <f aca="false">RANK(C47,$C$41:$C$48)+COUNTIF($C$41:C47,C47)-1</f>
        <v>7</v>
      </c>
      <c r="F47" s="44" t="n">
        <f aca="false">'Clause Costs'!D12</f>
        <v>81120</v>
      </c>
      <c r="G47" s="44" t="n">
        <f aca="false">'Clause Costs'!D12</f>
        <v>81120</v>
      </c>
    </row>
    <row r="48" customFormat="false" ht="15" hidden="false" customHeight="false" outlineLevel="0" collapsed="false">
      <c r="B48" s="39" t="s">
        <v>247</v>
      </c>
      <c r="C48" s="44" t="n">
        <f aca="false">'Bridge B'!$C$16+'Clause Costs'!D13</f>
        <v>-1432570.623943</v>
      </c>
      <c r="D48" s="44" t="n">
        <f aca="false">C48-'Bridge B'!$C$16</f>
        <v>46031.8200000001</v>
      </c>
      <c r="E48" s="42" t="n">
        <f aca="false">RANK(C48,$C$41:$C$48)+COUNTIF($C$41:C48,C48)-1</f>
        <v>8</v>
      </c>
      <c r="F48" s="44" t="n">
        <f aca="false">'Clause Costs'!D13</f>
        <v>46031.82</v>
      </c>
      <c r="G48" s="44" t="n">
        <f aca="false">C33</f>
        <v>44615.99</v>
      </c>
    </row>
    <row r="50" customFormat="false" ht="15" hidden="false" customHeight="false" outlineLevel="0" collapsed="false">
      <c r="B50" s="6" t="s">
        <v>248</v>
      </c>
    </row>
    <row r="51" customFormat="false" ht="15" hidden="false" customHeight="false" outlineLevel="0" collapsed="false">
      <c r="B51" s="41" t="s">
        <v>249</v>
      </c>
      <c r="C51" s="41" t="s">
        <v>250</v>
      </c>
      <c r="D51" s="41" t="s">
        <v>235</v>
      </c>
    </row>
    <row r="52" customFormat="false" ht="15" hidden="false" customHeight="false" outlineLevel="0" collapsed="false">
      <c r="B52" s="42" t="n">
        <v>1</v>
      </c>
      <c r="C52" s="39" t="str">
        <f aca="false">INDEX($B$41:$B$48,MATCH(B52,$E$41:$E$48,0))</f>
        <v>Indexation capped at 3 per cent</v>
      </c>
      <c r="D52" s="44" t="n">
        <f aca="false">IF($E$41&lt;=B52,$C$30-SUMPRODUCT(($E$41:$E$48&gt;B52)*$G$41:$G$48),'Volumes and Spend'!$H$10-SUMPRODUCT(($E$41:$E$48&gt;B52)*$F$41:$F$48))</f>
        <v>-901798.461692999</v>
      </c>
    </row>
    <row r="53" customFormat="false" ht="15" hidden="false" customHeight="false" outlineLevel="0" collapsed="false">
      <c r="B53" s="42" t="n">
        <v>2</v>
      </c>
      <c r="C53" s="39" t="str">
        <f aca="false">INDEX($B$41:$B$48,MATCH(B53,$E$41:$E$48,0))</f>
        <v>Volume band removed</v>
      </c>
      <c r="D53" s="44" t="n">
        <f aca="false">IF($E$41&lt;=B53,$C$30-SUMPRODUCT(($E$41:$E$48&gt;B53)*$G$41:$G$48),'Volumes and Spend'!$H$10-SUMPRODUCT(($E$41:$E$48&gt;B53)*$F$41:$F$48))</f>
        <v>-411758.691692999</v>
      </c>
    </row>
    <row r="54" customFormat="false" ht="15" hidden="false" customHeight="false" outlineLevel="0" collapsed="false">
      <c r="B54" s="42" t="n">
        <v>3</v>
      </c>
      <c r="C54" s="39" t="str">
        <f aca="false">INDEX($B$41:$B$48,MATCH(B54,$E$41:$E$48,0))</f>
        <v>Priced in the buyer's currency</v>
      </c>
      <c r="D54" s="44" t="n">
        <f aca="false">IF($E$41&lt;=B54,$C$30-SUMPRODUCT(($E$41:$E$48&gt;B54)*$G$41:$G$48),'Volumes and Spend'!$H$10-SUMPRODUCT(($E$41:$E$48&gt;B54)*$F$41:$F$48))</f>
        <v>21103.7883070009</v>
      </c>
    </row>
    <row r="55" customFormat="false" ht="15" hidden="false" customHeight="false" outlineLevel="0" collapsed="false">
      <c r="B55" s="42" t="n">
        <v>4</v>
      </c>
      <c r="C55" s="39" t="str">
        <f aca="false">INDEX($B$41:$B$48,MATCH(B55,$E$41:$E$48,0))</f>
        <v>Warranty of 24 months</v>
      </c>
      <c r="D55" s="44" t="n">
        <f aca="false">IF($E$41&lt;=B55,$C$30-SUMPRODUCT(($E$41:$E$48&gt;B55)*$G$41:$G$48),'Volumes and Spend'!$H$10-SUMPRODUCT(($E$41:$E$48&gt;B55)*$F$41:$F$48))</f>
        <v>218100.128307001</v>
      </c>
    </row>
    <row r="56" customFormat="false" ht="15" hidden="false" customHeight="false" outlineLevel="0" collapsed="false">
      <c r="B56" s="42" t="n">
        <v>5</v>
      </c>
      <c r="C56" s="39" t="str">
        <f aca="false">INDEX($B$41:$B$48,MATCH(B56,$E$41:$E$48,0))</f>
        <v>Change control at 12 per cent</v>
      </c>
      <c r="D56" s="44" t="n">
        <f aca="false">IF($E$41&lt;=B56,$C$30-SUMPRODUCT(($E$41:$E$48&gt;B56)*$G$41:$G$48),'Volumes and Spend'!$H$10-SUMPRODUCT(($E$41:$E$48&gt;B56)*$F$41:$F$48))</f>
        <v>406440.128307001</v>
      </c>
    </row>
    <row r="57" customFormat="false" ht="15" hidden="false" customHeight="false" outlineLevel="0" collapsed="false">
      <c r="B57" s="42" t="n">
        <v>6</v>
      </c>
      <c r="C57" s="39" t="str">
        <f aca="false">INDEX($B$41:$B$48,MATCH(B57,$E$41:$E$48,0))</f>
        <v>Force majeure with a four-week trigger</v>
      </c>
      <c r="D57" s="44" t="n">
        <f aca="false">IF($E$41&lt;=B57,$C$30-SUMPRODUCT(($E$41:$E$48&gt;B57)*$G$41:$G$48),'Volumes and Spend'!$H$10-SUMPRODUCT(($E$41:$E$48&gt;B57)*$F$41:$F$48))</f>
        <v>499877.220000001</v>
      </c>
    </row>
    <row r="58" customFormat="false" ht="15" hidden="false" customHeight="false" outlineLevel="0" collapsed="false">
      <c r="B58" s="42" t="n">
        <v>7</v>
      </c>
      <c r="C58" s="39" t="str">
        <f aca="false">INDEX($B$41:$B$48,MATCH(B58,$E$41:$E$48,0))</f>
        <v>Liquidated damages at 10 per cent</v>
      </c>
      <c r="D58" s="44" t="n">
        <f aca="false">IF($E$41&lt;=B58,$C$30-SUMPRODUCT(($E$41:$E$48&gt;B58)*$G$41:$G$48),'Volumes and Spend'!$H$10-SUMPRODUCT(($E$41:$E$48&gt;B58)*$F$41:$F$48))</f>
        <v>580997.220000001</v>
      </c>
    </row>
    <row r="59" customFormat="false" ht="15" hidden="false" customHeight="false" outlineLevel="0" collapsed="false">
      <c r="B59" s="42" t="n">
        <v>8</v>
      </c>
      <c r="C59" s="39" t="str">
        <f aca="false">INDEX($B$41:$B$48,MATCH(B59,$E$41:$E$48,0))</f>
        <v>Payment terms of 60 days</v>
      </c>
      <c r="D59" s="44" t="n">
        <f aca="false">IF($E$41&lt;=B59,$C$30-SUMPRODUCT(($E$41:$E$48&gt;B59)*$G$41:$G$48),'Volumes and Spend'!$H$10-SUMPRODUCT(($E$41:$E$48&gt;B59)*$F$41:$F$48))</f>
        <v>625613.210000001</v>
      </c>
    </row>
    <row r="61" customFormat="false" ht="15" hidden="false" customHeight="false" outlineLevel="0" collapsed="false">
      <c r="B61" s="45" t="s">
        <v>251</v>
      </c>
      <c r="C61" s="47" t="n">
        <f aca="false">IFERROR(MATCH(TRUE(),INDEX(D52:D59&gt;=0,0),0),"none")</f>
        <v>3</v>
      </c>
    </row>
    <row r="62" customFormat="false" ht="15" hidden="false" customHeight="false" outlineLevel="0" collapsed="false">
      <c r="B62" s="39" t="s">
        <v>252</v>
      </c>
      <c r="C62" s="44" t="n">
        <f aca="false">IFERROR(INDEX(D52:D59,C61),"")</f>
        <v>21103.7883070009</v>
      </c>
    </row>
    <row r="63" customFormat="false" ht="15" hidden="false" customHeight="false" outlineLevel="0" collapsed="false">
      <c r="B63" s="39" t="s">
        <v>253</v>
      </c>
      <c r="C63" s="44" t="n">
        <f aca="false">IFERROR(D59-INDEX(D52:D59,C61),"")</f>
        <v>604509.421693</v>
      </c>
    </row>
    <row r="64" customFormat="false" ht="15" hidden="false" customHeight="false" outlineLevel="0" collapsed="false">
      <c r="B64" s="39" t="s">
        <v>254</v>
      </c>
      <c r="C64" s="44" t="n">
        <f aca="false">MAX(D41:D48)</f>
        <v>576803.982250001</v>
      </c>
    </row>
    <row r="65" customFormat="false" ht="15" hidden="false" customHeight="false" outlineLevel="0" collapsed="false">
      <c r="B65" s="39" t="s">
        <v>255</v>
      </c>
      <c r="C65" s="44" t="n">
        <f aca="false">-MAX(C41:C48)</f>
        <v>901798.461692999</v>
      </c>
    </row>
    <row r="67" customFormat="false" ht="30" hidden="false" customHeight="true" outlineLevel="0" collapsed="false">
      <c r="B67" s="48" t="s">
        <v>256</v>
      </c>
      <c r="C67" s="48"/>
      <c r="D67" s="48"/>
      <c r="E67" s="48"/>
      <c r="F67" s="48"/>
      <c r="G67" s="48"/>
    </row>
    <row r="68" customFormat="false" ht="15" hidden="false" customHeight="false" outlineLevel="0" collapsed="false">
      <c r="B68" s="48"/>
      <c r="C68" s="48"/>
      <c r="D68" s="48"/>
      <c r="E68" s="48"/>
      <c r="F68" s="48"/>
      <c r="G68" s="48"/>
    </row>
    <row r="69" customFormat="false" ht="15" hidden="false" customHeight="false" outlineLevel="0" collapsed="false">
      <c r="B69" s="48"/>
      <c r="C69" s="48"/>
      <c r="D69" s="48"/>
      <c r="E69" s="48"/>
      <c r="F69" s="48"/>
      <c r="G69" s="48"/>
    </row>
  </sheetData>
  <mergeCells count="1">
    <mergeCell ref="B67:G6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5"/>
    <col collapsed="false" customWidth="true" hidden="false" outlineLevel="0" max="2" min="2" style="0" width="58"/>
    <col collapsed="false" customWidth="true" hidden="false" outlineLevel="0" max="5" min="3" style="0" width="16"/>
    <col collapsed="false" customWidth="true" hidden="false" outlineLevel="0" max="6" min="6" style="0" width="18"/>
    <col collapsed="false" customWidth="true" hidden="false" outlineLevel="0" max="7" min="7" style="0" width="14"/>
  </cols>
  <sheetData>
    <row r="2" customFormat="false" ht="16.15" hidden="false" customHeight="false" outlineLevel="0" collapsed="false">
      <c r="B2" s="37" t="s">
        <v>257</v>
      </c>
    </row>
    <row r="3" customFormat="false" ht="15" hidden="false" customHeight="false" outlineLevel="0" collapsed="false">
      <c r="B3" s="38" t="s">
        <v>258</v>
      </c>
    </row>
    <row r="5" customFormat="false" ht="15" hidden="false" customHeight="false" outlineLevel="0" collapsed="false">
      <c r="B5" s="6" t="s">
        <v>259</v>
      </c>
    </row>
    <row r="6" customFormat="false" ht="15" hidden="false" customHeight="false" outlineLevel="0" collapsed="false">
      <c r="B6" s="39" t="s">
        <v>260</v>
      </c>
      <c r="C6" s="49" t="n">
        <v>50200</v>
      </c>
    </row>
    <row r="7" customFormat="false" ht="15" hidden="false" customHeight="false" outlineLevel="0" collapsed="false">
      <c r="B7" s="39" t="s">
        <v>261</v>
      </c>
      <c r="C7" s="50" t="n">
        <f aca="false">Assumptions!$C$7</f>
        <v>62000</v>
      </c>
    </row>
    <row r="8" customFormat="false" ht="15" hidden="false" customHeight="false" outlineLevel="0" collapsed="false">
      <c r="B8" s="39" t="s">
        <v>262</v>
      </c>
      <c r="C8" s="49" t="n">
        <v>68500</v>
      </c>
    </row>
    <row r="9" customFormat="false" ht="15" hidden="false" customHeight="false" outlineLevel="0" collapsed="false">
      <c r="B9" s="39" t="s">
        <v>263</v>
      </c>
      <c r="C9" s="51" t="n">
        <f aca="false">'Price Paths'!$D$25</f>
        <v>109.4133</v>
      </c>
    </row>
    <row r="11" customFormat="false" ht="15" hidden="false" customHeight="false" outlineLevel="0" collapsed="false">
      <c r="B11" s="41" t="s">
        <v>264</v>
      </c>
      <c r="C11" s="41" t="s">
        <v>161</v>
      </c>
      <c r="D11" s="41" t="s">
        <v>265</v>
      </c>
      <c r="E11" s="41" t="s">
        <v>266</v>
      </c>
      <c r="F11" s="41" t="s">
        <v>163</v>
      </c>
      <c r="G11" s="41" t="s">
        <v>174</v>
      </c>
    </row>
    <row r="12" customFormat="false" ht="15" hidden="false" customHeight="false" outlineLevel="0" collapsed="false">
      <c r="B12" s="39" t="s">
        <v>267</v>
      </c>
      <c r="C12" s="52" t="n">
        <f aca="false">C6</f>
        <v>50200</v>
      </c>
      <c r="D12" s="39" t="str">
        <f aca="false">IF(C12&lt;Assumptions!$C$26,"yes","no")</f>
        <v>yes</v>
      </c>
      <c r="E12" s="39" t="str">
        <f aca="false">IF(C12&gt;Assumptions!$C$28,"yes","no")</f>
        <v>no</v>
      </c>
      <c r="F12" s="44" t="n">
        <f aca="false">ROUND(C12*$C$9*(1+IF(C12&lt;Assumptions!$C$26,Assumptions!$C$27,0))*(1-IF(C12&gt;Assumptions!$C$28,Assumptions!$C$29,0)),2)</f>
        <v>5739712.3</v>
      </c>
      <c r="G12" s="53" t="n">
        <f aca="false">ROUND(F12/C12,2)</f>
        <v>114.34</v>
      </c>
    </row>
    <row r="13" customFormat="false" ht="15" hidden="false" customHeight="false" outlineLevel="0" collapsed="false">
      <c r="B13" s="39" t="s">
        <v>268</v>
      </c>
      <c r="C13" s="52" t="n">
        <f aca="false">C7</f>
        <v>62000</v>
      </c>
      <c r="D13" s="39" t="str">
        <f aca="false">IF(C13&lt;Assumptions!$C$26,"yes","no")</f>
        <v>no</v>
      </c>
      <c r="E13" s="39" t="str">
        <f aca="false">IF(C13&gt;Assumptions!$C$28,"yes","no")</f>
        <v>no</v>
      </c>
      <c r="F13" s="44" t="n">
        <f aca="false">ROUND(C13*$C$9*(1+IF(C13&lt;Assumptions!$C$26,Assumptions!$C$27,0))*(1-IF(C13&gt;Assumptions!$C$28,Assumptions!$C$29,0)),2)</f>
        <v>6783624.6</v>
      </c>
      <c r="G13" s="53" t="n">
        <f aca="false">ROUND(F13/C13,2)</f>
        <v>109.41</v>
      </c>
    </row>
    <row r="14" customFormat="false" ht="15" hidden="false" customHeight="false" outlineLevel="0" collapsed="false">
      <c r="B14" s="39" t="s">
        <v>269</v>
      </c>
      <c r="C14" s="52" t="n">
        <f aca="false">C8</f>
        <v>68500</v>
      </c>
      <c r="D14" s="39" t="str">
        <f aca="false">IF(C14&lt;Assumptions!$C$26,"yes","no")</f>
        <v>no</v>
      </c>
      <c r="E14" s="39" t="str">
        <f aca="false">IF(C14&gt;Assumptions!$C$28,"yes","no")</f>
        <v>yes</v>
      </c>
      <c r="F14" s="44" t="n">
        <f aca="false">ROUND(C14*$C$9*(1+IF(C14&lt;Assumptions!$C$26,Assumptions!$C$27,0))*(1-IF(C14&gt;Assumptions!$C$28,Assumptions!$C$29,0)),2)</f>
        <v>7382388.88</v>
      </c>
      <c r="G14" s="53" t="n">
        <f aca="false">ROUND(F14/C14,2)</f>
        <v>107.77</v>
      </c>
    </row>
    <row r="15" customFormat="false" ht="15" hidden="false" customHeight="false" outlineLevel="0" collapsed="false">
      <c r="B15" s="38" t="s">
        <v>270</v>
      </c>
    </row>
    <row r="17" customFormat="false" ht="15" hidden="false" customHeight="false" outlineLevel="0" collapsed="false">
      <c r="B17" s="6" t="s">
        <v>271</v>
      </c>
    </row>
    <row r="18" customFormat="false" ht="15" hidden="false" customHeight="false" outlineLevel="0" collapsed="false">
      <c r="B18" s="39" t="s">
        <v>272</v>
      </c>
      <c r="C18" s="52" t="n">
        <f aca="false">ROUND(Assumptions!$C$7*0.8,0)</f>
        <v>49600</v>
      </c>
    </row>
    <row r="19" customFormat="false" ht="15" hidden="false" customHeight="false" outlineLevel="0" collapsed="false">
      <c r="B19" s="39" t="s">
        <v>273</v>
      </c>
      <c r="C19" s="44" t="n">
        <f aca="false">IF(C18&lt;Assumptions!$C$26,ROUND(C18*$C$9*Assumptions!$C$27,2),0)</f>
        <v>244210.49</v>
      </c>
      <c r="D19" s="38" t="s">
        <v>274</v>
      </c>
    </row>
    <row r="20" customFormat="false" ht="15" hidden="false" customHeight="false" outlineLevel="0" collapsed="false">
      <c r="B20" s="39" t="s">
        <v>275</v>
      </c>
      <c r="C20" s="52" t="n">
        <f aca="false">ROUND(Assumptions!$C$7*1.2,0)</f>
        <v>74400</v>
      </c>
    </row>
    <row r="21" customFormat="false" ht="15" hidden="false" customHeight="false" outlineLevel="0" collapsed="false">
      <c r="B21" s="39" t="s">
        <v>276</v>
      </c>
      <c r="C21" s="44" t="n">
        <f aca="false">IF(C20&gt;Assumptions!$C$28,ROUND(C20*$C$9*Assumptions!$C$29,2),0)</f>
        <v>122105.24</v>
      </c>
      <c r="D21" s="38" t="s">
        <v>277</v>
      </c>
    </row>
    <row r="23" customFormat="false" ht="15" hidden="false" customHeight="false" outlineLevel="0" collapsed="false">
      <c r="B23" s="6" t="s">
        <v>278</v>
      </c>
    </row>
    <row r="24" customFormat="false" ht="15" hidden="false" customHeight="false" outlineLevel="0" collapsed="false">
      <c r="B24" s="39" t="s">
        <v>279</v>
      </c>
      <c r="C24" s="40" t="n">
        <f aca="false">(Assumptions!$C$26-Assumptions!$C$14)/Assumptions!$C$26</f>
        <v>0.0654545454545455</v>
      </c>
      <c r="D24" s="38" t="s">
        <v>280</v>
      </c>
    </row>
    <row r="25" customFormat="false" ht="15" hidden="false" customHeight="false" outlineLevel="0" collapsed="false">
      <c r="B25" s="39" t="s">
        <v>281</v>
      </c>
      <c r="C25" s="40" t="n">
        <f aca="false">(Assumptions!$C$26-Assumptions!$C$15)/Assumptions!$C$26</f>
        <v>0.0927272727272727</v>
      </c>
    </row>
    <row r="27" customFormat="false" ht="15" hidden="false" customHeight="false" outlineLevel="0" collapsed="false">
      <c r="B27" s="6" t="s">
        <v>282</v>
      </c>
    </row>
    <row r="28" customFormat="false" ht="15" hidden="false" customHeight="false" outlineLevel="0" collapsed="false">
      <c r="B28" s="39" t="s">
        <v>283</v>
      </c>
      <c r="C28" s="44" t="n">
        <f aca="false">'Clause Costs'!D7-'Bridge A'!C8</f>
        <v>720183.68</v>
      </c>
    </row>
    <row r="29" customFormat="false" ht="15" hidden="false" customHeight="false" outlineLevel="0" collapsed="false">
      <c r="B29" s="39" t="s">
        <v>284</v>
      </c>
      <c r="C29" s="44" t="n">
        <f aca="false">-'Bridge A'!C10</f>
        <v>791045.96</v>
      </c>
    </row>
    <row r="30" customFormat="false" ht="15" hidden="false" customHeight="false" outlineLevel="0" collapsed="false">
      <c r="B30" s="39" t="s">
        <v>285</v>
      </c>
      <c r="C30" s="39" t="str">
        <f aca="false">IF(C29&gt;C28,"indexation","the forecast mechanisms")</f>
        <v>indexation</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6"/>
    <col collapsed="false" customWidth="true" hidden="false" outlineLevel="0" max="3" min="3" style="1" width="20"/>
    <col collapsed="false" customWidth="true" hidden="false" outlineLevel="0" max="4" min="4" style="1" width="18"/>
    <col collapsed="false" customWidth="true" hidden="false" outlineLevel="0" max="5" min="5" style="1" width="14"/>
    <col collapsed="false" customWidth="true" hidden="false" outlineLevel="0" max="6" min="6" style="1" width="12"/>
    <col collapsed="false" customWidth="true" hidden="false" outlineLevel="0" max="7" min="7" style="0" width="58"/>
  </cols>
  <sheetData>
    <row r="2" customFormat="false" ht="15.75" hidden="false" customHeight="true" outlineLevel="0" collapsed="false">
      <c r="B2" s="2" t="s">
        <v>9</v>
      </c>
    </row>
    <row r="3" customFormat="false" ht="15" hidden="false" customHeight="true" outlineLevel="0" collapsed="false">
      <c r="B3" s="3" t="s">
        <v>286</v>
      </c>
    </row>
    <row r="6" customFormat="false" ht="15" hidden="false" customHeight="true" outlineLevel="0" collapsed="false">
      <c r="B6" s="18" t="s">
        <v>287</v>
      </c>
      <c r="C6" s="18" t="s">
        <v>288</v>
      </c>
      <c r="D6" s="18" t="s">
        <v>289</v>
      </c>
      <c r="E6" s="18" t="s">
        <v>290</v>
      </c>
      <c r="F6" s="18" t="s">
        <v>291</v>
      </c>
    </row>
    <row r="7" customFormat="false" ht="15" hidden="false" customHeight="true" outlineLevel="0" collapsed="false">
      <c r="B7" s="20" t="s">
        <v>153</v>
      </c>
      <c r="C7" s="23" t="n">
        <f aca="false">'Price Paths'!D21</f>
        <v>19</v>
      </c>
      <c r="D7" s="54" t="n">
        <v>19</v>
      </c>
      <c r="E7" s="55" t="n">
        <f aca="false">C7-D7</f>
        <v>0</v>
      </c>
      <c r="F7" s="22" t="str">
        <f aca="false">IF(ABS(E7)&lt;0.011,"PASS","CHECK")</f>
        <v>PASS</v>
      </c>
    </row>
    <row r="8" customFormat="false" ht="15" hidden="false" customHeight="true" outlineLevel="0" collapsed="false">
      <c r="B8" s="20" t="s">
        <v>292</v>
      </c>
      <c r="C8" s="24" t="n">
        <f aca="false">'Price Paths'!D26</f>
        <v>116.3174</v>
      </c>
      <c r="D8" s="21" t="n">
        <v>116.3174</v>
      </c>
      <c r="E8" s="55" t="n">
        <f aca="false">C8-D8</f>
        <v>0</v>
      </c>
      <c r="F8" s="22" t="str">
        <f aca="false">IF(ABS(E8)&lt;0.011,"PASS","CHECK")</f>
        <v>PASS</v>
      </c>
    </row>
    <row r="9" customFormat="false" ht="15" hidden="false" customHeight="true" outlineLevel="0" collapsed="false">
      <c r="B9" s="20" t="s">
        <v>293</v>
      </c>
      <c r="C9" s="34" t="n">
        <f aca="false">'Volumes and Spend'!F10</f>
        <v>17501681.88</v>
      </c>
      <c r="D9" s="25" t="n">
        <v>17501681.88</v>
      </c>
      <c r="E9" s="55" t="n">
        <f aca="false">C9-D9</f>
        <v>0</v>
      </c>
      <c r="F9" s="22" t="str">
        <f aca="false">IF(ABS(E9)&lt;0.011,"PASS","CHECK")</f>
        <v>PASS</v>
      </c>
    </row>
    <row r="10" customFormat="false" ht="15" hidden="false" customHeight="true" outlineLevel="0" collapsed="false">
      <c r="B10" s="20" t="s">
        <v>294</v>
      </c>
      <c r="C10" s="34" t="n">
        <f aca="false">'Volumes and Spend'!G10</f>
        <v>17588985.92</v>
      </c>
      <c r="D10" s="25" t="n">
        <v>17588985.92</v>
      </c>
      <c r="E10" s="55" t="n">
        <f aca="false">C10-D10</f>
        <v>0</v>
      </c>
      <c r="F10" s="22" t="str">
        <f aca="false">IF(ABS(E10)&lt;0.011,"PASS","CHECK")</f>
        <v>PASS</v>
      </c>
    </row>
    <row r="11" customFormat="false" ht="15" hidden="false" customHeight="true" outlineLevel="0" collapsed="false">
      <c r="B11" s="20" t="s">
        <v>205</v>
      </c>
      <c r="C11" s="34" t="n">
        <f aca="false">'Volumes and Spend'!H10</f>
        <v>87304.04</v>
      </c>
      <c r="D11" s="25" t="n">
        <v>87304.04</v>
      </c>
      <c r="E11" s="55" t="n">
        <f aca="false">C11-D11</f>
        <v>0</v>
      </c>
      <c r="F11" s="22" t="str">
        <f aca="false">IF(ABS(E11)&lt;0.011,"PASS","CHECK")</f>
        <v>PASS</v>
      </c>
    </row>
    <row r="12" customFormat="false" ht="15" hidden="false" customHeight="true" outlineLevel="0" collapsed="false">
      <c r="B12" s="20" t="s">
        <v>295</v>
      </c>
      <c r="C12" s="34" t="n">
        <f aca="false">'Clause Costs'!D7</f>
        <v>514263.68</v>
      </c>
      <c r="D12" s="25" t="n">
        <v>514263.68</v>
      </c>
      <c r="E12" s="55" t="n">
        <f aca="false">C12-D12</f>
        <v>0</v>
      </c>
      <c r="F12" s="22" t="str">
        <f aca="false">IF(ABS(E12)&lt;0.011,"PASS","CHECK")</f>
        <v>PASS</v>
      </c>
    </row>
    <row r="13" customFormat="false" ht="15" hidden="false" customHeight="true" outlineLevel="0" collapsed="false">
      <c r="B13" s="20" t="s">
        <v>296</v>
      </c>
      <c r="C13" s="34" t="n">
        <f aca="false">'Clause Costs'!D8</f>
        <v>455844.71</v>
      </c>
      <c r="D13" s="25" t="n">
        <v>455844.71</v>
      </c>
      <c r="E13" s="55" t="n">
        <f aca="false">C13-D13</f>
        <v>0</v>
      </c>
      <c r="F13" s="22" t="str">
        <f aca="false">IF(ABS(E13)&lt;0.011,"PASS","CHECK")</f>
        <v>PASS</v>
      </c>
    </row>
    <row r="14" customFormat="false" ht="15" hidden="false" customHeight="true" outlineLevel="0" collapsed="false">
      <c r="B14" s="20" t="s">
        <v>297</v>
      </c>
      <c r="C14" s="34" t="n">
        <f aca="false">'Clause Costs'!D9</f>
        <v>196996.34</v>
      </c>
      <c r="D14" s="25" t="n">
        <v>196996.34</v>
      </c>
      <c r="E14" s="55" t="n">
        <f aca="false">C14-D14</f>
        <v>0</v>
      </c>
      <c r="F14" s="22" t="str">
        <f aca="false">IF(ABS(E14)&lt;0.011,"PASS","CHECK")</f>
        <v>PASS</v>
      </c>
    </row>
    <row r="15" customFormat="false" ht="15" hidden="false" customHeight="true" outlineLevel="0" collapsed="false">
      <c r="B15" s="20" t="s">
        <v>298</v>
      </c>
      <c r="C15" s="34" t="n">
        <f aca="false">'Clause Costs'!D10</f>
        <v>188340</v>
      </c>
      <c r="D15" s="25" t="n">
        <v>188340</v>
      </c>
      <c r="E15" s="55" t="n">
        <f aca="false">C15-D15</f>
        <v>0</v>
      </c>
      <c r="F15" s="22" t="str">
        <f aca="false">IF(ABS(E15)&lt;0.011,"PASS","CHECK")</f>
        <v>PASS</v>
      </c>
    </row>
    <row r="16" customFormat="false" ht="15" hidden="false" customHeight="true" outlineLevel="0" collapsed="false">
      <c r="B16" s="20" t="s">
        <v>299</v>
      </c>
      <c r="C16" s="34" t="n">
        <f aca="false">'Clause Costs'!D11</f>
        <v>83309.933943</v>
      </c>
      <c r="D16" s="25" t="n">
        <v>83309.93</v>
      </c>
      <c r="E16" s="55" t="n">
        <f aca="false">C16-D16</f>
        <v>0.00394300000334624</v>
      </c>
      <c r="F16" s="22" t="str">
        <f aca="false">IF(ABS(E16)&lt;0.011,"PASS","CHECK")</f>
        <v>PASS</v>
      </c>
    </row>
    <row r="17" customFormat="false" ht="15" hidden="false" customHeight="true" outlineLevel="0" collapsed="false">
      <c r="B17" s="20" t="s">
        <v>300</v>
      </c>
      <c r="C17" s="34" t="n">
        <f aca="false">'Clause Costs'!D12</f>
        <v>81120</v>
      </c>
      <c r="D17" s="25" t="n">
        <v>81120</v>
      </c>
      <c r="E17" s="55" t="n">
        <f aca="false">C17-D17</f>
        <v>0</v>
      </c>
      <c r="F17" s="22" t="str">
        <f aca="false">IF(ABS(E17)&lt;0.011,"PASS","CHECK")</f>
        <v>PASS</v>
      </c>
    </row>
    <row r="18" customFormat="false" ht="15" hidden="false" customHeight="true" outlineLevel="0" collapsed="false">
      <c r="B18" s="20" t="s">
        <v>301</v>
      </c>
      <c r="C18" s="34" t="n">
        <f aca="false">'Clause Costs'!D13</f>
        <v>46031.82</v>
      </c>
      <c r="D18" s="25" t="n">
        <v>46031.82</v>
      </c>
      <c r="E18" s="55" t="n">
        <f aca="false">C18-D18</f>
        <v>0</v>
      </c>
      <c r="F18" s="22" t="str">
        <f aca="false">IF(ABS(E18)&lt;0.011,"PASS","CHECK")</f>
        <v>PASS</v>
      </c>
    </row>
    <row r="19" customFormat="false" ht="15" hidden="false" customHeight="true" outlineLevel="0" collapsed="false">
      <c r="B19" s="20" t="s">
        <v>302</v>
      </c>
      <c r="C19" s="34" t="n">
        <f aca="false">'Clause Costs'!D15</f>
        <v>1565906.48</v>
      </c>
      <c r="D19" s="25" t="n">
        <v>1565906.48</v>
      </c>
      <c r="E19" s="55" t="n">
        <f aca="false">C19-D19</f>
        <v>0</v>
      </c>
      <c r="F19" s="22" t="str">
        <f aca="false">IF(ABS(E19)&lt;0.011,"PASS","CHECK")</f>
        <v>PASS</v>
      </c>
    </row>
    <row r="20" customFormat="false" ht="15" hidden="false" customHeight="true" outlineLevel="0" collapsed="false">
      <c r="B20" s="20" t="s">
        <v>211</v>
      </c>
      <c r="C20" s="24" t="n">
        <f aca="false">'Clause Costs'!E15</f>
        <v>9.80530043832185</v>
      </c>
      <c r="D20" s="21" t="n">
        <v>9.8053</v>
      </c>
      <c r="E20" s="55" t="n">
        <f aca="false">C20-D20</f>
        <v>4.38321851703449E-007</v>
      </c>
      <c r="F20" s="22" t="str">
        <f aca="false">IF(ABS(E20)&lt;0.011,"PASS","CHECK")</f>
        <v>PASS</v>
      </c>
    </row>
    <row r="21" customFormat="false" ht="15" hidden="false" customHeight="true" outlineLevel="0" collapsed="false">
      <c r="B21" s="20" t="s">
        <v>303</v>
      </c>
      <c r="C21" s="34" t="n">
        <f aca="false">'Clause Costs'!D17</f>
        <v>1482596.546057</v>
      </c>
      <c r="D21" s="25" t="n">
        <v>1482596.55</v>
      </c>
      <c r="E21" s="55" t="n">
        <f aca="false">C21-D21</f>
        <v>-0.00394299998879433</v>
      </c>
      <c r="F21" s="22" t="str">
        <f aca="false">IF(ABS(E21)&lt;0.011,"PASS","CHECK")</f>
        <v>PASS</v>
      </c>
    </row>
    <row r="22" customFormat="false" ht="15" hidden="false" customHeight="true" outlineLevel="0" collapsed="false">
      <c r="B22" s="20" t="s">
        <v>304</v>
      </c>
      <c r="C22" s="56" t="n">
        <f aca="false">'Clause Costs'!E17</f>
        <v>0.946797631271697</v>
      </c>
      <c r="D22" s="32" t="n">
        <v>0.9468</v>
      </c>
      <c r="E22" s="55" t="n">
        <f aca="false">C22-D22</f>
        <v>-2.36872830350343E-006</v>
      </c>
      <c r="F22" s="22" t="str">
        <f aca="false">IF(ABS(E22)&lt;0.011,"PASS","CHECK")</f>
        <v>PASS</v>
      </c>
    </row>
    <row r="23" customFormat="false" ht="15" hidden="false" customHeight="true" outlineLevel="0" collapsed="false">
      <c r="B23" s="20" t="s">
        <v>305</v>
      </c>
      <c r="C23" s="34" t="n">
        <f aca="false">'Clause Costs'!D24</f>
        <v>2294000</v>
      </c>
      <c r="D23" s="25" t="n">
        <v>2294000</v>
      </c>
      <c r="E23" s="55" t="n">
        <f aca="false">C23-D23</f>
        <v>0</v>
      </c>
      <c r="F23" s="22" t="str">
        <f aca="false">IF(ABS(E23)&lt;0.011,"PASS","CHECK")</f>
        <v>PASS</v>
      </c>
    </row>
    <row r="24" customFormat="false" ht="15" hidden="false" customHeight="true" outlineLevel="0" collapsed="false">
      <c r="B24" s="20" t="s">
        <v>306</v>
      </c>
      <c r="C24" s="34" t="n">
        <f aca="false">'Clause Costs'!D25</f>
        <v>2009092.93</v>
      </c>
      <c r="D24" s="25" t="n">
        <v>2009092.93</v>
      </c>
      <c r="E24" s="55" t="n">
        <f aca="false">C24-D24</f>
        <v>0</v>
      </c>
      <c r="F24" s="22" t="str">
        <f aca="false">IF(ABS(E24)&lt;0.011,"PASS","CHECK")</f>
        <v>PASS</v>
      </c>
    </row>
    <row r="25" customFormat="false" ht="15" hidden="false" customHeight="true" outlineLevel="0" collapsed="false">
      <c r="B25" s="20" t="s">
        <v>201</v>
      </c>
      <c r="C25" s="34" t="n">
        <f aca="false">'Bridge A'!C7</f>
        <v>1228920</v>
      </c>
      <c r="D25" s="25" t="n">
        <v>1228920</v>
      </c>
      <c r="E25" s="55" t="n">
        <f aca="false">C25-D25</f>
        <v>0</v>
      </c>
      <c r="F25" s="22" t="str">
        <f aca="false">IF(ABS(E25)&lt;0.011,"PASS","CHECK")</f>
        <v>PASS</v>
      </c>
    </row>
    <row r="26" customFormat="false" ht="15" hidden="false" customHeight="true" outlineLevel="0" collapsed="false">
      <c r="B26" s="20" t="s">
        <v>307</v>
      </c>
      <c r="C26" s="34" t="n">
        <f aca="false">'Bridge B'!C16</f>
        <v>-1478602.443943</v>
      </c>
      <c r="D26" s="25" t="n">
        <v>-1478602.44</v>
      </c>
      <c r="E26" s="55" t="n">
        <f aca="false">C26-D26</f>
        <v>-0.00394300022162497</v>
      </c>
      <c r="F26" s="22" t="str">
        <f aca="false">IF(ABS(E26)&lt;0.011,"PASS","CHECK")</f>
        <v>PASS</v>
      </c>
    </row>
    <row r="27" customFormat="false" ht="15" hidden="false" customHeight="true" outlineLevel="0" collapsed="false">
      <c r="B27" s="20" t="s">
        <v>308</v>
      </c>
      <c r="C27" s="34" t="n">
        <f aca="false">'Bridge B'!C18</f>
        <v>2707522.443943</v>
      </c>
      <c r="D27" s="25" t="n">
        <v>2707522.44</v>
      </c>
      <c r="E27" s="55" t="n">
        <f aca="false">C27-D27</f>
        <v>0.00394300045445561</v>
      </c>
      <c r="F27" s="22" t="str">
        <f aca="false">IF(ABS(E27)&lt;0.011,"PASS","CHECK")</f>
        <v>PASS</v>
      </c>
    </row>
    <row r="28" customFormat="false" ht="15" hidden="false" customHeight="true" outlineLevel="0" collapsed="false">
      <c r="B28" s="20" t="s">
        <v>309</v>
      </c>
      <c r="C28" s="24" t="n">
        <f aca="false">'Bridge B'!C20</f>
        <v>94.1946995616782</v>
      </c>
      <c r="D28" s="21" t="n">
        <v>94.1947</v>
      </c>
      <c r="E28" s="55" t="n">
        <f aca="false">C28-D28</f>
        <v>-4.38321848150736E-007</v>
      </c>
      <c r="F28" s="22" t="str">
        <f aca="false">IF(ABS(E28)&lt;0.011,"PASS","CHECK")</f>
        <v>PASS</v>
      </c>
    </row>
    <row r="29" customFormat="false" ht="15" hidden="false" customHeight="true" outlineLevel="0" collapsed="false">
      <c r="B29" s="20" t="s">
        <v>310</v>
      </c>
      <c r="C29" s="56" t="n">
        <f aca="false">'Bridge B'!C21</f>
        <v>0.094281734983864</v>
      </c>
      <c r="D29" s="32" t="n">
        <v>0.0943</v>
      </c>
      <c r="E29" s="55" t="n">
        <f aca="false">C29-D29</f>
        <v>-1.82650161360265E-005</v>
      </c>
      <c r="F29" s="22" t="str">
        <f aca="false">IF(ABS(E29)&lt;0.011,"PASS","CHECK")</f>
        <v>PASS</v>
      </c>
    </row>
    <row r="30" customFormat="false" ht="15" hidden="false" customHeight="true" outlineLevel="0" collapsed="false">
      <c r="B30" s="20" t="s">
        <v>311</v>
      </c>
      <c r="C30" s="24" t="n">
        <f aca="false">'Bridge B'!C22</f>
        <v>1.7827818978767</v>
      </c>
      <c r="D30" s="21" t="n">
        <v>1.7828</v>
      </c>
      <c r="E30" s="55" t="n">
        <f aca="false">C30-D30</f>
        <v>-1.81021232994461E-005</v>
      </c>
      <c r="F30" s="22" t="str">
        <f aca="false">IF(ABS(E30)&lt;0.011,"PASS","CHECK")</f>
        <v>PASS</v>
      </c>
    </row>
    <row r="31" customFormat="false" ht="15" hidden="false" customHeight="false" outlineLevel="0" collapsed="false">
      <c r="B31" s="20" t="s">
        <v>312</v>
      </c>
      <c r="C31" s="34" t="n">
        <f aca="false">Counterfactuals!C36</f>
        <v>-901798.461692999</v>
      </c>
      <c r="D31" s="25" t="n">
        <v>-901798.46</v>
      </c>
      <c r="E31" s="55" t="n">
        <f aca="false">C31-D31</f>
        <v>-0.0016929991543293</v>
      </c>
      <c r="F31" s="22" t="str">
        <f aca="false">IF(ABS(E31)&lt;0.011,"PASS","CHECK")</f>
        <v>PASS</v>
      </c>
      <c r="G31" s="38" t="s">
        <v>313</v>
      </c>
    </row>
    <row r="32" customFormat="false" ht="15" hidden="false" customHeight="true" outlineLevel="0" collapsed="false">
      <c r="B32" s="20" t="s">
        <v>314</v>
      </c>
      <c r="C32" s="34" t="n">
        <f aca="false">Counterfactuals!C42</f>
        <v>-964338.763943</v>
      </c>
      <c r="D32" s="25" t="n">
        <v>-964338.76</v>
      </c>
      <c r="E32" s="55" t="n">
        <f aca="false">C32-D32</f>
        <v>-0.00394300022162497</v>
      </c>
      <c r="F32" s="22" t="str">
        <f aca="false">IF(ABS(E32)&lt;0.011,"PASS","CHECK")</f>
        <v>PASS</v>
      </c>
    </row>
    <row r="33" customFormat="false" ht="15" hidden="false" customHeight="false" outlineLevel="0" collapsed="false">
      <c r="B33" s="20" t="s">
        <v>315</v>
      </c>
      <c r="C33" s="34" t="n">
        <f aca="false">Counterfactuals!C48</f>
        <v>-1432570.623943</v>
      </c>
      <c r="D33" s="25" t="n">
        <v>-1432570.62</v>
      </c>
      <c r="E33" s="55" t="n">
        <f aca="false">C33-D33</f>
        <v>-0.00394299998879433</v>
      </c>
      <c r="F33" s="22" t="str">
        <f aca="false">IF(ABS(E33)&lt;0.011,"PASS","CHECK")</f>
        <v>PASS</v>
      </c>
    </row>
    <row r="34" customFormat="false" ht="15" hidden="false" customHeight="false" outlineLevel="0" collapsed="false">
      <c r="B34" s="20" t="s">
        <v>316</v>
      </c>
      <c r="C34" s="34" t="n">
        <f aca="false">Counterfactuals!C64</f>
        <v>576803.982250001</v>
      </c>
      <c r="D34" s="25" t="n">
        <v>576803.98</v>
      </c>
      <c r="E34" s="55" t="n">
        <f aca="false">C34-D34</f>
        <v>0.00225000106729567</v>
      </c>
      <c r="F34" s="22" t="str">
        <f aca="false">IF(ABS(E34)&lt;0.011,"PASS","CHECK")</f>
        <v>PASS</v>
      </c>
      <c r="G34" s="38" t="s">
        <v>317</v>
      </c>
    </row>
    <row r="35" customFormat="false" ht="15" hidden="false" customHeight="false" outlineLevel="0" collapsed="false">
      <c r="B35" s="20" t="s">
        <v>318</v>
      </c>
      <c r="C35" s="23" t="n">
        <f aca="false">Counterfactuals!C61</f>
        <v>3</v>
      </c>
      <c r="D35" s="54" t="n">
        <v>3</v>
      </c>
      <c r="E35" s="55" t="n">
        <f aca="false">C35-D35</f>
        <v>0</v>
      </c>
      <c r="F35" s="22" t="str">
        <f aca="false">IF(ABS(E35)&lt;0.011,"PASS","CHECK")</f>
        <v>PASS</v>
      </c>
    </row>
    <row r="36" customFormat="false" ht="15" hidden="false" customHeight="false" outlineLevel="0" collapsed="false">
      <c r="B36" s="20" t="s">
        <v>319</v>
      </c>
      <c r="C36" s="34" t="n">
        <f aca="false">Counterfactuals!C62</f>
        <v>21103.7883070009</v>
      </c>
      <c r="D36" s="25" t="n">
        <v>21103.79</v>
      </c>
      <c r="E36" s="55" t="n">
        <f aca="false">C36-D36</f>
        <v>-0.00169299911794951</v>
      </c>
      <c r="F36" s="22" t="str">
        <f aca="false">IF(ABS(E36)&lt;0.011,"PASS","CHECK")</f>
        <v>PASS</v>
      </c>
      <c r="G36" s="38" t="s">
        <v>320</v>
      </c>
    </row>
    <row r="37" customFormat="false" ht="15" hidden="false" customHeight="false" outlineLevel="0" collapsed="false">
      <c r="B37" s="20" t="s">
        <v>321</v>
      </c>
      <c r="C37" s="34" t="n">
        <f aca="false">Counterfactuals!D59</f>
        <v>625613.210000001</v>
      </c>
      <c r="D37" s="25" t="n">
        <v>625613.21</v>
      </c>
      <c r="E37" s="55" t="n">
        <f aca="false">C37-D37</f>
        <v>0</v>
      </c>
      <c r="F37" s="22" t="str">
        <f aca="false">IF(ABS(E37)&lt;0.011,"PASS","CHECK")</f>
        <v>PASS</v>
      </c>
    </row>
    <row r="38" customFormat="false" ht="15" hidden="false" customHeight="false" outlineLevel="0" collapsed="false">
      <c r="B38" s="20" t="s">
        <v>322</v>
      </c>
      <c r="C38" s="34" t="n">
        <f aca="false">Counterfactuals!C63</f>
        <v>604509.421693</v>
      </c>
      <c r="D38" s="25" t="n">
        <v>604509.42</v>
      </c>
      <c r="E38" s="55" t="n">
        <f aca="false">C38-D38</f>
        <v>0.00169299996923655</v>
      </c>
      <c r="F38" s="22" t="str">
        <f aca="false">IF(ABS(E38)&lt;0.011,"PASS","CHECK")</f>
        <v>PASS</v>
      </c>
      <c r="G38" s="38" t="s">
        <v>323</v>
      </c>
    </row>
    <row r="39" customFormat="false" ht="15" hidden="false" customHeight="false" outlineLevel="0" collapsed="false">
      <c r="B39" s="20" t="s">
        <v>324</v>
      </c>
      <c r="C39" s="34" t="n">
        <f aca="false">'Forecast Risk'!F12</f>
        <v>5739712.3</v>
      </c>
      <c r="D39" s="25" t="n">
        <v>5739712.3</v>
      </c>
      <c r="E39" s="55" t="n">
        <f aca="false">C39-D39</f>
        <v>0</v>
      </c>
      <c r="F39" s="22" t="str">
        <f aca="false">IF(ABS(E39)&lt;0.011,"PASS","CHECK")</f>
        <v>PASS</v>
      </c>
    </row>
    <row r="40" customFormat="false" ht="15" hidden="false" customHeight="false" outlineLevel="0" collapsed="false">
      <c r="B40" s="20" t="s">
        <v>325</v>
      </c>
      <c r="C40" s="34" t="n">
        <f aca="false">'Forecast Risk'!G12</f>
        <v>114.34</v>
      </c>
      <c r="D40" s="25" t="n">
        <v>114.34</v>
      </c>
      <c r="E40" s="55" t="n">
        <f aca="false">C40-D40</f>
        <v>0</v>
      </c>
      <c r="F40" s="22" t="str">
        <f aca="false">IF(ABS(E40)&lt;0.011,"PASS","CHECK")</f>
        <v>PASS</v>
      </c>
    </row>
    <row r="41" customFormat="false" ht="15" hidden="false" customHeight="false" outlineLevel="0" collapsed="false">
      <c r="B41" s="20" t="s">
        <v>326</v>
      </c>
      <c r="C41" s="34" t="n">
        <f aca="false">'Forecast Risk'!G14</f>
        <v>107.77</v>
      </c>
      <c r="D41" s="25" t="n">
        <v>107.77</v>
      </c>
      <c r="E41" s="55" t="n">
        <f aca="false">C41-D41</f>
        <v>0</v>
      </c>
      <c r="F41" s="22" t="str">
        <f aca="false">IF(ABS(E41)&lt;0.011,"PASS","CHECK")</f>
        <v>PASS</v>
      </c>
    </row>
    <row r="42" customFormat="false" ht="15" hidden="false" customHeight="false" outlineLevel="0" collapsed="false">
      <c r="B42" s="20" t="s">
        <v>327</v>
      </c>
      <c r="C42" s="34" t="n">
        <f aca="false">'Forecast Risk'!C19</f>
        <v>244210.49</v>
      </c>
      <c r="D42" s="25" t="n">
        <v>244210.49</v>
      </c>
      <c r="E42" s="55" t="n">
        <f aca="false">C42-D42</f>
        <v>0</v>
      </c>
      <c r="F42" s="22" t="str">
        <f aca="false">IF(ABS(E42)&lt;0.011,"PASS","CHECK")</f>
        <v>PASS</v>
      </c>
      <c r="G42" s="38" t="s">
        <v>328</v>
      </c>
    </row>
    <row r="43" customFormat="false" ht="15" hidden="false" customHeight="false" outlineLevel="0" collapsed="false">
      <c r="B43" s="20" t="s">
        <v>329</v>
      </c>
      <c r="C43" s="34" t="n">
        <f aca="false">'Forecast Risk'!C21</f>
        <v>122105.24</v>
      </c>
      <c r="D43" s="25" t="n">
        <v>122105.24</v>
      </c>
      <c r="E43" s="55" t="n">
        <f aca="false">C43-D43</f>
        <v>0</v>
      </c>
      <c r="F43" s="22" t="str">
        <f aca="false">IF(ABS(E43)&lt;0.011,"PASS","CHECK")</f>
        <v>PASS</v>
      </c>
      <c r="G43" s="38" t="s">
        <v>330</v>
      </c>
    </row>
    <row r="44" customFormat="false" ht="15" hidden="false" customHeight="false" outlineLevel="0" collapsed="false">
      <c r="B44" s="20" t="s">
        <v>331</v>
      </c>
      <c r="C44" s="57" t="n">
        <f aca="false">'Forecast Risk'!C24</f>
        <v>0.0654545454545455</v>
      </c>
      <c r="D44" s="55" t="n">
        <v>0.0655</v>
      </c>
      <c r="E44" s="55" t="n">
        <f aca="false">C44-D44</f>
        <v>-4.5454545454543E-005</v>
      </c>
      <c r="F44" s="22" t="str">
        <f aca="false">IF(ABS(E44)&lt;0.011,"PASS","CHECK")</f>
        <v>PASS</v>
      </c>
      <c r="G44" s="38" t="s">
        <v>332</v>
      </c>
    </row>
    <row r="45" customFormat="false" ht="15" hidden="false" customHeight="false" outlineLevel="0" collapsed="false">
      <c r="B45" s="20" t="s">
        <v>333</v>
      </c>
      <c r="C45" s="34" t="n">
        <f aca="false">'Forecast Risk'!C28</f>
        <v>720183.68</v>
      </c>
      <c r="D45" s="25" t="n">
        <v>720183.68</v>
      </c>
      <c r="E45" s="55" t="n">
        <f aca="false">C45-D45</f>
        <v>0</v>
      </c>
      <c r="F45" s="22" t="str">
        <f aca="false">IF(ABS(E45)&lt;0.011,"PASS","CHECK")</f>
        <v>PASS</v>
      </c>
      <c r="G45" s="38" t="s">
        <v>334</v>
      </c>
    </row>
    <row r="47" customFormat="false" ht="15" hidden="false" customHeight="false" outlineLevel="0" collapsed="false">
      <c r="B47" s="6" t="s">
        <v>335</v>
      </c>
      <c r="C47" s="58" t="str">
        <f aca="false">COUNTIF(F7:F45,"PASS")&amp;" of 39"</f>
        <v>39 of 39</v>
      </c>
    </row>
    <row r="48" customFormat="false" ht="15" hidden="false" customHeight="false" outlineLevel="0" collapsed="false">
      <c r="B48" s="6" t="s">
        <v>336</v>
      </c>
      <c r="C48" s="6" t="str">
        <f aca="false">IF(COUNTIF(F7:F45,"PASS")=39,"ALL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2026-09-13T07:35:49Z</dcterms:created>
  <dc:creator>openpyxl</dc:creator>
  <dc:description/>
  <dc:language>en-US</dc:language>
  <cp:lastModifiedBy/>
  <dcterms:modified xsi:type="dcterms:W3CDTF">2026-09-24T02:11:40Z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