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vestors" sheetId="2" state="visible" r:id="rId4"/>
    <sheet name="Call" sheetId="3" state="visible" r:id="rId5"/>
    <sheet name="Timing and Facility" sheetId="4" state="visible" r:id="rId6"/>
    <sheet name="Holidays" sheetId="5" state="visible" r:id="rId7"/>
    <sheet name="Notices and Bank File" sheetId="6" state="visible" r:id="rId8"/>
    <sheet name="Distribution"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<sst xmlns="http://schemas.openxmlformats.org/spreadsheetml/2006/main" count="215" uniqueCount="168">
  <si>
    <t xml:space="preserve">WORKBOOK 2 - CAPITAL EVENTS ENGINE</t>
  </si>
  <si>
    <t xml:space="preserve">Companion workbook to The Private Markets COO by Julian R. Sterling, chapter 5 (Capital Calls and Distributions) and the introduction.</t>
  </si>
  <si>
    <t xml:space="preserve">What it does</t>
  </si>
  <si>
    <t xml:space="preserve">Runs one capital call and one distribution for Northbridge Fund II through a reviewable model: frozen investor population, allocation by component, excuse rights, rounding, notice timing in business days, the facility borrowing base, notices and bank file tied by one run identifier, and the distribution with and without the recallable designation.</t>
  </si>
  <si>
    <t xml:space="preserve">Figures the book prints</t>
  </si>
  <si>
    <t xml:space="preserve">The 6.8 million call, the ten business days' notice, the borrowing base that excluded an investor whose transfer was still being processed, the 24.6 million distribution and the 600,000 designated recallable.</t>
  </si>
  <si>
    <t xml:space="preserve">Figures the book does not print</t>
  </si>
  <si>
    <t xml:space="preserve">Northbridge is fictional. The investor names, commitments, call components, dates, facility terms and advance rate are illustrative and chosen to be consistent with the book's story. They are inputs: replace them with your own.</t>
  </si>
  <si>
    <t xml:space="preserve">Conventions</t>
  </si>
  <si>
    <t xml:space="preserve">Blue text on a cream fill is an input. Everything else is a formula. Amounts are in fund currency, to the cent. No macros, no external links, no hidden sheets.</t>
  </si>
  <si>
    <t xml:space="preserve">Order</t>
  </si>
  <si>
    <t xml:space="preserve">Investors, then Call, then Timing and Facility, then Notices and Bank File, then Distribution. Checks gathers every control the chapter lists; all read OK on delivery.</t>
  </si>
  <si>
    <t xml:space="preserve">Not advice</t>
  </si>
  <si>
    <t xml:space="preserve">An illustrative model, not legal, tax, accounting or regulatory advice. It cannot know your agreements.</t>
  </si>
  <si>
    <t xml:space="preserve">FROZEN INVESTOR POPULATION - FUND II</t>
  </si>
  <si>
    <t xml:space="preserve">Captured at the event cutoff. Allocations attach to the legal holder. A change after the cutoff is a controlled decision, not an edit to this sheet.</t>
  </si>
  <si>
    <t xml:space="preserve">Cutoff date</t>
  </si>
  <si>
    <t xml:space="preserve">Investor ID</t>
  </si>
  <si>
    <t xml:space="preserve">Legal holder</t>
  </si>
  <si>
    <t xml:space="preserve">Commitment</t>
  </si>
  <si>
    <t xml:space="preserve">Contributed to date</t>
  </si>
  <si>
    <t xml:space="preserve">Recallable added back to date</t>
  </si>
  <si>
    <t xml:space="preserve">Unfunded commitment</t>
  </si>
  <si>
    <t xml:space="preserve">Fee-paying (Y/N)</t>
  </si>
  <si>
    <t xml:space="preserve">Excused from this investment (Y/N)</t>
  </si>
  <si>
    <t xml:space="preserve">Facility-eligible (Y/N)</t>
  </si>
  <si>
    <t xml:space="preserve">Transfer pending at cutoff (Y/N)</t>
  </si>
  <si>
    <t xml:space="preserve">Share of commitments</t>
  </si>
  <si>
    <t xml:space="preserve">LP-201</t>
  </si>
  <si>
    <t xml:space="preserve">Harlow State Pension Plan</t>
  </si>
  <si>
    <t xml:space="preserve">Y</t>
  </si>
  <si>
    <t xml:space="preserve">N</t>
  </si>
  <si>
    <t xml:space="preserve">LP-202</t>
  </si>
  <si>
    <t xml:space="preserve">Meridian Mutual Insurance Co.</t>
  </si>
  <si>
    <t xml:space="preserve">LP-203</t>
  </si>
  <si>
    <t xml:space="preserve">Aster Family Office Ltd</t>
  </si>
  <si>
    <t xml:space="preserve">LP-204</t>
  </si>
  <si>
    <t xml:space="preserve">Calloway University Endowment</t>
  </si>
  <si>
    <t xml:space="preserve">LP-205</t>
  </si>
  <si>
    <t xml:space="preserve">Norrland Fund of Funds IV SCSp</t>
  </si>
  <si>
    <t xml:space="preserve">LP-206</t>
  </si>
  <si>
    <t xml:space="preserve">Pell Charitable Foundation</t>
  </si>
  <si>
    <t xml:space="preserve">LP-207</t>
  </si>
  <si>
    <t xml:space="preserve">Brightwater Holdings LLC</t>
  </si>
  <si>
    <t xml:space="preserve">GP-200</t>
  </si>
  <si>
    <t xml:space="preserve">Northbridge Fund II GP LP</t>
  </si>
  <si>
    <t xml:space="preserve">Total</t>
  </si>
  <si>
    <t xml:space="preserve">Contributed to date is 62 per cent of every commitment on delivery. Pell Charitable Foundation holds an excuse right that applies to this follow-on investment. Brightwater Holdings signed a transfer that was not effective at the cutoff: the lender excludes it from the borrowing base until it is. The general partner pays no management fee and is not in the borrowing base. The population is cut to eight legal holders so that every line can be read; the mechanics do not depend on the count.</t>
  </si>
  <si>
    <t xml:space="preserve">CAPITAL CALL - COMPONENTS AND ALLOCATION</t>
  </si>
  <si>
    <t xml:space="preserve">Start from the cash need, not a round percentage of commitments. Each component is allocated on its own approved basis, then rounded to the cent with the residual assigned visibly.</t>
  </si>
  <si>
    <t xml:space="preserve">Component</t>
  </si>
  <si>
    <t xml:space="preserve">Amount</t>
  </si>
  <si>
    <t xml:space="preserve">Allocation basis</t>
  </si>
  <si>
    <t xml:space="preserve">Follow-on investment</t>
  </si>
  <si>
    <t xml:space="preserve">Commitments of investors not excused</t>
  </si>
  <si>
    <t xml:space="preserve">Fund expenses</t>
  </si>
  <si>
    <t xml:space="preserve">All commitments</t>
  </si>
  <si>
    <t xml:space="preserve">Management fee</t>
  </si>
  <si>
    <t xml:space="preserve">Commitments of fee-paying investors</t>
  </si>
  <si>
    <t xml:space="preserve">Reserve</t>
  </si>
  <si>
    <t xml:space="preserve">Call total</t>
  </si>
  <si>
    <t xml:space="preserve">Run identifier</t>
  </si>
  <si>
    <t xml:space="preserve">FII-CALL-2026-09</t>
  </si>
  <si>
    <t xml:space="preserve">Share, all commitments</t>
  </si>
  <si>
    <t xml:space="preserve">Share, fee-paying</t>
  </si>
  <si>
    <t xml:space="preserve">Share, not excused</t>
  </si>
  <si>
    <t xml:space="preserve">Unrounded total</t>
  </si>
  <si>
    <t xml:space="preserve">Rounded to the cent</t>
  </si>
  <si>
    <t xml:space="preserve">Rounding residual assigned</t>
  </si>
  <si>
    <t xml:space="preserve">Call amount</t>
  </si>
  <si>
    <t xml:space="preserve">Unfunded before</t>
  </si>
  <si>
    <t xml:space="preserve">Unfunded after</t>
  </si>
  <si>
    <t xml:space="preserve">Headroom</t>
  </si>
  <si>
    <t xml:space="preserve">The excused investor's share of the follow-on is carried by the others in proportion to their commitments; it still pays its share of expenses, fee and reserve. The rounding residual goes to the largest commitment and is shown, not buried.</t>
  </si>
  <si>
    <t xml:space="preserve">NOTICE TIMING AND THE FACILITY</t>
  </si>
  <si>
    <t xml:space="preserve">Four individually correct facts: the investment is approved, the notice period is fixed, the administrator cutoff has passed, and the facility is smaller than the deal team assumed.</t>
  </si>
  <si>
    <t xml:space="preserve">Investment committee approval</t>
  </si>
  <si>
    <t xml:space="preserve">Administrator notice cutoff for this event</t>
  </si>
  <si>
    <t xml:space="preserve">Final funding instructions received</t>
  </si>
  <si>
    <t xml:space="preserve">Administrator processing, business days</t>
  </si>
  <si>
    <t xml:space="preserve">Notice period, business days (governing agreement)</t>
  </si>
  <si>
    <t xml:space="preserve">Investment funding date</t>
  </si>
  <si>
    <t xml:space="preserve">Instructions after the cutoff?</t>
  </si>
  <si>
    <t xml:space="preserve">Earliest notice date</t>
  </si>
  <si>
    <t xml:space="preserve">Earliest due date for investor funds</t>
  </si>
  <si>
    <t xml:space="preserve">Business days the notice runs past the funding date</t>
  </si>
  <si>
    <t xml:space="preserve">Cash needed on the funding date (investment and expenses)</t>
  </si>
  <si>
    <t xml:space="preserve">Facility</t>
  </si>
  <si>
    <t xml:space="preserve">Facility commitment</t>
  </si>
  <si>
    <t xml:space="preserve">Drawn at the event date</t>
  </si>
  <si>
    <t xml:space="preserve">Advance rate on eligible unfunded commitments</t>
  </si>
  <si>
    <t xml:space="preserve">As the deal team assumed</t>
  </si>
  <si>
    <t xml:space="preserve">As the lender computes</t>
  </si>
  <si>
    <t xml:space="preserve">Rule for a transfer pending at the cutoff</t>
  </si>
  <si>
    <t xml:space="preserve">Included</t>
  </si>
  <si>
    <t xml:space="preserve">Excluded</t>
  </si>
  <si>
    <t xml:space="preserve">Eligible unfunded commitments</t>
  </si>
  <si>
    <t xml:space="preserve">Borrowing base</t>
  </si>
  <si>
    <t xml:space="preserve">Available = MIN(commitment, borrowing base) - drawn</t>
  </si>
  <si>
    <t xml:space="preserve">Cash needed on the funding date</t>
  </si>
  <si>
    <t xml:space="preserve">Shortfall</t>
  </si>
  <si>
    <t xml:space="preserve">Can the facility bridge the gap?</t>
  </si>
  <si>
    <t xml:space="preserve">The book's resolution was commercial and legal, not operational: a revised funding sequence for the investment, facility capacity used within its terms, and the call issued on the required notice. Nothing here shortens the notice period.</t>
  </si>
  <si>
    <t xml:space="preserve">BANK HOLIDAYS</t>
  </si>
  <si>
    <t xml:space="preserve">Days excluded from business-day counts. Illustrative calendar for 2026; replace with the calendar your governing agreement names.</t>
  </si>
  <si>
    <t xml:space="preserve">Date</t>
  </si>
  <si>
    <t xml:space="preserve">NOTICES AND BANK FILE, ONE RUN</t>
  </si>
  <si>
    <t xml:space="preserve">The notice is generated from the approved allocation, and the bank file from the notice population. Counts and totals are compared across all three before release.</t>
  </si>
  <si>
    <t xml:space="preserve">Notice amount</t>
  </si>
  <si>
    <t xml:space="preserve">Due date</t>
  </si>
  <si>
    <t xml:space="preserve">Remaining commitment after the call</t>
  </si>
  <si>
    <t xml:space="preserve">Bank file run</t>
  </si>
  <si>
    <t xml:space="preserve">Bank file amount</t>
  </si>
  <si>
    <t xml:space="preserve">Agrees</t>
  </si>
  <si>
    <t xml:space="preserve">Notices in the population</t>
  </si>
  <si>
    <t xml:space="preserve">Payment lines in the bank file</t>
  </si>
  <si>
    <t xml:space="preserve">Lines that do not agree</t>
  </si>
  <si>
    <t xml:space="preserve">THE 24.6 MILLION DISTRIBUTION, DRAFT AND FINAL</t>
  </si>
  <si>
    <t xml:space="preserve">The wire was right; the notice was wrong. Cash per investor is identical in both runs. What changes is the remaining commitment the notice tells each investor it still owes, because 600,000 was designated recallable after the draft existed.</t>
  </si>
  <si>
    <t xml:space="preserve">Distribution amount</t>
  </si>
  <si>
    <t xml:space="preserve">Of which designated recallable (final run only)</t>
  </si>
  <si>
    <t xml:space="preserve">Contributed capital after the call</t>
  </si>
  <si>
    <t xml:space="preserve">Contributed after the call</t>
  </si>
  <si>
    <t xml:space="preserve">Share</t>
  </si>
  <si>
    <t xml:space="preserve">Cash, rounded, with residual</t>
  </si>
  <si>
    <t xml:space="preserve">Recallable, rounded, with residual</t>
  </si>
  <si>
    <t xml:space="preserve">Remaining commitment, DRAFT notice</t>
  </si>
  <si>
    <t xml:space="preserve">Remaining commitment, FINAL notice</t>
  </si>
  <si>
    <t xml:space="preserve">Difference</t>
  </si>
  <si>
    <t xml:space="preserve">Cash in draft</t>
  </si>
  <si>
    <t xml:space="preserve">Cash agrees</t>
  </si>
  <si>
    <t xml:space="preserve">The corrected process places the recallable classification ahead of the allocation run and treats any later change as invalidating every dependent output: notices, portal documents, capital accounts.</t>
  </si>
  <si>
    <t xml:space="preserve">CHECKS</t>
  </si>
  <si>
    <t xml:space="preserve">Every check compares two independent routes to the same figure, or a figure printed in the book with the live formula. Status reads OK when the difference is within the tolerance. Change an input and some checks are meant to move: a FAIL on the 'as processed' side is the error the book describes, shown on purpose.</t>
  </si>
  <si>
    <t xml:space="preserve">#</t>
  </si>
  <si>
    <t xml:space="preserve">Check</t>
  </si>
  <si>
    <t xml:space="preserve">Route A</t>
  </si>
  <si>
    <t xml:space="preserve">Route B</t>
  </si>
  <si>
    <t xml:space="preserve">Tolerance</t>
  </si>
  <si>
    <t xml:space="preserve">Status</t>
  </si>
  <si>
    <t xml:space="preserve">Call components add to the 6.8 million the book prints</t>
  </si>
  <si>
    <t xml:space="preserve">Allocated call amounts add to the call total</t>
  </si>
  <si>
    <t xml:space="preserve">Follow-on investment allocated equals the component</t>
  </si>
  <si>
    <t xml:space="preserve">Management fee allocated equals the component</t>
  </si>
  <si>
    <t xml:space="preserve">Excused investor carries no share of the follow-on</t>
  </si>
  <si>
    <t xml:space="preserve">Investors whose call exceeds unfunded commitment</t>
  </si>
  <si>
    <t xml:space="preserve">Rounding: unrounded total equals called total</t>
  </si>
  <si>
    <t xml:space="preserve">Unfunded after the call = unfunded before less the call</t>
  </si>
  <si>
    <t xml:space="preserve">Notice total agrees to the approved allocation</t>
  </si>
  <si>
    <t xml:space="preserve">Bank file total agrees to the notice total</t>
  </si>
  <si>
    <t xml:space="preserve">Bank file line count agrees to the notice count</t>
  </si>
  <si>
    <t xml:space="preserve">Lines stopped for disagreement</t>
  </si>
  <si>
    <t xml:space="preserve">Notice runs ten business days, as the agreement requires</t>
  </si>
  <si>
    <t xml:space="preserve">Lender's base is lower by the advance rate on the pending transfer</t>
  </si>
  <si>
    <t xml:space="preserve">Distribution cash adds to the 24.6 million the book prints</t>
  </si>
  <si>
    <t xml:space="preserve">Recallable amounts add to the 600,000 the book prints</t>
  </si>
  <si>
    <t xml:space="preserve">Cash per investor is the same in the draft and the final run</t>
  </si>
  <si>
    <t xml:space="preserve">Final remaining commitments exceed the draft by the recallable amount</t>
  </si>
  <si>
    <t xml:space="preserve">Deal team's view: facility available with the pending transfer included, as the book prints</t>
  </si>
  <si>
    <t xml:space="preserve">Lender's view: facility available with the pending transfer excluded, as the book prints</t>
  </si>
  <si>
    <t xml:space="preserve">Shortfall = base lost on the pending transfer less the deal team's headroom over the cash needed</t>
  </si>
  <si>
    <t xml:space="preserve">Excused investor pays exactly its commitment share of expenses and reserve and its fee-paying share of the fee</t>
  </si>
  <si>
    <t xml:space="preserve">Investor due date falls on a business day</t>
  </si>
  <si>
    <t xml:space="preserve">Recallable amounts follow the cash shares, investor by investor (sum of absolute gaps, cents)</t>
  </si>
  <si>
    <t xml:space="preserve">Remaining commitments on the final notice = unfunded before the call, less the call, plus the recallable</t>
  </si>
  <si>
    <t xml:space="preserve">Checks passing</t>
  </si>
  <si>
    <t xml:space="preserve">Checks failing</t>
  </si>
  <si>
    <t xml:space="preserve">Overall</t>
  </si>
</sst>
</file>

<file path=xl/styles.xml><?xml version="1.0" encoding="utf-8"?>
<styleSheet xmlns="http://schemas.openxmlformats.org/spreadsheetml/2006/main">
  <numFmts count="8">
    <numFmt numFmtId="164" formatCode="General"/>
    <numFmt numFmtId="165" formatCode="dd\ mmm\ yyyy"/>
    <numFmt numFmtId="166" formatCode="#,##0.00;\(#,##0.00\);\-"/>
    <numFmt numFmtId="167" formatCode="0.0000%"/>
    <numFmt numFmtId="168" formatCode="#,##0;\(#,##0\);\-"/>
    <numFmt numFmtId="169" formatCode="0.00%"/>
    <numFmt numFmtId="170" formatCode="0.000"/>
    <numFmt numFmtId="171" formatCode="General"/>
  </numFmts>
  <fonts count="12">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9"/>
      <color rgb="FF536779"/>
      <name val="Arial"/>
      <family val="0"/>
      <charset val="1"/>
    </font>
    <font>
      <b val="true"/>
      <sz val="9"/>
      <color rgb="FF263238"/>
      <name val="Arial"/>
      <family val="0"/>
      <charset val="1"/>
    </font>
    <font>
      <sz val="9"/>
      <color rgb="FF536779"/>
      <name val="Arial"/>
      <family val="0"/>
      <charset val="1"/>
    </font>
    <font>
      <sz val="9"/>
      <color rgb="FF1F4FD1"/>
      <name val="Arial"/>
      <family val="0"/>
      <charset val="1"/>
    </font>
    <font>
      <b val="true"/>
      <sz val="9"/>
      <color rgb="FFFFFFFF"/>
      <name val="Arial"/>
      <family val="0"/>
      <charset val="1"/>
    </font>
    <font>
      <sz val="9"/>
      <color rgb="FF263238"/>
      <name val="Arial"/>
      <family val="0"/>
      <charset val="1"/>
    </font>
    <font>
      <b val="true"/>
      <sz val="9"/>
      <name val="Arial"/>
      <family val="0"/>
      <charset val="1"/>
    </font>
  </fonts>
  <fills count="5">
    <fill>
      <patternFill patternType="none"/>
    </fill>
    <fill>
      <patternFill patternType="gray125"/>
    </fill>
    <fill>
      <patternFill patternType="solid">
        <fgColor rgb="FF102A43"/>
        <bgColor rgb="FF263238"/>
      </patternFill>
    </fill>
    <fill>
      <patternFill patternType="solid">
        <fgColor rgb="FFFFF7E0"/>
        <bgColor rgb="FFFFFFFF"/>
      </patternFill>
    </fill>
    <fill>
      <patternFill patternType="solid">
        <fgColor rgb="FF167D8D"/>
        <bgColor rgb="FF008080"/>
      </patternFill>
    </fill>
  </fills>
  <borders count="2">
    <border diagonalUp="false" diagonalDown="false">
      <left/>
      <right/>
      <top/>
      <bottom/>
      <diagonal/>
    </border>
    <border diagonalUp="false" diagonalDown="false">
      <left style="thin">
        <color rgb="FFB8C2CC"/>
      </left>
      <right style="thin">
        <color rgb="FFB8C2CC"/>
      </right>
      <top style="thin">
        <color rgb="FFB8C2CC"/>
      </top>
      <bottom style="thin">
        <color rgb="FFB8C2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5" fontId="8" fillId="3" borderId="1" xfId="0" applyFont="true" applyBorder="true" applyAlignment="tru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general" vertical="bottom" textRotation="0" wrapText="false" indent="0" shrinkToFit="false"/>
      <protection locked="true" hidden="false"/>
    </xf>
    <xf numFmtId="166" fontId="8" fillId="3" borderId="1" xfId="0" applyFont="true" applyBorder="true" applyAlignment="true" applyProtection="false">
      <alignment horizontal="general" vertical="bottom" textRotation="0" wrapText="false" indent="0" shrinkToFit="false"/>
      <protection locked="true" hidden="false"/>
    </xf>
    <xf numFmtId="166" fontId="10" fillId="0" borderId="1" xfId="0" applyFont="true" applyBorder="true" applyAlignment="true" applyProtection="false">
      <alignment horizontal="general" vertical="bottom" textRotation="0" wrapText="false" indent="0" shrinkToFit="false"/>
      <protection locked="true" hidden="false"/>
    </xf>
    <xf numFmtId="167" fontId="10" fillId="0" borderId="1" xfId="0" applyFont="true" applyBorder="true" applyAlignment="tru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general" vertical="bottom" textRotation="0" wrapText="false" indent="0" shrinkToFit="false"/>
      <protection locked="true" hidden="false"/>
    </xf>
    <xf numFmtId="167" fontId="6" fillId="0" borderId="1" xfId="0" applyFont="true" applyBorder="tru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general" vertical="bottom" textRotation="0" wrapText="false" indent="0" shrinkToFit="false"/>
      <protection locked="true" hidden="false"/>
    </xf>
    <xf numFmtId="168" fontId="10" fillId="0" borderId="1" xfId="0" applyFont="true" applyBorder="true" applyAlignment="true" applyProtection="false">
      <alignment horizontal="general" vertical="bottom" textRotation="0" wrapText="false" indent="0" shrinkToFit="false"/>
      <protection locked="true" hidden="false"/>
    </xf>
    <xf numFmtId="169" fontId="8" fillId="3" borderId="1" xfId="0" applyFont="true" applyBorder="tru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70" fontId="10" fillId="0" borderId="1" xfId="0" applyFont="true" applyBorder="tru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71" fontId="11" fillId="0" borderId="1"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b val="1"/>
        <color rgb="FFC94C4C"/>
      </font>
    </dxf>
    <dxf>
      <font>
        <b val="1"/>
        <color rgb="FF5B8C5A"/>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67D8D"/>
      <rgbColor rgb="FFB8C2CC"/>
      <rgbColor rgb="FF808080"/>
      <rgbColor rgb="FF9999FF"/>
      <rgbColor rgb="FFC94C4C"/>
      <rgbColor rgb="FFFFF7E0"/>
      <rgbColor rgb="FFCCFFFF"/>
      <rgbColor rgb="FF660066"/>
      <rgbColor rgb="FFFF8080"/>
      <rgbColor rgb="FF1F4FD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36779"/>
      <rgbColor rgb="FF969696"/>
      <rgbColor rgb="FF102A43"/>
      <rgbColor rgb="FF5B8C5A"/>
      <rgbColor rgb="FF003300"/>
      <rgbColor rgb="FF333300"/>
      <rgbColor rgb="FF993300"/>
      <rgbColor rgb="FF993366"/>
      <rgbColor rgb="FF333399"/>
      <rgbColor rgb="FF26323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8" min="2" style="1" width="14"/>
  </cols>
  <sheetData>
    <row r="1" customFormat="false" ht="27.75" hidden="false" customHeight="true" outlineLevel="0" collapsed="false">
      <c r="A1" s="2" t="s">
        <v>0</v>
      </c>
      <c r="B1" s="2"/>
      <c r="C1" s="2"/>
      <c r="D1" s="2"/>
      <c r="E1" s="2"/>
      <c r="F1" s="2"/>
      <c r="G1" s="2"/>
      <c r="H1" s="2"/>
    </row>
    <row r="2" customFormat="false" ht="42" hidden="false" customHeight="true" outlineLevel="0" collapsed="false">
      <c r="A2" s="3" t="s">
        <v>1</v>
      </c>
      <c r="B2" s="3"/>
      <c r="C2" s="3"/>
      <c r="D2" s="3"/>
      <c r="E2" s="3"/>
      <c r="F2" s="3"/>
      <c r="G2" s="3"/>
      <c r="H2" s="3"/>
    </row>
    <row r="4" customFormat="false" ht="15" hidden="false" customHeight="true" outlineLevel="0" collapsed="false">
      <c r="A4" s="4" t="s">
        <v>2</v>
      </c>
    </row>
    <row r="5" customFormat="false" ht="45.75" hidden="false" customHeight="true" outlineLevel="0" collapsed="false">
      <c r="A5" s="5" t="s">
        <v>3</v>
      </c>
      <c r="B5" s="5"/>
      <c r="C5" s="5"/>
      <c r="D5" s="5"/>
      <c r="E5" s="5"/>
      <c r="F5" s="5"/>
      <c r="G5" s="5"/>
      <c r="H5" s="5"/>
    </row>
    <row r="7" customFormat="false" ht="15" hidden="false" customHeight="true" outlineLevel="0" collapsed="false">
      <c r="A7" s="4" t="s">
        <v>4</v>
      </c>
    </row>
    <row r="8" customFormat="false" ht="45.75" hidden="false" customHeight="true" outlineLevel="0" collapsed="false">
      <c r="A8" s="5" t="s">
        <v>5</v>
      </c>
      <c r="B8" s="5"/>
      <c r="C8" s="5"/>
      <c r="D8" s="5"/>
      <c r="E8" s="5"/>
      <c r="F8" s="5"/>
      <c r="G8" s="5"/>
      <c r="H8" s="5"/>
    </row>
    <row r="10" customFormat="false" ht="15" hidden="false" customHeight="true" outlineLevel="0" collapsed="false">
      <c r="A10" s="4" t="s">
        <v>6</v>
      </c>
    </row>
    <row r="11" customFormat="false" ht="45.75" hidden="false" customHeight="true" outlineLevel="0" collapsed="false">
      <c r="A11" s="5" t="s">
        <v>7</v>
      </c>
      <c r="B11" s="5"/>
      <c r="C11" s="5"/>
      <c r="D11" s="5"/>
      <c r="E11" s="5"/>
      <c r="F11" s="5"/>
      <c r="G11" s="5"/>
      <c r="H11" s="5"/>
    </row>
    <row r="13" customFormat="false" ht="15" hidden="false" customHeight="true" outlineLevel="0" collapsed="false">
      <c r="A13" s="4" t="s">
        <v>8</v>
      </c>
    </row>
    <row r="14" customFormat="false" ht="45.75" hidden="false" customHeight="true" outlineLevel="0" collapsed="false">
      <c r="A14" s="5" t="s">
        <v>9</v>
      </c>
      <c r="B14" s="5"/>
      <c r="C14" s="5"/>
      <c r="D14" s="5"/>
      <c r="E14" s="5"/>
      <c r="F14" s="5"/>
      <c r="G14" s="5"/>
      <c r="H14" s="5"/>
    </row>
    <row r="16" customFormat="false" ht="15" hidden="false" customHeight="true" outlineLevel="0" collapsed="false">
      <c r="A16" s="4" t="s">
        <v>10</v>
      </c>
    </row>
    <row r="17" customFormat="false" ht="45.75" hidden="false" customHeight="true" outlineLevel="0" collapsed="false">
      <c r="A17" s="5" t="s">
        <v>11</v>
      </c>
      <c r="B17" s="5"/>
      <c r="C17" s="5"/>
      <c r="D17" s="5"/>
      <c r="E17" s="5"/>
      <c r="F17" s="5"/>
      <c r="G17" s="5"/>
      <c r="H17" s="5"/>
    </row>
    <row r="19" customFormat="false" ht="15" hidden="false" customHeight="true" outlineLevel="0" collapsed="false">
      <c r="A19" s="4" t="s">
        <v>12</v>
      </c>
    </row>
    <row r="20" customFormat="false" ht="45.75" hidden="false" customHeight="true" outlineLevel="0" collapsed="false">
      <c r="A20" s="5" t="s">
        <v>13</v>
      </c>
      <c r="B20" s="5"/>
      <c r="C20" s="5"/>
      <c r="D20" s="5"/>
      <c r="E20" s="5"/>
      <c r="F20" s="5"/>
      <c r="G20" s="5"/>
      <c r="H20" s="5"/>
    </row>
  </sheetData>
  <mergeCells count="8">
    <mergeCell ref="A1:H1"/>
    <mergeCell ref="A2:H2"/>
    <mergeCell ref="A5:H5"/>
    <mergeCell ref="A8:H8"/>
    <mergeCell ref="A11:H11"/>
    <mergeCell ref="A14:H14"/>
    <mergeCell ref="A17:H17"/>
    <mergeCell ref="A20:H2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32"/>
    <col collapsed="false" customWidth="true" hidden="false" outlineLevel="0" max="4" min="3" style="1" width="15"/>
    <col collapsed="false" customWidth="true" hidden="false" outlineLevel="0" max="5" min="5" style="1" width="14"/>
    <col collapsed="false" customWidth="true" hidden="false" outlineLevel="0" max="6" min="6" style="1" width="15"/>
    <col collapsed="false" customWidth="true" hidden="false" outlineLevel="0" max="7" min="7" style="1" width="10"/>
    <col collapsed="false" customWidth="true" hidden="false" outlineLevel="0" max="8" min="8" style="1" width="13"/>
    <col collapsed="false" customWidth="true" hidden="false" outlineLevel="0" max="9" min="9" style="1" width="11"/>
    <col collapsed="false" customWidth="true" hidden="false" outlineLevel="0" max="10" min="10" style="1" width="12"/>
    <col collapsed="false" customWidth="true" hidden="false" outlineLevel="0" max="11" min="11" style="1" width="11"/>
  </cols>
  <sheetData>
    <row r="1" customFormat="false" ht="27.75" hidden="false" customHeight="true" outlineLevel="0" collapsed="false">
      <c r="A1" s="2" t="s">
        <v>14</v>
      </c>
      <c r="B1" s="2"/>
      <c r="C1" s="2"/>
      <c r="D1" s="2"/>
      <c r="E1" s="2"/>
      <c r="F1" s="2"/>
      <c r="G1" s="2"/>
      <c r="H1" s="2"/>
      <c r="I1" s="2"/>
      <c r="J1" s="2"/>
      <c r="K1" s="2"/>
    </row>
    <row r="2" customFormat="false" ht="42" hidden="false" customHeight="true" outlineLevel="0" collapsed="false">
      <c r="A2" s="3" t="s">
        <v>15</v>
      </c>
      <c r="B2" s="3"/>
      <c r="C2" s="3"/>
      <c r="D2" s="3"/>
      <c r="E2" s="3"/>
      <c r="F2" s="3"/>
      <c r="G2" s="3"/>
      <c r="H2" s="3"/>
      <c r="I2" s="3"/>
      <c r="J2" s="3"/>
      <c r="K2" s="3"/>
    </row>
    <row r="4" customFormat="false" ht="15" hidden="false" customHeight="true" outlineLevel="0" collapsed="false">
      <c r="A4" s="4" t="s">
        <v>16</v>
      </c>
      <c r="C4" s="6" t="n">
        <v>46269</v>
      </c>
    </row>
    <row r="5" customFormat="false" ht="31.5" hidden="false" customHeight="true" outlineLevel="0" collapsed="false">
      <c r="A5" s="7" t="s">
        <v>17</v>
      </c>
      <c r="B5" s="7" t="s">
        <v>18</v>
      </c>
      <c r="C5" s="7" t="s">
        <v>19</v>
      </c>
      <c r="D5" s="7" t="s">
        <v>20</v>
      </c>
      <c r="E5" s="7" t="s">
        <v>21</v>
      </c>
      <c r="F5" s="7" t="s">
        <v>22</v>
      </c>
      <c r="G5" s="7" t="s">
        <v>23</v>
      </c>
      <c r="H5" s="7" t="s">
        <v>24</v>
      </c>
      <c r="I5" s="7" t="s">
        <v>25</v>
      </c>
      <c r="J5" s="7" t="s">
        <v>26</v>
      </c>
      <c r="K5" s="7" t="s">
        <v>27</v>
      </c>
    </row>
    <row r="6" customFormat="false" ht="15" hidden="false" customHeight="true" outlineLevel="0" collapsed="false">
      <c r="A6" s="8" t="s">
        <v>28</v>
      </c>
      <c r="B6" s="8" t="s">
        <v>29</v>
      </c>
      <c r="C6" s="9" t="n">
        <v>30000000</v>
      </c>
      <c r="D6" s="9" t="n">
        <v>18600000</v>
      </c>
      <c r="E6" s="9" t="n">
        <v>0</v>
      </c>
      <c r="F6" s="10" t="n">
        <f aca="false">C6-D6+E6</f>
        <v>11400000</v>
      </c>
      <c r="G6" s="8" t="s">
        <v>30</v>
      </c>
      <c r="H6" s="8" t="s">
        <v>31</v>
      </c>
      <c r="I6" s="8" t="s">
        <v>30</v>
      </c>
      <c r="J6" s="8" t="s">
        <v>31</v>
      </c>
      <c r="K6" s="11" t="n">
        <f aca="false">C6/$C$14</f>
        <v>0.32258064516129</v>
      </c>
    </row>
    <row r="7" customFormat="false" ht="15" hidden="false" customHeight="true" outlineLevel="0" collapsed="false">
      <c r="A7" s="8" t="s">
        <v>32</v>
      </c>
      <c r="B7" s="8" t="s">
        <v>33</v>
      </c>
      <c r="C7" s="9" t="n">
        <v>20000000</v>
      </c>
      <c r="D7" s="9" t="n">
        <v>12400000</v>
      </c>
      <c r="E7" s="9" t="n">
        <v>0</v>
      </c>
      <c r="F7" s="10" t="n">
        <f aca="false">C7-D7+E7</f>
        <v>7600000</v>
      </c>
      <c r="G7" s="8" t="s">
        <v>30</v>
      </c>
      <c r="H7" s="8" t="s">
        <v>31</v>
      </c>
      <c r="I7" s="8" t="s">
        <v>30</v>
      </c>
      <c r="J7" s="8" t="s">
        <v>31</v>
      </c>
      <c r="K7" s="11" t="n">
        <f aca="false">C7/$C$14</f>
        <v>0.21505376344086</v>
      </c>
    </row>
    <row r="8" customFormat="false" ht="15" hidden="false" customHeight="true" outlineLevel="0" collapsed="false">
      <c r="A8" s="8" t="s">
        <v>34</v>
      </c>
      <c r="B8" s="8" t="s">
        <v>35</v>
      </c>
      <c r="C8" s="9" t="n">
        <v>12000000</v>
      </c>
      <c r="D8" s="9" t="n">
        <v>7440000</v>
      </c>
      <c r="E8" s="9" t="n">
        <v>0</v>
      </c>
      <c r="F8" s="10" t="n">
        <f aca="false">C8-D8+E8</f>
        <v>4560000</v>
      </c>
      <c r="G8" s="8" t="s">
        <v>30</v>
      </c>
      <c r="H8" s="8" t="s">
        <v>31</v>
      </c>
      <c r="I8" s="8" t="s">
        <v>30</v>
      </c>
      <c r="J8" s="8" t="s">
        <v>31</v>
      </c>
      <c r="K8" s="11" t="n">
        <f aca="false">C8/$C$14</f>
        <v>0.129032258064516</v>
      </c>
    </row>
    <row r="9" customFormat="false" ht="15" hidden="false" customHeight="true" outlineLevel="0" collapsed="false">
      <c r="A9" s="8" t="s">
        <v>36</v>
      </c>
      <c r="B9" s="8" t="s">
        <v>37</v>
      </c>
      <c r="C9" s="9" t="n">
        <v>10000000</v>
      </c>
      <c r="D9" s="9" t="n">
        <v>6200000</v>
      </c>
      <c r="E9" s="9" t="n">
        <v>0</v>
      </c>
      <c r="F9" s="10" t="n">
        <f aca="false">C9-D9+E9</f>
        <v>3800000</v>
      </c>
      <c r="G9" s="8" t="s">
        <v>30</v>
      </c>
      <c r="H9" s="8" t="s">
        <v>31</v>
      </c>
      <c r="I9" s="8" t="s">
        <v>30</v>
      </c>
      <c r="J9" s="8" t="s">
        <v>31</v>
      </c>
      <c r="K9" s="11" t="n">
        <f aca="false">C9/$C$14</f>
        <v>0.10752688172043</v>
      </c>
    </row>
    <row r="10" customFormat="false" ht="15" hidden="false" customHeight="true" outlineLevel="0" collapsed="false">
      <c r="A10" s="8" t="s">
        <v>38</v>
      </c>
      <c r="B10" s="8" t="s">
        <v>39</v>
      </c>
      <c r="C10" s="9" t="n">
        <v>8000000</v>
      </c>
      <c r="D10" s="9" t="n">
        <v>4960000</v>
      </c>
      <c r="E10" s="9" t="n">
        <v>0</v>
      </c>
      <c r="F10" s="10" t="n">
        <f aca="false">C10-D10+E10</f>
        <v>3040000</v>
      </c>
      <c r="G10" s="8" t="s">
        <v>30</v>
      </c>
      <c r="H10" s="8" t="s">
        <v>31</v>
      </c>
      <c r="I10" s="8" t="s">
        <v>30</v>
      </c>
      <c r="J10" s="8" t="s">
        <v>31</v>
      </c>
      <c r="K10" s="11" t="n">
        <f aca="false">C10/$C$14</f>
        <v>0.0860215053763441</v>
      </c>
    </row>
    <row r="11" customFormat="false" ht="15" hidden="false" customHeight="true" outlineLevel="0" collapsed="false">
      <c r="A11" s="8" t="s">
        <v>40</v>
      </c>
      <c r="B11" s="8" t="s">
        <v>41</v>
      </c>
      <c r="C11" s="9" t="n">
        <v>6000000</v>
      </c>
      <c r="D11" s="9" t="n">
        <v>3720000</v>
      </c>
      <c r="E11" s="9" t="n">
        <v>0</v>
      </c>
      <c r="F11" s="10" t="n">
        <f aca="false">C11-D11+E11</f>
        <v>2280000</v>
      </c>
      <c r="G11" s="8" t="s">
        <v>30</v>
      </c>
      <c r="H11" s="8" t="s">
        <v>30</v>
      </c>
      <c r="I11" s="8" t="s">
        <v>30</v>
      </c>
      <c r="J11" s="8" t="s">
        <v>31</v>
      </c>
      <c r="K11" s="11" t="n">
        <f aca="false">C11/$C$14</f>
        <v>0.0645161290322581</v>
      </c>
    </row>
    <row r="12" customFormat="false" ht="15" hidden="false" customHeight="true" outlineLevel="0" collapsed="false">
      <c r="A12" s="8" t="s">
        <v>42</v>
      </c>
      <c r="B12" s="8" t="s">
        <v>43</v>
      </c>
      <c r="C12" s="9" t="n">
        <v>5000000</v>
      </c>
      <c r="D12" s="9" t="n">
        <v>3100000</v>
      </c>
      <c r="E12" s="9" t="n">
        <v>0</v>
      </c>
      <c r="F12" s="10" t="n">
        <f aca="false">C12-D12+E12</f>
        <v>1900000</v>
      </c>
      <c r="G12" s="8" t="s">
        <v>30</v>
      </c>
      <c r="H12" s="8" t="s">
        <v>31</v>
      </c>
      <c r="I12" s="8" t="s">
        <v>30</v>
      </c>
      <c r="J12" s="8" t="s">
        <v>30</v>
      </c>
      <c r="K12" s="11" t="n">
        <f aca="false">C12/$C$14</f>
        <v>0.0537634408602151</v>
      </c>
    </row>
    <row r="13" customFormat="false" ht="15" hidden="false" customHeight="true" outlineLevel="0" collapsed="false">
      <c r="A13" s="8" t="s">
        <v>44</v>
      </c>
      <c r="B13" s="8" t="s">
        <v>45</v>
      </c>
      <c r="C13" s="9" t="n">
        <v>2000000</v>
      </c>
      <c r="D13" s="9" t="n">
        <v>1240000</v>
      </c>
      <c r="E13" s="9" t="n">
        <v>0</v>
      </c>
      <c r="F13" s="10" t="n">
        <f aca="false">C13-D13+E13</f>
        <v>760000</v>
      </c>
      <c r="G13" s="8" t="s">
        <v>31</v>
      </c>
      <c r="H13" s="8" t="s">
        <v>31</v>
      </c>
      <c r="I13" s="8" t="s">
        <v>31</v>
      </c>
      <c r="J13" s="8" t="s">
        <v>31</v>
      </c>
      <c r="K13" s="11" t="n">
        <f aca="false">C13/$C$14</f>
        <v>0.021505376344086</v>
      </c>
    </row>
    <row r="14" customFormat="false" ht="15" hidden="false" customHeight="true" outlineLevel="0" collapsed="false">
      <c r="B14" s="4" t="s">
        <v>46</v>
      </c>
      <c r="C14" s="12" t="n">
        <f aca="false">SUM(C6:C13)</f>
        <v>93000000</v>
      </c>
      <c r="D14" s="12" t="n">
        <f aca="false">SUM(D6:D13)</f>
        <v>57660000</v>
      </c>
      <c r="E14" s="12" t="n">
        <f aca="false">SUM(E6:E13)</f>
        <v>0</v>
      </c>
      <c r="F14" s="12" t="n">
        <f aca="false">SUM(F6:F13)</f>
        <v>35340000</v>
      </c>
      <c r="K14" s="13" t="n">
        <f aca="false">SUM(K6:K13)</f>
        <v>1</v>
      </c>
    </row>
    <row r="16" customFormat="false" ht="55.5" hidden="false" customHeight="true" outlineLevel="0" collapsed="false">
      <c r="A16" s="3" t="s">
        <v>47</v>
      </c>
      <c r="B16" s="3"/>
      <c r="C16" s="3"/>
      <c r="D16" s="3"/>
      <c r="E16" s="3"/>
      <c r="F16" s="3"/>
      <c r="G16" s="3"/>
      <c r="H16" s="3"/>
      <c r="I16" s="3"/>
      <c r="J16" s="3"/>
      <c r="K16" s="3"/>
    </row>
  </sheetData>
  <mergeCells count="3">
    <mergeCell ref="A1:K1"/>
    <mergeCell ref="A2:K2"/>
    <mergeCell ref="A16:K1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30"/>
    <col collapsed="false" customWidth="true" hidden="false" outlineLevel="0" max="5" min="3" style="1" width="11"/>
    <col collapsed="false" customWidth="true" hidden="false" outlineLevel="0" max="6" min="6" style="1" width="14"/>
    <col collapsed="false" customWidth="true" hidden="false" outlineLevel="0" max="9" min="7" style="1" width="12"/>
    <col collapsed="false" customWidth="true" hidden="false" outlineLevel="0" max="11" min="10" style="1" width="14"/>
    <col collapsed="false" customWidth="true" hidden="false" outlineLevel="0" max="12" min="12" style="1" width="11"/>
    <col collapsed="false" customWidth="true" hidden="false" outlineLevel="0" max="13" min="13" style="1" width="14"/>
    <col collapsed="false" customWidth="true" hidden="false" outlineLevel="0" max="15" min="14" style="1" width="15"/>
    <col collapsed="false" customWidth="true" hidden="false" outlineLevel="0" max="16" min="16" style="1" width="10"/>
  </cols>
  <sheetData>
    <row r="1" customFormat="false" ht="27.75" hidden="false" customHeight="true" outlineLevel="0" collapsed="false">
      <c r="A1" s="2" t="s">
        <v>48</v>
      </c>
      <c r="B1" s="2"/>
      <c r="C1" s="2"/>
      <c r="D1" s="2"/>
      <c r="E1" s="2"/>
      <c r="F1" s="2"/>
      <c r="G1" s="2"/>
      <c r="H1" s="2"/>
      <c r="I1" s="2"/>
      <c r="J1" s="2"/>
      <c r="K1" s="2"/>
      <c r="L1" s="2"/>
      <c r="M1" s="2"/>
      <c r="N1" s="2"/>
      <c r="O1" s="2"/>
      <c r="P1" s="2"/>
    </row>
    <row r="2" customFormat="false" ht="42" hidden="false" customHeight="true" outlineLevel="0" collapsed="false">
      <c r="A2" s="3" t="s">
        <v>49</v>
      </c>
      <c r="B2" s="3"/>
      <c r="C2" s="3"/>
      <c r="D2" s="3"/>
      <c r="E2" s="3"/>
      <c r="F2" s="3"/>
      <c r="G2" s="3"/>
      <c r="H2" s="3"/>
      <c r="I2" s="3"/>
      <c r="J2" s="3"/>
      <c r="K2" s="3"/>
      <c r="L2" s="3"/>
      <c r="M2" s="3"/>
      <c r="N2" s="3"/>
      <c r="O2" s="3"/>
      <c r="P2" s="3"/>
    </row>
    <row r="4" customFormat="false" ht="31.5" hidden="false" customHeight="true" outlineLevel="0" collapsed="false">
      <c r="A4" s="7" t="s">
        <v>50</v>
      </c>
      <c r="B4" s="7" t="s">
        <v>51</v>
      </c>
      <c r="C4" s="7" t="s">
        <v>52</v>
      </c>
    </row>
    <row r="5" customFormat="false" ht="15" hidden="false" customHeight="true" outlineLevel="0" collapsed="false">
      <c r="A5" s="14" t="s">
        <v>53</v>
      </c>
      <c r="B5" s="9" t="n">
        <v>6050000</v>
      </c>
      <c r="C5" s="14" t="s">
        <v>54</v>
      </c>
    </row>
    <row r="6" customFormat="false" ht="15" hidden="false" customHeight="true" outlineLevel="0" collapsed="false">
      <c r="A6" s="14" t="s">
        <v>55</v>
      </c>
      <c r="B6" s="9" t="n">
        <v>210000</v>
      </c>
      <c r="C6" s="14" t="s">
        <v>56</v>
      </c>
    </row>
    <row r="7" customFormat="false" ht="15" hidden="false" customHeight="true" outlineLevel="0" collapsed="false">
      <c r="A7" s="14" t="s">
        <v>57</v>
      </c>
      <c r="B7" s="9" t="n">
        <v>390000</v>
      </c>
      <c r="C7" s="14" t="s">
        <v>58</v>
      </c>
    </row>
    <row r="8" customFormat="false" ht="15" hidden="false" customHeight="true" outlineLevel="0" collapsed="false">
      <c r="A8" s="14" t="s">
        <v>59</v>
      </c>
      <c r="B8" s="9" t="n">
        <v>150000</v>
      </c>
      <c r="C8" s="14" t="s">
        <v>56</v>
      </c>
    </row>
    <row r="9" customFormat="false" ht="15" hidden="false" customHeight="true" outlineLevel="0" collapsed="false">
      <c r="A9" s="15" t="s">
        <v>60</v>
      </c>
      <c r="B9" s="12" t="n">
        <f aca="false">SUM(B5:B8)</f>
        <v>6800000</v>
      </c>
    </row>
    <row r="10" customFormat="false" ht="15" hidden="false" customHeight="true" outlineLevel="0" collapsed="false">
      <c r="A10" s="16" t="s">
        <v>61</v>
      </c>
      <c r="B10" s="8" t="s">
        <v>62</v>
      </c>
    </row>
    <row r="12" customFormat="false" ht="31.5" hidden="false" customHeight="true" outlineLevel="0" collapsed="false">
      <c r="A12" s="7" t="s">
        <v>17</v>
      </c>
      <c r="B12" s="7" t="s">
        <v>18</v>
      </c>
      <c r="C12" s="7" t="s">
        <v>63</v>
      </c>
      <c r="D12" s="7" t="s">
        <v>64</v>
      </c>
      <c r="E12" s="7" t="s">
        <v>65</v>
      </c>
      <c r="F12" s="7" t="s">
        <v>53</v>
      </c>
      <c r="G12" s="7" t="s">
        <v>55</v>
      </c>
      <c r="H12" s="7" t="s">
        <v>57</v>
      </c>
      <c r="I12" s="7" t="s">
        <v>59</v>
      </c>
      <c r="J12" s="7" t="s">
        <v>66</v>
      </c>
      <c r="K12" s="7" t="s">
        <v>67</v>
      </c>
      <c r="L12" s="7" t="s">
        <v>68</v>
      </c>
      <c r="M12" s="7" t="s">
        <v>69</v>
      </c>
      <c r="N12" s="7" t="s">
        <v>70</v>
      </c>
      <c r="O12" s="7" t="s">
        <v>71</v>
      </c>
      <c r="P12" s="7" t="s">
        <v>72</v>
      </c>
    </row>
    <row r="13" customFormat="false" ht="15" hidden="false" customHeight="true" outlineLevel="0" collapsed="false">
      <c r="A13" s="14" t="str">
        <f aca="false">Investors!A6</f>
        <v>LP-201</v>
      </c>
      <c r="B13" s="14" t="str">
        <f aca="false">Investors!B6</f>
        <v>Harlow State Pension Plan</v>
      </c>
      <c r="C13" s="11" t="n">
        <f aca="false">Investors!C6/Investors!$C$14</f>
        <v>0.32258064516129</v>
      </c>
      <c r="D13" s="11" t="n">
        <f aca="false">IF(Investors!G6="Y",Investors!C6,0)/SUMIF(Investors!$G$6:$G$13,"Y",Investors!$C$6:$C$13)</f>
        <v>0.32967032967033</v>
      </c>
      <c r="E13" s="11" t="n">
        <f aca="false">IF(Investors!H6="N",Investors!C6,0)/SUMIF(Investors!$H$6:$H$13,"N",Investors!$C$6:$C$13)</f>
        <v>0.344827586206897</v>
      </c>
      <c r="F13" s="10" t="n">
        <f aca="false">$B$5*E13</f>
        <v>2086206.89655172</v>
      </c>
      <c r="G13" s="10" t="n">
        <f aca="false">$B$6*C13</f>
        <v>67741.935483871</v>
      </c>
      <c r="H13" s="10" t="n">
        <f aca="false">$B$7*D13</f>
        <v>128571.428571429</v>
      </c>
      <c r="I13" s="10" t="n">
        <f aca="false">$B$8*C13</f>
        <v>48387.0967741935</v>
      </c>
      <c r="J13" s="10" t="n">
        <f aca="false">SUM(F13:I13)</f>
        <v>2330907.35738122</v>
      </c>
      <c r="K13" s="10" t="n">
        <f aca="false">ROUND(J13,2)</f>
        <v>2330907.36</v>
      </c>
      <c r="L13" s="10" t="n">
        <f aca="false">IF(Investors!C6=MAX(Investors!$C$6:$C$13),$B$9-SUM($K$13:$K$20),0)</f>
        <v>-0.00999999977648258</v>
      </c>
      <c r="M13" s="10" t="n">
        <f aca="false">K13+L13</f>
        <v>2330907.35</v>
      </c>
      <c r="N13" s="10" t="n">
        <f aca="false">Investors!F6</f>
        <v>11400000</v>
      </c>
      <c r="O13" s="10" t="n">
        <f aca="false">N13-M13</f>
        <v>9069092.65</v>
      </c>
      <c r="P13" s="14" t="str">
        <f aca="false">IF(M13&lt;=N13,"OK","EXCEEDS")</f>
        <v>OK</v>
      </c>
    </row>
    <row r="14" customFormat="false" ht="15" hidden="false" customHeight="true" outlineLevel="0" collapsed="false">
      <c r="A14" s="14" t="str">
        <f aca="false">Investors!A7</f>
        <v>LP-202</v>
      </c>
      <c r="B14" s="14" t="str">
        <f aca="false">Investors!B7</f>
        <v>Meridian Mutual Insurance Co.</v>
      </c>
      <c r="C14" s="11" t="n">
        <f aca="false">Investors!C7/Investors!$C$14</f>
        <v>0.21505376344086</v>
      </c>
      <c r="D14" s="11" t="n">
        <f aca="false">IF(Investors!G7="Y",Investors!C7,0)/SUMIF(Investors!$G$6:$G$13,"Y",Investors!$C$6:$C$13)</f>
        <v>0.21978021978022</v>
      </c>
      <c r="E14" s="11" t="n">
        <f aca="false">IF(Investors!H7="N",Investors!C7,0)/SUMIF(Investors!$H$6:$H$13,"N",Investors!$C$6:$C$13)</f>
        <v>0.229885057471264</v>
      </c>
      <c r="F14" s="10" t="n">
        <f aca="false">$B$5*E14</f>
        <v>1390804.59770115</v>
      </c>
      <c r="G14" s="10" t="n">
        <f aca="false">$B$6*C14</f>
        <v>45161.2903225806</v>
      </c>
      <c r="H14" s="10" t="n">
        <f aca="false">$B$7*D14</f>
        <v>85714.2857142857</v>
      </c>
      <c r="I14" s="10" t="n">
        <f aca="false">$B$8*C14</f>
        <v>32258.064516129</v>
      </c>
      <c r="J14" s="10" t="n">
        <f aca="false">SUM(F14:I14)</f>
        <v>1553938.23825414</v>
      </c>
      <c r="K14" s="10" t="n">
        <f aca="false">ROUND(J14,2)</f>
        <v>1553938.24</v>
      </c>
      <c r="L14" s="10" t="n">
        <f aca="false">IF(Investors!C7=MAX(Investors!$C$6:$C$13),$B$9-SUM($K$13:$K$20),0)</f>
        <v>0</v>
      </c>
      <c r="M14" s="10" t="n">
        <f aca="false">K14+L14</f>
        <v>1553938.24</v>
      </c>
      <c r="N14" s="10" t="n">
        <f aca="false">Investors!F7</f>
        <v>7600000</v>
      </c>
      <c r="O14" s="10" t="n">
        <f aca="false">N14-M14</f>
        <v>6046061.76</v>
      </c>
      <c r="P14" s="14" t="str">
        <f aca="false">IF(M14&lt;=N14,"OK","EXCEEDS")</f>
        <v>OK</v>
      </c>
    </row>
    <row r="15" customFormat="false" ht="15" hidden="false" customHeight="true" outlineLevel="0" collapsed="false">
      <c r="A15" s="14" t="str">
        <f aca="false">Investors!A8</f>
        <v>LP-203</v>
      </c>
      <c r="B15" s="14" t="str">
        <f aca="false">Investors!B8</f>
        <v>Aster Family Office Ltd</v>
      </c>
      <c r="C15" s="11" t="n">
        <f aca="false">Investors!C8/Investors!$C$14</f>
        <v>0.129032258064516</v>
      </c>
      <c r="D15" s="11" t="n">
        <f aca="false">IF(Investors!G8="Y",Investors!C8,0)/SUMIF(Investors!$G$6:$G$13,"Y",Investors!$C$6:$C$13)</f>
        <v>0.131868131868132</v>
      </c>
      <c r="E15" s="11" t="n">
        <f aca="false">IF(Investors!H8="N",Investors!C8,0)/SUMIF(Investors!$H$6:$H$13,"N",Investors!$C$6:$C$13)</f>
        <v>0.137931034482759</v>
      </c>
      <c r="F15" s="10" t="n">
        <f aca="false">$B$5*E15</f>
        <v>834482.75862069</v>
      </c>
      <c r="G15" s="10" t="n">
        <f aca="false">$B$6*C15</f>
        <v>27096.7741935484</v>
      </c>
      <c r="H15" s="10" t="n">
        <f aca="false">$B$7*D15</f>
        <v>51428.5714285714</v>
      </c>
      <c r="I15" s="10" t="n">
        <f aca="false">$B$8*C15</f>
        <v>19354.8387096774</v>
      </c>
      <c r="J15" s="10" t="n">
        <f aca="false">SUM(F15:I15)</f>
        <v>932362.942952487</v>
      </c>
      <c r="K15" s="10" t="n">
        <f aca="false">ROUND(J15,2)</f>
        <v>932362.94</v>
      </c>
      <c r="L15" s="10" t="n">
        <f aca="false">IF(Investors!C8=MAX(Investors!$C$6:$C$13),$B$9-SUM($K$13:$K$20),0)</f>
        <v>0</v>
      </c>
      <c r="M15" s="10" t="n">
        <f aca="false">K15+L15</f>
        <v>932362.94</v>
      </c>
      <c r="N15" s="10" t="n">
        <f aca="false">Investors!F8</f>
        <v>4560000</v>
      </c>
      <c r="O15" s="10" t="n">
        <f aca="false">N15-M15</f>
        <v>3627637.06</v>
      </c>
      <c r="P15" s="14" t="str">
        <f aca="false">IF(M15&lt;=N15,"OK","EXCEEDS")</f>
        <v>OK</v>
      </c>
    </row>
    <row r="16" customFormat="false" ht="15" hidden="false" customHeight="true" outlineLevel="0" collapsed="false">
      <c r="A16" s="14" t="str">
        <f aca="false">Investors!A9</f>
        <v>LP-204</v>
      </c>
      <c r="B16" s="14" t="str">
        <f aca="false">Investors!B9</f>
        <v>Calloway University Endowment</v>
      </c>
      <c r="C16" s="11" t="n">
        <f aca="false">Investors!C9/Investors!$C$14</f>
        <v>0.10752688172043</v>
      </c>
      <c r="D16" s="11" t="n">
        <f aca="false">IF(Investors!G9="Y",Investors!C9,0)/SUMIF(Investors!$G$6:$G$13,"Y",Investors!$C$6:$C$13)</f>
        <v>0.10989010989011</v>
      </c>
      <c r="E16" s="11" t="n">
        <f aca="false">IF(Investors!H9="N",Investors!C9,0)/SUMIF(Investors!$H$6:$H$13,"N",Investors!$C$6:$C$13)</f>
        <v>0.114942528735632</v>
      </c>
      <c r="F16" s="10" t="n">
        <f aca="false">$B$5*E16</f>
        <v>695402.298850575</v>
      </c>
      <c r="G16" s="10" t="n">
        <f aca="false">$B$6*C16</f>
        <v>22580.6451612903</v>
      </c>
      <c r="H16" s="10" t="n">
        <f aca="false">$B$7*D16</f>
        <v>42857.1428571429</v>
      </c>
      <c r="I16" s="10" t="n">
        <f aca="false">$B$8*C16</f>
        <v>16129.0322580645</v>
      </c>
      <c r="J16" s="10" t="n">
        <f aca="false">SUM(F16:I16)</f>
        <v>776969.119127072</v>
      </c>
      <c r="K16" s="10" t="n">
        <f aca="false">ROUND(J16,2)</f>
        <v>776969.12</v>
      </c>
      <c r="L16" s="10" t="n">
        <f aca="false">IF(Investors!C9=MAX(Investors!$C$6:$C$13),$B$9-SUM($K$13:$K$20),0)</f>
        <v>0</v>
      </c>
      <c r="M16" s="10" t="n">
        <f aca="false">K16+L16</f>
        <v>776969.12</v>
      </c>
      <c r="N16" s="10" t="n">
        <f aca="false">Investors!F9</f>
        <v>3800000</v>
      </c>
      <c r="O16" s="10" t="n">
        <f aca="false">N16-M16</f>
        <v>3023030.88</v>
      </c>
      <c r="P16" s="14" t="str">
        <f aca="false">IF(M16&lt;=N16,"OK","EXCEEDS")</f>
        <v>OK</v>
      </c>
    </row>
    <row r="17" customFormat="false" ht="15" hidden="false" customHeight="true" outlineLevel="0" collapsed="false">
      <c r="A17" s="14" t="str">
        <f aca="false">Investors!A10</f>
        <v>LP-205</v>
      </c>
      <c r="B17" s="14" t="str">
        <f aca="false">Investors!B10</f>
        <v>Norrland Fund of Funds IV SCSp</v>
      </c>
      <c r="C17" s="11" t="n">
        <f aca="false">Investors!C10/Investors!$C$14</f>
        <v>0.0860215053763441</v>
      </c>
      <c r="D17" s="11" t="n">
        <f aca="false">IF(Investors!G10="Y",Investors!C10,0)/SUMIF(Investors!$G$6:$G$13,"Y",Investors!$C$6:$C$13)</f>
        <v>0.0879120879120879</v>
      </c>
      <c r="E17" s="11" t="n">
        <f aca="false">IF(Investors!H10="N",Investors!C10,0)/SUMIF(Investors!$H$6:$H$13,"N",Investors!$C$6:$C$13)</f>
        <v>0.0919540229885058</v>
      </c>
      <c r="F17" s="10" t="n">
        <f aca="false">$B$5*E17</f>
        <v>556321.83908046</v>
      </c>
      <c r="G17" s="10" t="n">
        <f aca="false">$B$6*C17</f>
        <v>18064.5161290323</v>
      </c>
      <c r="H17" s="10" t="n">
        <f aca="false">$B$7*D17</f>
        <v>34285.7142857143</v>
      </c>
      <c r="I17" s="10" t="n">
        <f aca="false">$B$8*C17</f>
        <v>12903.2258064516</v>
      </c>
      <c r="J17" s="10" t="n">
        <f aca="false">SUM(F17:I17)</f>
        <v>621575.295301658</v>
      </c>
      <c r="K17" s="10" t="n">
        <f aca="false">ROUND(J17,2)</f>
        <v>621575.3</v>
      </c>
      <c r="L17" s="10" t="n">
        <f aca="false">IF(Investors!C10=MAX(Investors!$C$6:$C$13),$B$9-SUM($K$13:$K$20),0)</f>
        <v>0</v>
      </c>
      <c r="M17" s="10" t="n">
        <f aca="false">K17+L17</f>
        <v>621575.3</v>
      </c>
      <c r="N17" s="10" t="n">
        <f aca="false">Investors!F10</f>
        <v>3040000</v>
      </c>
      <c r="O17" s="10" t="n">
        <f aca="false">N17-M17</f>
        <v>2418424.7</v>
      </c>
      <c r="P17" s="14" t="str">
        <f aca="false">IF(M17&lt;=N17,"OK","EXCEEDS")</f>
        <v>OK</v>
      </c>
    </row>
    <row r="18" customFormat="false" ht="15" hidden="false" customHeight="true" outlineLevel="0" collapsed="false">
      <c r="A18" s="14" t="str">
        <f aca="false">Investors!A11</f>
        <v>LP-206</v>
      </c>
      <c r="B18" s="14" t="str">
        <f aca="false">Investors!B11</f>
        <v>Pell Charitable Foundation</v>
      </c>
      <c r="C18" s="11" t="n">
        <f aca="false">Investors!C11/Investors!$C$14</f>
        <v>0.0645161290322581</v>
      </c>
      <c r="D18" s="11" t="n">
        <f aca="false">IF(Investors!G11="Y",Investors!C11,0)/SUMIF(Investors!$G$6:$G$13,"Y",Investors!$C$6:$C$13)</f>
        <v>0.0659340659340659</v>
      </c>
      <c r="E18" s="11" t="n">
        <f aca="false">IF(Investors!H11="N",Investors!C11,0)/SUMIF(Investors!$H$6:$H$13,"N",Investors!$C$6:$C$13)</f>
        <v>0</v>
      </c>
      <c r="F18" s="10" t="n">
        <f aca="false">$B$5*E18</f>
        <v>0</v>
      </c>
      <c r="G18" s="10" t="n">
        <f aca="false">$B$6*C18</f>
        <v>13548.3870967742</v>
      </c>
      <c r="H18" s="10" t="n">
        <f aca="false">$B$7*D18</f>
        <v>25714.2857142857</v>
      </c>
      <c r="I18" s="10" t="n">
        <f aca="false">$B$8*C18</f>
        <v>9677.41935483871</v>
      </c>
      <c r="J18" s="10" t="n">
        <f aca="false">SUM(F18:I18)</f>
        <v>48940.0921658986</v>
      </c>
      <c r="K18" s="10" t="n">
        <f aca="false">ROUND(J18,2)</f>
        <v>48940.09</v>
      </c>
      <c r="L18" s="10" t="n">
        <f aca="false">IF(Investors!C11=MAX(Investors!$C$6:$C$13),$B$9-SUM($K$13:$K$20),0)</f>
        <v>0</v>
      </c>
      <c r="M18" s="10" t="n">
        <f aca="false">K18+L18</f>
        <v>48940.09</v>
      </c>
      <c r="N18" s="10" t="n">
        <f aca="false">Investors!F11</f>
        <v>2280000</v>
      </c>
      <c r="O18" s="10" t="n">
        <f aca="false">N18-M18</f>
        <v>2231059.91</v>
      </c>
      <c r="P18" s="14" t="str">
        <f aca="false">IF(M18&lt;=N18,"OK","EXCEEDS")</f>
        <v>OK</v>
      </c>
    </row>
    <row r="19" customFormat="false" ht="15" hidden="false" customHeight="true" outlineLevel="0" collapsed="false">
      <c r="A19" s="14" t="str">
        <f aca="false">Investors!A12</f>
        <v>LP-207</v>
      </c>
      <c r="B19" s="14" t="str">
        <f aca="false">Investors!B12</f>
        <v>Brightwater Holdings LLC</v>
      </c>
      <c r="C19" s="11" t="n">
        <f aca="false">Investors!C12/Investors!$C$14</f>
        <v>0.0537634408602151</v>
      </c>
      <c r="D19" s="11" t="n">
        <f aca="false">IF(Investors!G12="Y",Investors!C12,0)/SUMIF(Investors!$G$6:$G$13,"Y",Investors!$C$6:$C$13)</f>
        <v>0.0549450549450549</v>
      </c>
      <c r="E19" s="11" t="n">
        <f aca="false">IF(Investors!H12="N",Investors!C12,0)/SUMIF(Investors!$H$6:$H$13,"N",Investors!$C$6:$C$13)</f>
        <v>0.0574712643678161</v>
      </c>
      <c r="F19" s="10" t="n">
        <f aca="false">$B$5*E19</f>
        <v>347701.149425287</v>
      </c>
      <c r="G19" s="10" t="n">
        <f aca="false">$B$6*C19</f>
        <v>11290.3225806452</v>
      </c>
      <c r="H19" s="10" t="n">
        <f aca="false">$B$7*D19</f>
        <v>21428.5714285714</v>
      </c>
      <c r="I19" s="10" t="n">
        <f aca="false">$B$8*C19</f>
        <v>8064.51612903226</v>
      </c>
      <c r="J19" s="10" t="n">
        <f aca="false">SUM(F19:I19)</f>
        <v>388484.559563536</v>
      </c>
      <c r="K19" s="10" t="n">
        <f aca="false">ROUND(J19,2)</f>
        <v>388484.56</v>
      </c>
      <c r="L19" s="10" t="n">
        <f aca="false">IF(Investors!C12=MAX(Investors!$C$6:$C$13),$B$9-SUM($K$13:$K$20),0)</f>
        <v>0</v>
      </c>
      <c r="M19" s="10" t="n">
        <f aca="false">K19+L19</f>
        <v>388484.56</v>
      </c>
      <c r="N19" s="10" t="n">
        <f aca="false">Investors!F12</f>
        <v>1900000</v>
      </c>
      <c r="O19" s="10" t="n">
        <f aca="false">N19-M19</f>
        <v>1511515.44</v>
      </c>
      <c r="P19" s="14" t="str">
        <f aca="false">IF(M19&lt;=N19,"OK","EXCEEDS")</f>
        <v>OK</v>
      </c>
    </row>
    <row r="20" customFormat="false" ht="15" hidden="false" customHeight="true" outlineLevel="0" collapsed="false">
      <c r="A20" s="14" t="str">
        <f aca="false">Investors!A13</f>
        <v>GP-200</v>
      </c>
      <c r="B20" s="14" t="str">
        <f aca="false">Investors!B13</f>
        <v>Northbridge Fund II GP LP</v>
      </c>
      <c r="C20" s="11" t="n">
        <f aca="false">Investors!C13/Investors!$C$14</f>
        <v>0.021505376344086</v>
      </c>
      <c r="D20" s="11" t="n">
        <f aca="false">IF(Investors!G13="Y",Investors!C13,0)/SUMIF(Investors!$G$6:$G$13,"Y",Investors!$C$6:$C$13)</f>
        <v>0</v>
      </c>
      <c r="E20" s="11" t="n">
        <f aca="false">IF(Investors!H13="N",Investors!C13,0)/SUMIF(Investors!$H$6:$H$13,"N",Investors!$C$6:$C$13)</f>
        <v>0.0229885057471264</v>
      </c>
      <c r="F20" s="10" t="n">
        <f aca="false">$B$5*E20</f>
        <v>139080.459770115</v>
      </c>
      <c r="G20" s="10" t="n">
        <f aca="false">$B$6*C20</f>
        <v>4516.12903225807</v>
      </c>
      <c r="H20" s="10" t="n">
        <f aca="false">$B$7*D20</f>
        <v>0</v>
      </c>
      <c r="I20" s="10" t="n">
        <f aca="false">$B$8*C20</f>
        <v>3225.8064516129</v>
      </c>
      <c r="J20" s="10" t="n">
        <f aca="false">SUM(F20:I20)</f>
        <v>146822.395253986</v>
      </c>
      <c r="K20" s="10" t="n">
        <f aca="false">ROUND(J20,2)</f>
        <v>146822.4</v>
      </c>
      <c r="L20" s="10" t="n">
        <f aca="false">IF(Investors!C13=MAX(Investors!$C$6:$C$13),$B$9-SUM($K$13:$K$20),0)</f>
        <v>0</v>
      </c>
      <c r="M20" s="10" t="n">
        <f aca="false">K20+L20</f>
        <v>146822.4</v>
      </c>
      <c r="N20" s="10" t="n">
        <f aca="false">Investors!F13</f>
        <v>760000</v>
      </c>
      <c r="O20" s="10" t="n">
        <f aca="false">N20-M20</f>
        <v>613177.6</v>
      </c>
      <c r="P20" s="14" t="str">
        <f aca="false">IF(M20&lt;=N20,"OK","EXCEEDS")</f>
        <v>OK</v>
      </c>
    </row>
    <row r="21" customFormat="false" ht="15" hidden="false" customHeight="true" outlineLevel="0" collapsed="false">
      <c r="B21" s="15" t="s">
        <v>46</v>
      </c>
      <c r="C21" s="13" t="n">
        <f aca="false">SUM(C13:C20)</f>
        <v>1</v>
      </c>
      <c r="D21" s="13" t="n">
        <f aca="false">SUM(D13:D20)</f>
        <v>1</v>
      </c>
      <c r="E21" s="13" t="n">
        <f aca="false">SUM(E13:E20)</f>
        <v>1</v>
      </c>
      <c r="F21" s="12" t="n">
        <f aca="false">SUM(F13:F20)</f>
        <v>6050000</v>
      </c>
      <c r="G21" s="12" t="n">
        <f aca="false">SUM(G13:G20)</f>
        <v>210000</v>
      </c>
      <c r="H21" s="12" t="n">
        <f aca="false">SUM(H13:H20)</f>
        <v>390000</v>
      </c>
      <c r="I21" s="12" t="n">
        <f aca="false">SUM(I13:I20)</f>
        <v>150000</v>
      </c>
      <c r="J21" s="12" t="n">
        <f aca="false">SUM(J13:J20)</f>
        <v>6800000</v>
      </c>
      <c r="K21" s="12" t="n">
        <f aca="false">SUM(K13:K20)</f>
        <v>6800000.01</v>
      </c>
      <c r="L21" s="12" t="n">
        <f aca="false">SUM(L13:L20)</f>
        <v>-0.00999999977648258</v>
      </c>
      <c r="M21" s="12" t="n">
        <f aca="false">SUM(M13:M20)</f>
        <v>6800000</v>
      </c>
      <c r="N21" s="12" t="n">
        <f aca="false">SUM(N13:N20)</f>
        <v>35340000</v>
      </c>
      <c r="O21" s="12" t="n">
        <f aca="false">SUM(O13:O20)</f>
        <v>28540000</v>
      </c>
    </row>
    <row r="23" customFormat="false" ht="30" hidden="false" customHeight="true" outlineLevel="0" collapsed="false">
      <c r="A23" s="3" t="s">
        <v>73</v>
      </c>
      <c r="B23" s="3"/>
      <c r="C23" s="3"/>
      <c r="D23" s="3"/>
      <c r="E23" s="3"/>
      <c r="F23" s="3"/>
      <c r="G23" s="3"/>
      <c r="H23" s="3"/>
      <c r="I23" s="3"/>
      <c r="J23" s="3"/>
      <c r="K23" s="3"/>
      <c r="L23" s="3"/>
      <c r="M23" s="3"/>
      <c r="N23" s="3"/>
      <c r="O23" s="3"/>
      <c r="P23" s="3"/>
    </row>
  </sheetData>
  <mergeCells count="3">
    <mergeCell ref="A1:P1"/>
    <mergeCell ref="A2:P2"/>
    <mergeCell ref="A23:P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4" min="3" style="1" width="20"/>
    <col collapsed="false" customWidth="true" hidden="false" outlineLevel="0" max="6" min="5" style="1" width="4"/>
  </cols>
  <sheetData>
    <row r="1" customFormat="false" ht="27.75" hidden="false" customHeight="true" outlineLevel="0" collapsed="false">
      <c r="A1" s="2" t="s">
        <v>74</v>
      </c>
      <c r="B1" s="2"/>
      <c r="C1" s="2"/>
      <c r="D1" s="2"/>
      <c r="E1" s="2"/>
      <c r="F1" s="2"/>
    </row>
    <row r="2" customFormat="false" ht="42" hidden="false" customHeight="true" outlineLevel="0" collapsed="false">
      <c r="A2" s="3" t="s">
        <v>75</v>
      </c>
      <c r="B2" s="3"/>
      <c r="C2" s="3"/>
      <c r="D2" s="3"/>
      <c r="E2" s="3"/>
      <c r="F2" s="3"/>
    </row>
    <row r="4" customFormat="false" ht="15" hidden="false" customHeight="true" outlineLevel="0" collapsed="false">
      <c r="A4" s="16" t="s">
        <v>76</v>
      </c>
      <c r="C4" s="6" t="n">
        <v>46266</v>
      </c>
    </row>
    <row r="5" customFormat="false" ht="15" hidden="false" customHeight="true" outlineLevel="0" collapsed="false">
      <c r="A5" s="16" t="s">
        <v>77</v>
      </c>
      <c r="C5" s="6" t="n">
        <v>46269</v>
      </c>
    </row>
    <row r="6" customFormat="false" ht="15" hidden="false" customHeight="true" outlineLevel="0" collapsed="false">
      <c r="A6" s="16" t="s">
        <v>78</v>
      </c>
      <c r="C6" s="6" t="n">
        <v>46273</v>
      </c>
    </row>
    <row r="7" customFormat="false" ht="15" hidden="false" customHeight="true" outlineLevel="0" collapsed="false">
      <c r="A7" s="16" t="s">
        <v>79</v>
      </c>
      <c r="C7" s="17" t="n">
        <v>1</v>
      </c>
    </row>
    <row r="8" customFormat="false" ht="15" hidden="false" customHeight="true" outlineLevel="0" collapsed="false">
      <c r="A8" s="16" t="s">
        <v>80</v>
      </c>
      <c r="C8" s="17" t="n">
        <v>10</v>
      </c>
    </row>
    <row r="9" customFormat="false" ht="15" hidden="false" customHeight="true" outlineLevel="0" collapsed="false">
      <c r="A9" s="16" t="s">
        <v>81</v>
      </c>
      <c r="C9" s="6" t="n">
        <v>46283</v>
      </c>
    </row>
    <row r="10" customFormat="false" ht="15" hidden="false" customHeight="true" outlineLevel="0" collapsed="false">
      <c r="A10" s="4" t="s">
        <v>82</v>
      </c>
      <c r="C10" s="15" t="str">
        <f aca="false">IF(C6&gt;C5,"YES","NO")</f>
        <v>YES</v>
      </c>
    </row>
    <row r="11" customFormat="false" ht="15" hidden="false" customHeight="true" outlineLevel="0" collapsed="false">
      <c r="A11" s="16" t="s">
        <v>83</v>
      </c>
      <c r="C11" s="18" t="n">
        <f aca="false">WORKDAY(C6,C7,Holidays!$A$4:$A$14)</f>
        <v>46274</v>
      </c>
    </row>
    <row r="12" customFormat="false" ht="15" hidden="false" customHeight="true" outlineLevel="0" collapsed="false">
      <c r="A12" s="16" t="s">
        <v>84</v>
      </c>
      <c r="C12" s="18" t="n">
        <f aca="false">WORKDAY(C11,C8,Holidays!$A$4:$A$14)</f>
        <v>46288</v>
      </c>
    </row>
    <row r="13" customFormat="false" ht="15" hidden="false" customHeight="true" outlineLevel="0" collapsed="false">
      <c r="A13" s="16" t="s">
        <v>85</v>
      </c>
      <c r="C13" s="19" t="n">
        <f aca="false">IF(C12&gt;C9,NETWORKDAYS(C9,C12,Holidays!$A$4:$A$14)-1,0)</f>
        <v>3</v>
      </c>
    </row>
    <row r="14" customFormat="false" ht="15" hidden="false" customHeight="true" outlineLevel="0" collapsed="false">
      <c r="A14" s="16" t="s">
        <v>86</v>
      </c>
      <c r="C14" s="10" t="n">
        <f aca="false">IF(C13&gt;0,Call!B5+Call!B6,0)</f>
        <v>6260000</v>
      </c>
    </row>
    <row r="16" customFormat="false" ht="15" hidden="false" customHeight="true" outlineLevel="0" collapsed="false">
      <c r="A16" s="4" t="s">
        <v>87</v>
      </c>
    </row>
    <row r="17" customFormat="false" ht="15" hidden="false" customHeight="true" outlineLevel="0" collapsed="false">
      <c r="A17" s="16" t="s">
        <v>88</v>
      </c>
      <c r="C17" s="9" t="n">
        <v>25000000</v>
      </c>
    </row>
    <row r="18" customFormat="false" ht="15" hidden="false" customHeight="true" outlineLevel="0" collapsed="false">
      <c r="A18" s="16" t="s">
        <v>89</v>
      </c>
      <c r="C18" s="9" t="n">
        <v>15400000</v>
      </c>
    </row>
    <row r="19" customFormat="false" ht="15" hidden="false" customHeight="true" outlineLevel="0" collapsed="false">
      <c r="A19" s="16" t="s">
        <v>90</v>
      </c>
      <c r="C19" s="20" t="n">
        <v>0.65</v>
      </c>
    </row>
    <row r="21" customFormat="false" ht="31.5" hidden="false" customHeight="true" outlineLevel="0" collapsed="false">
      <c r="A21" s="7"/>
      <c r="B21" s="7"/>
      <c r="C21" s="7" t="s">
        <v>91</v>
      </c>
      <c r="D21" s="7" t="s">
        <v>92</v>
      </c>
    </row>
    <row r="22" customFormat="false" ht="15" hidden="false" customHeight="true" outlineLevel="0" collapsed="false">
      <c r="A22" s="16" t="s">
        <v>93</v>
      </c>
      <c r="C22" s="14" t="s">
        <v>94</v>
      </c>
      <c r="D22" s="14" t="s">
        <v>95</v>
      </c>
    </row>
    <row r="23" customFormat="false" ht="15" hidden="false" customHeight="true" outlineLevel="0" collapsed="false">
      <c r="A23" s="16" t="s">
        <v>96</v>
      </c>
      <c r="C23" s="10" t="n">
        <f aca="false">SUMIF(Investors!I6:I13,"Y",Investors!F6:F13)</f>
        <v>34580000</v>
      </c>
      <c r="D23" s="10" t="n">
        <f aca="false">SUMIFS(Investors!F6:F13,Investors!I6:I13,"Y",Investors!J6:J13,"N")</f>
        <v>32680000</v>
      </c>
    </row>
    <row r="24" customFormat="false" ht="15" hidden="false" customHeight="true" outlineLevel="0" collapsed="false">
      <c r="A24" s="16" t="s">
        <v>97</v>
      </c>
      <c r="C24" s="10" t="n">
        <f aca="false">C23*$C$19</f>
        <v>22477000</v>
      </c>
      <c r="D24" s="10" t="n">
        <f aca="false">D23*$C$19</f>
        <v>21242000</v>
      </c>
    </row>
    <row r="25" customFormat="false" ht="15" hidden="false" customHeight="true" outlineLevel="0" collapsed="false">
      <c r="A25" s="16" t="s">
        <v>98</v>
      </c>
      <c r="C25" s="10" t="n">
        <f aca="false">MIN($C$17,C24)-$C$18</f>
        <v>7077000</v>
      </c>
      <c r="D25" s="10" t="n">
        <f aca="false">MIN($C$17,D24)-$C$18</f>
        <v>5842000</v>
      </c>
    </row>
    <row r="26" customFormat="false" ht="15" hidden="false" customHeight="true" outlineLevel="0" collapsed="false">
      <c r="A26" s="16" t="s">
        <v>99</v>
      </c>
      <c r="C26" s="10" t="n">
        <f aca="false">$C$14</f>
        <v>6260000</v>
      </c>
      <c r="D26" s="10" t="n">
        <f aca="false">$C$14</f>
        <v>6260000</v>
      </c>
    </row>
    <row r="27" customFormat="false" ht="15" hidden="false" customHeight="true" outlineLevel="0" collapsed="false">
      <c r="A27" s="4" t="s">
        <v>100</v>
      </c>
      <c r="C27" s="12" t="n">
        <f aca="false">MAX(0,C26-C25)</f>
        <v>0</v>
      </c>
      <c r="D27" s="12" t="n">
        <f aca="false">MAX(0,D26-D25)</f>
        <v>418000</v>
      </c>
    </row>
    <row r="28" customFormat="false" ht="15" hidden="false" customHeight="true" outlineLevel="0" collapsed="false">
      <c r="A28" s="4" t="s">
        <v>101</v>
      </c>
      <c r="C28" s="15" t="str">
        <f aca="false">IF(C27=0,"YES","NO")</f>
        <v>YES</v>
      </c>
      <c r="D28" s="15" t="str">
        <f aca="false">IF(D27=0,"YES","NO")</f>
        <v>NO</v>
      </c>
    </row>
    <row r="30" customFormat="false" ht="43.5" hidden="false" customHeight="true" outlineLevel="0" collapsed="false">
      <c r="A30" s="3" t="s">
        <v>102</v>
      </c>
      <c r="B30" s="3"/>
      <c r="C30" s="3"/>
      <c r="D30" s="3"/>
      <c r="E30" s="3"/>
      <c r="F30" s="3"/>
    </row>
  </sheetData>
  <mergeCells count="3">
    <mergeCell ref="A1:F1"/>
    <mergeCell ref="A2:F2"/>
    <mergeCell ref="A30:F3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3" min="2" style="1" width="4"/>
  </cols>
  <sheetData>
    <row r="1" customFormat="false" ht="27.75" hidden="false" customHeight="true" outlineLevel="0" collapsed="false">
      <c r="A1" s="2" t="s">
        <v>103</v>
      </c>
      <c r="B1" s="2"/>
      <c r="C1" s="2"/>
    </row>
    <row r="2" customFormat="false" ht="42" hidden="false" customHeight="true" outlineLevel="0" collapsed="false">
      <c r="A2" s="3" t="s">
        <v>104</v>
      </c>
      <c r="B2" s="3"/>
      <c r="C2" s="3"/>
    </row>
    <row r="3" customFormat="false" ht="31.5" hidden="false" customHeight="true" outlineLevel="0" collapsed="false">
      <c r="A3" s="7" t="s">
        <v>105</v>
      </c>
    </row>
    <row r="4" customFormat="false" ht="15" hidden="false" customHeight="true" outlineLevel="0" collapsed="false">
      <c r="A4" s="6" t="n">
        <v>46023</v>
      </c>
    </row>
    <row r="5" customFormat="false" ht="15" hidden="false" customHeight="true" outlineLevel="0" collapsed="false">
      <c r="A5" s="6" t="n">
        <v>46041</v>
      </c>
    </row>
    <row r="6" customFormat="false" ht="15" hidden="false" customHeight="true" outlineLevel="0" collapsed="false">
      <c r="A6" s="6" t="n">
        <v>46069</v>
      </c>
    </row>
    <row r="7" customFormat="false" ht="15" hidden="false" customHeight="true" outlineLevel="0" collapsed="false">
      <c r="A7" s="6" t="n">
        <v>46167</v>
      </c>
    </row>
    <row r="8" customFormat="false" ht="15" hidden="false" customHeight="true" outlineLevel="0" collapsed="false">
      <c r="A8" s="6" t="n">
        <v>46192</v>
      </c>
    </row>
    <row r="9" customFormat="false" ht="15" hidden="false" customHeight="true" outlineLevel="0" collapsed="false">
      <c r="A9" s="6" t="n">
        <v>46206</v>
      </c>
    </row>
    <row r="10" customFormat="false" ht="15" hidden="false" customHeight="true" outlineLevel="0" collapsed="false">
      <c r="A10" s="6" t="n">
        <v>46272</v>
      </c>
    </row>
    <row r="11" customFormat="false" ht="15" hidden="false" customHeight="true" outlineLevel="0" collapsed="false">
      <c r="A11" s="6" t="n">
        <v>46307</v>
      </c>
    </row>
    <row r="12" customFormat="false" ht="15" hidden="false" customHeight="true" outlineLevel="0" collapsed="false">
      <c r="A12" s="6" t="n">
        <v>46337</v>
      </c>
    </row>
    <row r="13" customFormat="false" ht="15" hidden="false" customHeight="true" outlineLevel="0" collapsed="false">
      <c r="A13" s="6" t="n">
        <v>46352</v>
      </c>
    </row>
    <row r="14" customFormat="false" ht="15" hidden="false" customHeight="true" outlineLevel="0" collapsed="false">
      <c r="A14" s="6" t="n">
        <v>46381</v>
      </c>
    </row>
  </sheetData>
  <mergeCells count="2">
    <mergeCell ref="A1:C1"/>
    <mergeCell ref="A2:C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11"/>
    <col collapsed="false" customWidth="true" hidden="false" outlineLevel="0" max="3" min="3" style="1" width="30"/>
    <col collapsed="false" customWidth="true" hidden="false" outlineLevel="0" max="4" min="4" style="1" width="15"/>
    <col collapsed="false" customWidth="true" hidden="false" outlineLevel="0" max="5" min="5" style="1" width="13"/>
    <col collapsed="false" customWidth="true" hidden="false" outlineLevel="0" max="6" min="6" style="1" width="17"/>
    <col collapsed="false" customWidth="true" hidden="false" outlineLevel="0" max="7" min="7" style="1" width="18"/>
    <col collapsed="false" customWidth="true" hidden="false" outlineLevel="0" max="8" min="8" style="1" width="15"/>
    <col collapsed="false" customWidth="true" hidden="false" outlineLevel="0" max="9" min="9" style="1" width="8"/>
  </cols>
  <sheetData>
    <row r="1" customFormat="false" ht="27.75" hidden="false" customHeight="true" outlineLevel="0" collapsed="false">
      <c r="A1" s="2" t="s">
        <v>106</v>
      </c>
      <c r="B1" s="2"/>
      <c r="C1" s="2"/>
      <c r="D1" s="2"/>
      <c r="E1" s="2"/>
      <c r="F1" s="2"/>
      <c r="G1" s="2"/>
      <c r="H1" s="2"/>
      <c r="I1" s="2"/>
    </row>
    <row r="2" customFormat="false" ht="42" hidden="false" customHeight="true" outlineLevel="0" collapsed="false">
      <c r="A2" s="3" t="s">
        <v>107</v>
      </c>
      <c r="B2" s="3"/>
      <c r="C2" s="3"/>
      <c r="D2" s="3"/>
      <c r="E2" s="3"/>
      <c r="F2" s="3"/>
      <c r="G2" s="3"/>
      <c r="H2" s="3"/>
      <c r="I2" s="3"/>
    </row>
    <row r="4" customFormat="false" ht="31.5" hidden="false" customHeight="true" outlineLevel="0" collapsed="false">
      <c r="A4" s="7" t="s">
        <v>61</v>
      </c>
      <c r="B4" s="7" t="s">
        <v>17</v>
      </c>
      <c r="C4" s="7" t="s">
        <v>18</v>
      </c>
      <c r="D4" s="7" t="s">
        <v>108</v>
      </c>
      <c r="E4" s="7" t="s">
        <v>109</v>
      </c>
      <c r="F4" s="7" t="s">
        <v>110</v>
      </c>
      <c r="G4" s="7" t="s">
        <v>111</v>
      </c>
      <c r="H4" s="7" t="s">
        <v>112</v>
      </c>
      <c r="I4" s="7" t="s">
        <v>113</v>
      </c>
    </row>
    <row r="5" customFormat="false" ht="15" hidden="false" customHeight="true" outlineLevel="0" collapsed="false">
      <c r="A5" s="14" t="str">
        <f aca="false">Call!$B$10</f>
        <v>FII-CALL-2026-09</v>
      </c>
      <c r="B5" s="14" t="str">
        <f aca="false">Call!A13</f>
        <v>LP-201</v>
      </c>
      <c r="C5" s="14" t="str">
        <f aca="false">Call!B13</f>
        <v>Harlow State Pension Plan</v>
      </c>
      <c r="D5" s="10" t="n">
        <f aca="false">Call!M13</f>
        <v>2330907.35</v>
      </c>
      <c r="E5" s="18" t="n">
        <f aca="false">'Timing and Facility'!$C$12</f>
        <v>46288</v>
      </c>
      <c r="F5" s="10" t="n">
        <f aca="false">Call!O13</f>
        <v>9069092.65</v>
      </c>
      <c r="G5" s="14" t="str">
        <f aca="false">A5</f>
        <v>FII-CALL-2026-09</v>
      </c>
      <c r="H5" s="10" t="n">
        <f aca="false">D5</f>
        <v>2330907.35</v>
      </c>
      <c r="I5" s="14" t="str">
        <f aca="false">IF(AND(G5=A5,H5=D5),"OK","STOP")</f>
        <v>OK</v>
      </c>
    </row>
    <row r="6" customFormat="false" ht="15" hidden="false" customHeight="true" outlineLevel="0" collapsed="false">
      <c r="A6" s="14" t="str">
        <f aca="false">Call!$B$10</f>
        <v>FII-CALL-2026-09</v>
      </c>
      <c r="B6" s="14" t="str">
        <f aca="false">Call!A14</f>
        <v>LP-202</v>
      </c>
      <c r="C6" s="14" t="str">
        <f aca="false">Call!B14</f>
        <v>Meridian Mutual Insurance Co.</v>
      </c>
      <c r="D6" s="10" t="n">
        <f aca="false">Call!M14</f>
        <v>1553938.24</v>
      </c>
      <c r="E6" s="18" t="n">
        <f aca="false">'Timing and Facility'!$C$12</f>
        <v>46288</v>
      </c>
      <c r="F6" s="10" t="n">
        <f aca="false">Call!O14</f>
        <v>6046061.76</v>
      </c>
      <c r="G6" s="14" t="str">
        <f aca="false">A6</f>
        <v>FII-CALL-2026-09</v>
      </c>
      <c r="H6" s="10" t="n">
        <f aca="false">D6</f>
        <v>1553938.24</v>
      </c>
      <c r="I6" s="14" t="str">
        <f aca="false">IF(AND(G6=A6,H6=D6),"OK","STOP")</f>
        <v>OK</v>
      </c>
    </row>
    <row r="7" customFormat="false" ht="15" hidden="false" customHeight="true" outlineLevel="0" collapsed="false">
      <c r="A7" s="14" t="str">
        <f aca="false">Call!$B$10</f>
        <v>FII-CALL-2026-09</v>
      </c>
      <c r="B7" s="14" t="str">
        <f aca="false">Call!A15</f>
        <v>LP-203</v>
      </c>
      <c r="C7" s="14" t="str">
        <f aca="false">Call!B15</f>
        <v>Aster Family Office Ltd</v>
      </c>
      <c r="D7" s="10" t="n">
        <f aca="false">Call!M15</f>
        <v>932362.94</v>
      </c>
      <c r="E7" s="18" t="n">
        <f aca="false">'Timing and Facility'!$C$12</f>
        <v>46288</v>
      </c>
      <c r="F7" s="10" t="n">
        <f aca="false">Call!O15</f>
        <v>3627637.06</v>
      </c>
      <c r="G7" s="14" t="str">
        <f aca="false">A7</f>
        <v>FII-CALL-2026-09</v>
      </c>
      <c r="H7" s="10" t="n">
        <f aca="false">D7</f>
        <v>932362.94</v>
      </c>
      <c r="I7" s="14" t="str">
        <f aca="false">IF(AND(G7=A7,H7=D7),"OK","STOP")</f>
        <v>OK</v>
      </c>
    </row>
    <row r="8" customFormat="false" ht="15" hidden="false" customHeight="true" outlineLevel="0" collapsed="false">
      <c r="A8" s="14" t="str">
        <f aca="false">Call!$B$10</f>
        <v>FII-CALL-2026-09</v>
      </c>
      <c r="B8" s="14" t="str">
        <f aca="false">Call!A16</f>
        <v>LP-204</v>
      </c>
      <c r="C8" s="14" t="str">
        <f aca="false">Call!B16</f>
        <v>Calloway University Endowment</v>
      </c>
      <c r="D8" s="10" t="n">
        <f aca="false">Call!M16</f>
        <v>776969.12</v>
      </c>
      <c r="E8" s="18" t="n">
        <f aca="false">'Timing and Facility'!$C$12</f>
        <v>46288</v>
      </c>
      <c r="F8" s="10" t="n">
        <f aca="false">Call!O16</f>
        <v>3023030.88</v>
      </c>
      <c r="G8" s="14" t="str">
        <f aca="false">A8</f>
        <v>FII-CALL-2026-09</v>
      </c>
      <c r="H8" s="10" t="n">
        <f aca="false">D8</f>
        <v>776969.12</v>
      </c>
      <c r="I8" s="14" t="str">
        <f aca="false">IF(AND(G8=A8,H8=D8),"OK","STOP")</f>
        <v>OK</v>
      </c>
    </row>
    <row r="9" customFormat="false" ht="15" hidden="false" customHeight="true" outlineLevel="0" collapsed="false">
      <c r="A9" s="14" t="str">
        <f aca="false">Call!$B$10</f>
        <v>FII-CALL-2026-09</v>
      </c>
      <c r="B9" s="14" t="str">
        <f aca="false">Call!A17</f>
        <v>LP-205</v>
      </c>
      <c r="C9" s="14" t="str">
        <f aca="false">Call!B17</f>
        <v>Norrland Fund of Funds IV SCSp</v>
      </c>
      <c r="D9" s="10" t="n">
        <f aca="false">Call!M17</f>
        <v>621575.3</v>
      </c>
      <c r="E9" s="18" t="n">
        <f aca="false">'Timing and Facility'!$C$12</f>
        <v>46288</v>
      </c>
      <c r="F9" s="10" t="n">
        <f aca="false">Call!O17</f>
        <v>2418424.7</v>
      </c>
      <c r="G9" s="14" t="str">
        <f aca="false">A9</f>
        <v>FII-CALL-2026-09</v>
      </c>
      <c r="H9" s="10" t="n">
        <f aca="false">D9</f>
        <v>621575.3</v>
      </c>
      <c r="I9" s="14" t="str">
        <f aca="false">IF(AND(G9=A9,H9=D9),"OK","STOP")</f>
        <v>OK</v>
      </c>
    </row>
    <row r="10" customFormat="false" ht="15" hidden="false" customHeight="true" outlineLevel="0" collapsed="false">
      <c r="A10" s="14" t="str">
        <f aca="false">Call!$B$10</f>
        <v>FII-CALL-2026-09</v>
      </c>
      <c r="B10" s="14" t="str">
        <f aca="false">Call!A18</f>
        <v>LP-206</v>
      </c>
      <c r="C10" s="14" t="str">
        <f aca="false">Call!B18</f>
        <v>Pell Charitable Foundation</v>
      </c>
      <c r="D10" s="10" t="n">
        <f aca="false">Call!M18</f>
        <v>48940.09</v>
      </c>
      <c r="E10" s="18" t="n">
        <f aca="false">'Timing and Facility'!$C$12</f>
        <v>46288</v>
      </c>
      <c r="F10" s="10" t="n">
        <f aca="false">Call!O18</f>
        <v>2231059.91</v>
      </c>
      <c r="G10" s="14" t="str">
        <f aca="false">A10</f>
        <v>FII-CALL-2026-09</v>
      </c>
      <c r="H10" s="10" t="n">
        <f aca="false">D10</f>
        <v>48940.09</v>
      </c>
      <c r="I10" s="14" t="str">
        <f aca="false">IF(AND(G10=A10,H10=D10),"OK","STOP")</f>
        <v>OK</v>
      </c>
    </row>
    <row r="11" customFormat="false" ht="15" hidden="false" customHeight="true" outlineLevel="0" collapsed="false">
      <c r="A11" s="14" t="str">
        <f aca="false">Call!$B$10</f>
        <v>FII-CALL-2026-09</v>
      </c>
      <c r="B11" s="14" t="str">
        <f aca="false">Call!A19</f>
        <v>LP-207</v>
      </c>
      <c r="C11" s="14" t="str">
        <f aca="false">Call!B19</f>
        <v>Brightwater Holdings LLC</v>
      </c>
      <c r="D11" s="10" t="n">
        <f aca="false">Call!M19</f>
        <v>388484.56</v>
      </c>
      <c r="E11" s="18" t="n">
        <f aca="false">'Timing and Facility'!$C$12</f>
        <v>46288</v>
      </c>
      <c r="F11" s="10" t="n">
        <f aca="false">Call!O19</f>
        <v>1511515.44</v>
      </c>
      <c r="G11" s="14" t="str">
        <f aca="false">A11</f>
        <v>FII-CALL-2026-09</v>
      </c>
      <c r="H11" s="10" t="n">
        <f aca="false">D11</f>
        <v>388484.56</v>
      </c>
      <c r="I11" s="14" t="str">
        <f aca="false">IF(AND(G11=A11,H11=D11),"OK","STOP")</f>
        <v>OK</v>
      </c>
    </row>
    <row r="12" customFormat="false" ht="15" hidden="false" customHeight="true" outlineLevel="0" collapsed="false">
      <c r="A12" s="14" t="str">
        <f aca="false">Call!$B$10</f>
        <v>FII-CALL-2026-09</v>
      </c>
      <c r="B12" s="14" t="str">
        <f aca="false">Call!A20</f>
        <v>GP-200</v>
      </c>
      <c r="C12" s="14" t="str">
        <f aca="false">Call!B20</f>
        <v>Northbridge Fund II GP LP</v>
      </c>
      <c r="D12" s="10" t="n">
        <f aca="false">Call!M20</f>
        <v>146822.4</v>
      </c>
      <c r="E12" s="18" t="n">
        <f aca="false">'Timing and Facility'!$C$12</f>
        <v>46288</v>
      </c>
      <c r="F12" s="10" t="n">
        <f aca="false">Call!O20</f>
        <v>613177.6</v>
      </c>
      <c r="G12" s="14" t="str">
        <f aca="false">A12</f>
        <v>FII-CALL-2026-09</v>
      </c>
      <c r="H12" s="10" t="n">
        <f aca="false">D12</f>
        <v>146822.4</v>
      </c>
      <c r="I12" s="14" t="str">
        <f aca="false">IF(AND(G12=A12,H12=D12),"OK","STOP")</f>
        <v>OK</v>
      </c>
    </row>
    <row r="13" customFormat="false" ht="15" hidden="false" customHeight="true" outlineLevel="0" collapsed="false">
      <c r="C13" s="15" t="s">
        <v>46</v>
      </c>
      <c r="D13" s="12" t="n">
        <f aca="false">SUM(D5:D12)</f>
        <v>6800000</v>
      </c>
      <c r="F13" s="12" t="n">
        <f aca="false">SUM(F5:F12)</f>
        <v>28540000</v>
      </c>
      <c r="H13" s="12" t="n">
        <f aca="false">SUM(H5:H12)</f>
        <v>6800000</v>
      </c>
    </row>
    <row r="15" customFormat="false" ht="15" hidden="false" customHeight="true" outlineLevel="0" collapsed="false">
      <c r="C15" s="16" t="s">
        <v>114</v>
      </c>
      <c r="D15" s="19" t="n">
        <f aca="false">COUNTA(B5:B12)</f>
        <v>8</v>
      </c>
    </row>
    <row r="16" customFormat="false" ht="15" hidden="false" customHeight="true" outlineLevel="0" collapsed="false">
      <c r="C16" s="16" t="s">
        <v>115</v>
      </c>
      <c r="D16" s="19" t="n">
        <f aca="false">COUNT(H5:H12)</f>
        <v>8</v>
      </c>
    </row>
    <row r="17" customFormat="false" ht="15" hidden="false" customHeight="true" outlineLevel="0" collapsed="false">
      <c r="C17" s="16" t="s">
        <v>116</v>
      </c>
      <c r="D17" s="19" t="n">
        <f aca="false">COUNTIF(I5:I12,"STOP")</f>
        <v>0</v>
      </c>
    </row>
  </sheetData>
  <mergeCells count="2">
    <mergeCell ref="A1:I1"/>
    <mergeCell ref="A2:I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30"/>
    <col collapsed="false" customWidth="true" hidden="false" outlineLevel="0" max="3" min="3" style="1" width="16"/>
    <col collapsed="false" customWidth="true" hidden="false" outlineLevel="0" max="4" min="4" style="1" width="10"/>
    <col collapsed="false" customWidth="true" hidden="false" outlineLevel="0" max="5" min="5" style="1" width="16"/>
    <col collapsed="false" customWidth="true" hidden="false" outlineLevel="0" max="6" min="6" style="1" width="15"/>
    <col collapsed="false" customWidth="true" hidden="false" outlineLevel="0" max="8" min="7" style="1" width="17"/>
    <col collapsed="false" customWidth="true" hidden="false" outlineLevel="0" max="9" min="9" style="1" width="13"/>
    <col collapsed="false" customWidth="true" hidden="false" outlineLevel="0" max="10" min="10" style="1" width="15"/>
    <col collapsed="false" customWidth="true" hidden="false" outlineLevel="0" max="11" min="11" style="1" width="9"/>
  </cols>
  <sheetData>
    <row r="1" customFormat="false" ht="27.75" hidden="false" customHeight="true" outlineLevel="0" collapsed="false">
      <c r="A1" s="2" t="s">
        <v>117</v>
      </c>
      <c r="B1" s="2"/>
      <c r="C1" s="2"/>
      <c r="D1" s="2"/>
      <c r="E1" s="2"/>
      <c r="F1" s="2"/>
      <c r="G1" s="2"/>
      <c r="H1" s="2"/>
      <c r="I1" s="2"/>
      <c r="J1" s="2"/>
      <c r="K1" s="2"/>
    </row>
    <row r="2" customFormat="false" ht="42" hidden="false" customHeight="true" outlineLevel="0" collapsed="false">
      <c r="A2" s="3" t="s">
        <v>118</v>
      </c>
      <c r="B2" s="3"/>
      <c r="C2" s="3"/>
      <c r="D2" s="3"/>
      <c r="E2" s="3"/>
      <c r="F2" s="3"/>
      <c r="G2" s="3"/>
      <c r="H2" s="3"/>
      <c r="I2" s="3"/>
      <c r="J2" s="3"/>
      <c r="K2" s="3"/>
    </row>
    <row r="4" customFormat="false" ht="15" hidden="false" customHeight="true" outlineLevel="0" collapsed="false">
      <c r="A4" s="16" t="s">
        <v>119</v>
      </c>
      <c r="C4" s="9" t="n">
        <v>24600000</v>
      </c>
    </row>
    <row r="5" customFormat="false" ht="15" hidden="false" customHeight="true" outlineLevel="0" collapsed="false">
      <c r="A5" s="16" t="s">
        <v>120</v>
      </c>
      <c r="C5" s="9" t="n">
        <v>600000</v>
      </c>
    </row>
    <row r="6" customFormat="false" ht="15" hidden="false" customHeight="true" outlineLevel="0" collapsed="false">
      <c r="A6" s="16" t="s">
        <v>52</v>
      </c>
      <c r="C6" s="14" t="s">
        <v>121</v>
      </c>
    </row>
    <row r="8" customFormat="false" ht="31.5" hidden="false" customHeight="true" outlineLevel="0" collapsed="false">
      <c r="A8" s="7" t="s">
        <v>17</v>
      </c>
      <c r="B8" s="7" t="s">
        <v>18</v>
      </c>
      <c r="C8" s="7" t="s">
        <v>122</v>
      </c>
      <c r="D8" s="7" t="s">
        <v>123</v>
      </c>
      <c r="E8" s="7" t="s">
        <v>124</v>
      </c>
      <c r="F8" s="7" t="s">
        <v>125</v>
      </c>
      <c r="G8" s="7" t="s">
        <v>126</v>
      </c>
      <c r="H8" s="7" t="s">
        <v>127</v>
      </c>
      <c r="I8" s="7" t="s">
        <v>128</v>
      </c>
      <c r="J8" s="7" t="s">
        <v>129</v>
      </c>
      <c r="K8" s="7" t="s">
        <v>130</v>
      </c>
    </row>
    <row r="9" customFormat="false" ht="15" hidden="false" customHeight="true" outlineLevel="0" collapsed="false">
      <c r="A9" s="14" t="str">
        <f aca="false">Investors!A6</f>
        <v>LP-201</v>
      </c>
      <c r="B9" s="14" t="str">
        <f aca="false">Investors!B6</f>
        <v>Harlow State Pension Plan</v>
      </c>
      <c r="C9" s="10" t="n">
        <f aca="false">Investors!D6+Call!M13</f>
        <v>20930907.35</v>
      </c>
      <c r="D9" s="11" t="n">
        <f aca="false">C9/SUM($C$9:$C$16)</f>
        <v>0.324711562984797</v>
      </c>
      <c r="E9" s="10" t="n">
        <f aca="false">ROUND($C$4*D9,2)+IF(C9=MAX($C$9:$C$16),$C$4-SUMPRODUCT(ROUND($C$4*$D$9:$D$16,2)),0)</f>
        <v>7987904.44</v>
      </c>
      <c r="F9" s="10" t="n">
        <f aca="false">ROUND($C$5*D9,2)+IF(C9=MAX($C$9:$C$16),$C$5-SUMPRODUCT(ROUND($C$5*$D$9:$D$16,2)),0)</f>
        <v>194826.93</v>
      </c>
      <c r="G9" s="10" t="n">
        <f aca="false">Call!O13</f>
        <v>9069092.65</v>
      </c>
      <c r="H9" s="10" t="n">
        <f aca="false">Call!O13+F9</f>
        <v>9263919.58</v>
      </c>
      <c r="I9" s="10" t="n">
        <f aca="false">H9-G9</f>
        <v>194826.93</v>
      </c>
      <c r="J9" s="10" t="n">
        <f aca="false">E9</f>
        <v>7987904.44</v>
      </c>
      <c r="K9" s="14" t="str">
        <f aca="false">IF(J9=E9,"OK","STOP")</f>
        <v>OK</v>
      </c>
    </row>
    <row r="10" customFormat="false" ht="15" hidden="false" customHeight="true" outlineLevel="0" collapsed="false">
      <c r="A10" s="14" t="str">
        <f aca="false">Investors!A7</f>
        <v>LP-202</v>
      </c>
      <c r="B10" s="14" t="str">
        <f aca="false">Investors!B7</f>
        <v>Meridian Mutual Insurance Co.</v>
      </c>
      <c r="C10" s="10" t="n">
        <f aca="false">Investors!D7+Call!M14</f>
        <v>13953938.24</v>
      </c>
      <c r="D10" s="11" t="n">
        <f aca="false">C10/SUM($C$9:$C$16)</f>
        <v>0.216474375426621</v>
      </c>
      <c r="E10" s="10" t="n">
        <f aca="false">ROUND($C$4*D10,2)+IF(C10=MAX($C$9:$C$16),$C$4-SUMPRODUCT(ROUND($C$4*$D$9:$D$16,2)),0)</f>
        <v>5325269.64</v>
      </c>
      <c r="F10" s="10" t="n">
        <f aca="false">ROUND($C$5*D10,2)+IF(C10=MAX($C$9:$C$16),$C$5-SUMPRODUCT(ROUND($C$5*$D$9:$D$16,2)),0)</f>
        <v>129884.63</v>
      </c>
      <c r="G10" s="10" t="n">
        <f aca="false">Call!O14</f>
        <v>6046061.76</v>
      </c>
      <c r="H10" s="10" t="n">
        <f aca="false">Call!O14+F10</f>
        <v>6175946.39</v>
      </c>
      <c r="I10" s="10" t="n">
        <f aca="false">H10-G10</f>
        <v>129884.63</v>
      </c>
      <c r="J10" s="10" t="n">
        <f aca="false">E10</f>
        <v>5325269.64</v>
      </c>
      <c r="K10" s="14" t="str">
        <f aca="false">IF(J10=E10,"OK","STOP")</f>
        <v>OK</v>
      </c>
    </row>
    <row r="11" customFormat="false" ht="15" hidden="false" customHeight="true" outlineLevel="0" collapsed="false">
      <c r="A11" s="14" t="str">
        <f aca="false">Investors!A8</f>
        <v>LP-203</v>
      </c>
      <c r="B11" s="14" t="str">
        <f aca="false">Investors!B8</f>
        <v>Aster Family Office Ltd</v>
      </c>
      <c r="C11" s="10" t="n">
        <f aca="false">Investors!D8+Call!M15</f>
        <v>8372362.94</v>
      </c>
      <c r="D11" s="11" t="n">
        <f aca="false">C11/SUM($C$9:$C$16)</f>
        <v>0.129884625193919</v>
      </c>
      <c r="E11" s="10" t="n">
        <f aca="false">ROUND($C$4*D11,2)+IF(C11=MAX($C$9:$C$16),$C$4-SUMPRODUCT(ROUND($C$4*$D$9:$D$16,2)),0)</f>
        <v>3195161.78</v>
      </c>
      <c r="F11" s="10" t="n">
        <f aca="false">ROUND($C$5*D11,2)+IF(C11=MAX($C$9:$C$16),$C$5-SUMPRODUCT(ROUND($C$5*$D$9:$D$16,2)),0)</f>
        <v>77930.78</v>
      </c>
      <c r="G11" s="10" t="n">
        <f aca="false">Call!O15</f>
        <v>3627637.06</v>
      </c>
      <c r="H11" s="10" t="n">
        <f aca="false">Call!O15+F11</f>
        <v>3705567.84</v>
      </c>
      <c r="I11" s="10" t="n">
        <f aca="false">H11-G11</f>
        <v>77930.7799999998</v>
      </c>
      <c r="J11" s="10" t="n">
        <f aca="false">E11</f>
        <v>3195161.78</v>
      </c>
      <c r="K11" s="14" t="str">
        <f aca="false">IF(J11=E11,"OK","STOP")</f>
        <v>OK</v>
      </c>
    </row>
    <row r="12" customFormat="false" ht="15" hidden="false" customHeight="true" outlineLevel="0" collapsed="false">
      <c r="A12" s="14" t="str">
        <f aca="false">Investors!A9</f>
        <v>LP-204</v>
      </c>
      <c r="B12" s="14" t="str">
        <f aca="false">Investors!B9</f>
        <v>Calloway University Endowment</v>
      </c>
      <c r="C12" s="10" t="n">
        <f aca="false">Investors!D9+Call!M16</f>
        <v>6976969.12</v>
      </c>
      <c r="D12" s="11" t="n">
        <f aca="false">C12/SUM($C$9:$C$16)</f>
        <v>0.108237187713311</v>
      </c>
      <c r="E12" s="10" t="n">
        <f aca="false">ROUND($C$4*D12,2)+IF(C12=MAX($C$9:$C$16),$C$4-SUMPRODUCT(ROUND($C$4*$D$9:$D$16,2)),0)</f>
        <v>2662634.82</v>
      </c>
      <c r="F12" s="10" t="n">
        <f aca="false">ROUND($C$5*D12,2)+IF(C12=MAX($C$9:$C$16),$C$5-SUMPRODUCT(ROUND($C$5*$D$9:$D$16,2)),0)</f>
        <v>64942.31</v>
      </c>
      <c r="G12" s="10" t="n">
        <f aca="false">Call!O16</f>
        <v>3023030.88</v>
      </c>
      <c r="H12" s="10" t="n">
        <f aca="false">Call!O16+F12</f>
        <v>3087973.19</v>
      </c>
      <c r="I12" s="10" t="n">
        <f aca="false">H12-G12</f>
        <v>64942.3100000001</v>
      </c>
      <c r="J12" s="10" t="n">
        <f aca="false">E12</f>
        <v>2662634.82</v>
      </c>
      <c r="K12" s="14" t="str">
        <f aca="false">IF(J12=E12,"OK","STOP")</f>
        <v>OK</v>
      </c>
    </row>
    <row r="13" customFormat="false" ht="15" hidden="false" customHeight="true" outlineLevel="0" collapsed="false">
      <c r="A13" s="14" t="str">
        <f aca="false">Investors!A10</f>
        <v>LP-205</v>
      </c>
      <c r="B13" s="14" t="str">
        <f aca="false">Investors!B10</f>
        <v>Norrland Fund of Funds IV SCSp</v>
      </c>
      <c r="C13" s="10" t="n">
        <f aca="false">Investors!D10+Call!M17</f>
        <v>5581575.3</v>
      </c>
      <c r="D13" s="11" t="n">
        <f aca="false">C13/SUM($C$9:$C$16)</f>
        <v>0.0865897502327025</v>
      </c>
      <c r="E13" s="10" t="n">
        <f aca="false">ROUND($C$4*D13,2)+IF(C13=MAX($C$9:$C$16),$C$4-SUMPRODUCT(ROUND($C$4*$D$9:$D$16,2)),0)</f>
        <v>2130107.86</v>
      </c>
      <c r="F13" s="10" t="n">
        <f aca="false">ROUND($C$5*D13,2)+IF(C13=MAX($C$9:$C$16),$C$5-SUMPRODUCT(ROUND($C$5*$D$9:$D$16,2)),0)</f>
        <v>51953.85</v>
      </c>
      <c r="G13" s="10" t="n">
        <f aca="false">Call!O17</f>
        <v>2418424.7</v>
      </c>
      <c r="H13" s="10" t="n">
        <f aca="false">Call!O17+F13</f>
        <v>2470378.55</v>
      </c>
      <c r="I13" s="10" t="n">
        <f aca="false">H13-G13</f>
        <v>51953.8500000001</v>
      </c>
      <c r="J13" s="10" t="n">
        <f aca="false">E13</f>
        <v>2130107.86</v>
      </c>
      <c r="K13" s="14" t="str">
        <f aca="false">IF(J13=E13,"OK","STOP")</f>
        <v>OK</v>
      </c>
    </row>
    <row r="14" customFormat="false" ht="15" hidden="false" customHeight="true" outlineLevel="0" collapsed="false">
      <c r="A14" s="14" t="str">
        <f aca="false">Investors!A11</f>
        <v>LP-206</v>
      </c>
      <c r="B14" s="14" t="str">
        <f aca="false">Investors!B11</f>
        <v>Pell Charitable Foundation</v>
      </c>
      <c r="C14" s="10" t="n">
        <f aca="false">Investors!D11+Call!M18</f>
        <v>3768940.09</v>
      </c>
      <c r="D14" s="11" t="n">
        <f aca="false">C14/SUM($C$9:$C$16)</f>
        <v>0.0584694398076326</v>
      </c>
      <c r="E14" s="10" t="n">
        <f aca="false">ROUND($C$4*D14,2)+IF(C14=MAX($C$9:$C$16),$C$4-SUMPRODUCT(ROUND($C$4*$D$9:$D$16,2)),0)</f>
        <v>1438348.22</v>
      </c>
      <c r="F14" s="10" t="n">
        <f aca="false">ROUND($C$5*D14,2)+IF(C14=MAX($C$9:$C$16),$C$5-SUMPRODUCT(ROUND($C$5*$D$9:$D$16,2)),0)</f>
        <v>35081.66</v>
      </c>
      <c r="G14" s="10" t="n">
        <f aca="false">Call!O18</f>
        <v>2231059.91</v>
      </c>
      <c r="H14" s="10" t="n">
        <f aca="false">Call!O18+F14</f>
        <v>2266141.57</v>
      </c>
      <c r="I14" s="10" t="n">
        <f aca="false">H14-G14</f>
        <v>35081.6600000002</v>
      </c>
      <c r="J14" s="10" t="n">
        <f aca="false">E14</f>
        <v>1438348.22</v>
      </c>
      <c r="K14" s="14" t="str">
        <f aca="false">IF(J14=E14,"OK","STOP")</f>
        <v>OK</v>
      </c>
    </row>
    <row r="15" customFormat="false" ht="15" hidden="false" customHeight="true" outlineLevel="0" collapsed="false">
      <c r="A15" s="14" t="str">
        <f aca="false">Investors!A12</f>
        <v>LP-207</v>
      </c>
      <c r="B15" s="14" t="str">
        <f aca="false">Investors!B12</f>
        <v>Brightwater Holdings LLC</v>
      </c>
      <c r="C15" s="10" t="n">
        <f aca="false">Investors!D12+Call!M19</f>
        <v>3488484.56</v>
      </c>
      <c r="D15" s="11" t="n">
        <f aca="false">C15/SUM($C$9:$C$16)</f>
        <v>0.0541185938566553</v>
      </c>
      <c r="E15" s="10" t="n">
        <f aca="false">ROUND($C$4*D15,2)+IF(C15=MAX($C$9:$C$16),$C$4-SUMPRODUCT(ROUND($C$4*$D$9:$D$16,2)),0)</f>
        <v>1331317.41</v>
      </c>
      <c r="F15" s="10" t="n">
        <f aca="false">ROUND($C$5*D15,2)+IF(C15=MAX($C$9:$C$16),$C$5-SUMPRODUCT(ROUND($C$5*$D$9:$D$16,2)),0)</f>
        <v>32471.16</v>
      </c>
      <c r="G15" s="10" t="n">
        <f aca="false">Call!O19</f>
        <v>1511515.44</v>
      </c>
      <c r="H15" s="10" t="n">
        <f aca="false">Call!O19+F15</f>
        <v>1543986.6</v>
      </c>
      <c r="I15" s="10" t="n">
        <f aca="false">H15-G15</f>
        <v>32471.1599999999</v>
      </c>
      <c r="J15" s="10" t="n">
        <f aca="false">E15</f>
        <v>1331317.41</v>
      </c>
      <c r="K15" s="14" t="str">
        <f aca="false">IF(J15=E15,"OK","STOP")</f>
        <v>OK</v>
      </c>
    </row>
    <row r="16" customFormat="false" ht="15" hidden="false" customHeight="true" outlineLevel="0" collapsed="false">
      <c r="A16" s="14" t="str">
        <f aca="false">Investors!A13</f>
        <v>GP-200</v>
      </c>
      <c r="B16" s="14" t="str">
        <f aca="false">Investors!B13</f>
        <v>Northbridge Fund II GP LP</v>
      </c>
      <c r="C16" s="10" t="n">
        <f aca="false">Investors!D13+Call!M20</f>
        <v>1386822.4</v>
      </c>
      <c r="D16" s="11" t="n">
        <f aca="false">C16/SUM($C$9:$C$16)</f>
        <v>0.0215144647843624</v>
      </c>
      <c r="E16" s="10" t="n">
        <f aca="false">ROUND($C$4*D16,2)+IF(C16=MAX($C$9:$C$16),$C$4-SUMPRODUCT(ROUND($C$4*$D$9:$D$16,2)),0)</f>
        <v>529255.83</v>
      </c>
      <c r="F16" s="10" t="n">
        <f aca="false">ROUND($C$5*D16,2)+IF(C16=MAX($C$9:$C$16),$C$5-SUMPRODUCT(ROUND($C$5*$D$9:$D$16,2)),0)</f>
        <v>12908.68</v>
      </c>
      <c r="G16" s="10" t="n">
        <f aca="false">Call!O20</f>
        <v>613177.6</v>
      </c>
      <c r="H16" s="10" t="n">
        <f aca="false">Call!O20+F16</f>
        <v>626086.28</v>
      </c>
      <c r="I16" s="10" t="n">
        <f aca="false">H16-G16</f>
        <v>12908.6800000001</v>
      </c>
      <c r="J16" s="10" t="n">
        <f aca="false">E16</f>
        <v>529255.83</v>
      </c>
      <c r="K16" s="14" t="str">
        <f aca="false">IF(J16=E16,"OK","STOP")</f>
        <v>OK</v>
      </c>
    </row>
    <row r="17" customFormat="false" ht="15" hidden="false" customHeight="true" outlineLevel="0" collapsed="false">
      <c r="B17" s="15" t="s">
        <v>46</v>
      </c>
      <c r="C17" s="12" t="n">
        <f aca="false">SUM(C9:C16)</f>
        <v>64460000</v>
      </c>
      <c r="D17" s="13" t="n">
        <f aca="false">SUM(D9:D16)</f>
        <v>1</v>
      </c>
      <c r="E17" s="12" t="n">
        <f aca="false">SUM(E9:E16)</f>
        <v>24600000</v>
      </c>
      <c r="F17" s="12" t="n">
        <f aca="false">SUM(F9:F16)</f>
        <v>600000</v>
      </c>
      <c r="G17" s="12" t="n">
        <f aca="false">SUM(G9:G16)</f>
        <v>28540000</v>
      </c>
      <c r="H17" s="12" t="n">
        <f aca="false">SUM(H9:H16)</f>
        <v>29140000</v>
      </c>
      <c r="I17" s="12" t="n">
        <f aca="false">SUM(I9:I16)</f>
        <v>600000</v>
      </c>
      <c r="J17" s="12" t="n">
        <f aca="false">SUM(J9:J16)</f>
        <v>24600000</v>
      </c>
    </row>
    <row r="19" customFormat="false" ht="30" hidden="false" customHeight="true" outlineLevel="0" collapsed="false">
      <c r="A19" s="3" t="s">
        <v>131</v>
      </c>
      <c r="B19" s="3"/>
      <c r="C19" s="3"/>
      <c r="D19" s="3"/>
      <c r="E19" s="3"/>
      <c r="F19" s="3"/>
      <c r="G19" s="3"/>
      <c r="H19" s="3"/>
      <c r="I19" s="3"/>
      <c r="J19" s="3"/>
      <c r="K19" s="3"/>
    </row>
  </sheetData>
  <mergeCells count="3">
    <mergeCell ref="A1:K1"/>
    <mergeCell ref="A2:K2"/>
    <mergeCell ref="A19:K1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62"/>
    <col collapsed="false" customWidth="true" hidden="false" outlineLevel="0" max="4" min="3" style="1" width="18"/>
    <col collapsed="false" customWidth="true" hidden="false" outlineLevel="0" max="5" min="5" style="1" width="14"/>
    <col collapsed="false" customWidth="true" hidden="false" outlineLevel="0" max="7" min="6" style="1" width="11"/>
  </cols>
  <sheetData>
    <row r="1" customFormat="false" ht="27.75" hidden="false" customHeight="true" outlineLevel="0" collapsed="false">
      <c r="A1" s="2" t="s">
        <v>132</v>
      </c>
      <c r="B1" s="2"/>
      <c r="C1" s="2"/>
      <c r="D1" s="2"/>
      <c r="E1" s="2"/>
      <c r="F1" s="2"/>
      <c r="G1" s="2"/>
    </row>
    <row r="2" customFormat="false" ht="42" hidden="false" customHeight="true" outlineLevel="0" collapsed="false">
      <c r="A2" s="3" t="s">
        <v>133</v>
      </c>
      <c r="B2" s="3"/>
      <c r="C2" s="3"/>
      <c r="D2" s="3"/>
      <c r="E2" s="3"/>
      <c r="F2" s="3"/>
      <c r="G2" s="3"/>
    </row>
    <row r="4" customFormat="false" ht="31.5" hidden="false" customHeight="true" outlineLevel="0" collapsed="false">
      <c r="A4" s="7" t="s">
        <v>134</v>
      </c>
      <c r="B4" s="7" t="s">
        <v>135</v>
      </c>
      <c r="C4" s="7" t="s">
        <v>136</v>
      </c>
      <c r="D4" s="7" t="s">
        <v>137</v>
      </c>
      <c r="E4" s="7" t="s">
        <v>128</v>
      </c>
      <c r="F4" s="7" t="s">
        <v>138</v>
      </c>
      <c r="G4" s="7" t="s">
        <v>139</v>
      </c>
    </row>
    <row r="5" customFormat="false" ht="15" hidden="false" customHeight="true" outlineLevel="0" collapsed="false">
      <c r="A5" s="14" t="n">
        <v>1</v>
      </c>
      <c r="B5" s="21" t="s">
        <v>140</v>
      </c>
      <c r="C5" s="10" t="n">
        <f aca="false">Call!B9</f>
        <v>6800000</v>
      </c>
      <c r="D5" s="10" t="n">
        <v>6800000</v>
      </c>
      <c r="E5" s="10" t="n">
        <f aca="false">C5-D5</f>
        <v>0</v>
      </c>
      <c r="F5" s="22" t="n">
        <v>0.005</v>
      </c>
      <c r="G5" s="15" t="str">
        <f aca="false">IF(ABS(E5)&lt;=F5,"OK","FAIL")</f>
        <v>OK</v>
      </c>
    </row>
    <row r="6" customFormat="false" ht="15" hidden="false" customHeight="true" outlineLevel="0" collapsed="false">
      <c r="A6" s="14" t="n">
        <v>2</v>
      </c>
      <c r="B6" s="21" t="s">
        <v>141</v>
      </c>
      <c r="C6" s="10" t="n">
        <f aca="false">Call!M21</f>
        <v>6800000</v>
      </c>
      <c r="D6" s="10" t="n">
        <f aca="false">Call!B9</f>
        <v>6800000</v>
      </c>
      <c r="E6" s="10" t="n">
        <f aca="false">C6-D6</f>
        <v>0</v>
      </c>
      <c r="F6" s="22" t="n">
        <v>0.005</v>
      </c>
      <c r="G6" s="15" t="str">
        <f aca="false">IF(ABS(E6)&lt;=F6,"OK","FAIL")</f>
        <v>OK</v>
      </c>
    </row>
    <row r="7" customFormat="false" ht="15" hidden="false" customHeight="true" outlineLevel="0" collapsed="false">
      <c r="A7" s="14" t="n">
        <v>3</v>
      </c>
      <c r="B7" s="21" t="s">
        <v>142</v>
      </c>
      <c r="C7" s="10" t="n">
        <f aca="false">Call!F21</f>
        <v>6050000</v>
      </c>
      <c r="D7" s="10" t="n">
        <f aca="false">Call!B5</f>
        <v>6050000</v>
      </c>
      <c r="E7" s="10" t="n">
        <f aca="false">C7-D7</f>
        <v>0</v>
      </c>
      <c r="F7" s="22" t="n">
        <v>0.005</v>
      </c>
      <c r="G7" s="15" t="str">
        <f aca="false">IF(ABS(E7)&lt;=F7,"OK","FAIL")</f>
        <v>OK</v>
      </c>
    </row>
    <row r="8" customFormat="false" ht="15" hidden="false" customHeight="true" outlineLevel="0" collapsed="false">
      <c r="A8" s="14" t="n">
        <v>4</v>
      </c>
      <c r="B8" s="21" t="s">
        <v>143</v>
      </c>
      <c r="C8" s="10" t="n">
        <f aca="false">Call!H21</f>
        <v>390000</v>
      </c>
      <c r="D8" s="10" t="n">
        <f aca="false">Call!B7</f>
        <v>390000</v>
      </c>
      <c r="E8" s="10" t="n">
        <f aca="false">C8-D8</f>
        <v>0</v>
      </c>
      <c r="F8" s="22" t="n">
        <v>0.005</v>
      </c>
      <c r="G8" s="15" t="str">
        <f aca="false">IF(ABS(E8)&lt;=F8,"OK","FAIL")</f>
        <v>OK</v>
      </c>
    </row>
    <row r="9" customFormat="false" ht="15" hidden="false" customHeight="true" outlineLevel="0" collapsed="false">
      <c r="A9" s="14" t="n">
        <v>5</v>
      </c>
      <c r="B9" s="21" t="s">
        <v>144</v>
      </c>
      <c r="C9" s="10" t="n">
        <f aca="false">SUMIF(Investors!H6:H13,"Y",Call!F13:F20)</f>
        <v>0</v>
      </c>
      <c r="D9" s="10" t="n">
        <v>0</v>
      </c>
      <c r="E9" s="10" t="n">
        <f aca="false">C9-D9</f>
        <v>0</v>
      </c>
      <c r="F9" s="22" t="n">
        <v>0.005</v>
      </c>
      <c r="G9" s="15" t="str">
        <f aca="false">IF(ABS(E9)&lt;=F9,"OK","FAIL")</f>
        <v>OK</v>
      </c>
    </row>
    <row r="10" customFormat="false" ht="15" hidden="false" customHeight="true" outlineLevel="0" collapsed="false">
      <c r="A10" s="14" t="n">
        <v>6</v>
      </c>
      <c r="B10" s="21" t="s">
        <v>145</v>
      </c>
      <c r="C10" s="19" t="n">
        <f aca="false">COUNTIF(Call!P13:P20,"EXCEEDS")</f>
        <v>0</v>
      </c>
      <c r="D10" s="19" t="n">
        <v>0</v>
      </c>
      <c r="E10" s="19" t="n">
        <f aca="false">C10-D10</f>
        <v>0</v>
      </c>
      <c r="F10" s="22" t="n">
        <v>0.005</v>
      </c>
      <c r="G10" s="15" t="str">
        <f aca="false">IF(ABS(E10)&lt;=F10,"OK","FAIL")</f>
        <v>OK</v>
      </c>
    </row>
    <row r="11" customFormat="false" ht="15" hidden="false" customHeight="true" outlineLevel="0" collapsed="false">
      <c r="A11" s="14" t="n">
        <v>7</v>
      </c>
      <c r="B11" s="21" t="s">
        <v>146</v>
      </c>
      <c r="C11" s="10" t="n">
        <f aca="false">Call!J21</f>
        <v>6800000</v>
      </c>
      <c r="D11" s="10" t="n">
        <f aca="false">Call!M21</f>
        <v>6800000</v>
      </c>
      <c r="E11" s="10" t="n">
        <f aca="false">C11-D11</f>
        <v>0</v>
      </c>
      <c r="F11" s="22" t="n">
        <v>0.005</v>
      </c>
      <c r="G11" s="15" t="str">
        <f aca="false">IF(ABS(E11)&lt;=F11,"OK","FAIL")</f>
        <v>OK</v>
      </c>
    </row>
    <row r="12" customFormat="false" ht="15" hidden="false" customHeight="true" outlineLevel="0" collapsed="false">
      <c r="A12" s="14" t="n">
        <v>8</v>
      </c>
      <c r="B12" s="21" t="s">
        <v>147</v>
      </c>
      <c r="C12" s="10" t="n">
        <f aca="false">Call!O21</f>
        <v>28540000</v>
      </c>
      <c r="D12" s="10" t="n">
        <f aca="false">Investors!F14-Call!B9</f>
        <v>28540000</v>
      </c>
      <c r="E12" s="10" t="n">
        <f aca="false">C12-D12</f>
        <v>0</v>
      </c>
      <c r="F12" s="22" t="n">
        <v>0.005</v>
      </c>
      <c r="G12" s="15" t="str">
        <f aca="false">IF(ABS(E12)&lt;=F12,"OK","FAIL")</f>
        <v>OK</v>
      </c>
    </row>
    <row r="13" customFormat="false" ht="15" hidden="false" customHeight="true" outlineLevel="0" collapsed="false">
      <c r="A13" s="14" t="n">
        <v>9</v>
      </c>
      <c r="B13" s="21" t="s">
        <v>148</v>
      </c>
      <c r="C13" s="10" t="n">
        <f aca="false">'Notices and Bank File'!D13</f>
        <v>6800000</v>
      </c>
      <c r="D13" s="10" t="n">
        <f aca="false">Call!M21</f>
        <v>6800000</v>
      </c>
      <c r="E13" s="10" t="n">
        <f aca="false">C13-D13</f>
        <v>0</v>
      </c>
      <c r="F13" s="22" t="n">
        <v>0.005</v>
      </c>
      <c r="G13" s="15" t="str">
        <f aca="false">IF(ABS(E13)&lt;=F13,"OK","FAIL")</f>
        <v>OK</v>
      </c>
    </row>
    <row r="14" customFormat="false" ht="15" hidden="false" customHeight="true" outlineLevel="0" collapsed="false">
      <c r="A14" s="14" t="n">
        <v>10</v>
      </c>
      <c r="B14" s="21" t="s">
        <v>149</v>
      </c>
      <c r="C14" s="10" t="n">
        <f aca="false">'Notices and Bank File'!H13</f>
        <v>6800000</v>
      </c>
      <c r="D14" s="10" t="n">
        <f aca="false">'Notices and Bank File'!D13</f>
        <v>6800000</v>
      </c>
      <c r="E14" s="10" t="n">
        <f aca="false">C14-D14</f>
        <v>0</v>
      </c>
      <c r="F14" s="22" t="n">
        <v>0.005</v>
      </c>
      <c r="G14" s="15" t="str">
        <f aca="false">IF(ABS(E14)&lt;=F14,"OK","FAIL")</f>
        <v>OK</v>
      </c>
    </row>
    <row r="15" customFormat="false" ht="15" hidden="false" customHeight="true" outlineLevel="0" collapsed="false">
      <c r="A15" s="14" t="n">
        <v>11</v>
      </c>
      <c r="B15" s="21" t="s">
        <v>150</v>
      </c>
      <c r="C15" s="19" t="n">
        <f aca="false">'Notices and Bank File'!D16</f>
        <v>8</v>
      </c>
      <c r="D15" s="19" t="n">
        <f aca="false">'Notices and Bank File'!D15</f>
        <v>8</v>
      </c>
      <c r="E15" s="19" t="n">
        <f aca="false">C15-D15</f>
        <v>0</v>
      </c>
      <c r="F15" s="22" t="n">
        <v>0.005</v>
      </c>
      <c r="G15" s="15" t="str">
        <f aca="false">IF(ABS(E15)&lt;=F15,"OK","FAIL")</f>
        <v>OK</v>
      </c>
    </row>
    <row r="16" customFormat="false" ht="15" hidden="false" customHeight="true" outlineLevel="0" collapsed="false">
      <c r="A16" s="14" t="n">
        <v>12</v>
      </c>
      <c r="B16" s="21" t="s">
        <v>151</v>
      </c>
      <c r="C16" s="19" t="n">
        <f aca="false">'Notices and Bank File'!D17</f>
        <v>0</v>
      </c>
      <c r="D16" s="19" t="n">
        <v>0</v>
      </c>
      <c r="E16" s="19" t="n">
        <f aca="false">C16-D16</f>
        <v>0</v>
      </c>
      <c r="F16" s="22" t="n">
        <v>0.005</v>
      </c>
      <c r="G16" s="15" t="str">
        <f aca="false">IF(ABS(E16)&lt;=F16,"OK","FAIL")</f>
        <v>OK</v>
      </c>
    </row>
    <row r="17" customFormat="false" ht="15" hidden="false" customHeight="true" outlineLevel="0" collapsed="false">
      <c r="A17" s="14" t="n">
        <v>13</v>
      </c>
      <c r="B17" s="21" t="s">
        <v>152</v>
      </c>
      <c r="C17" s="19" t="n">
        <f aca="false">NETWORKDAYS('Timing and Facility'!C11,'Timing and Facility'!C12,Holidays!A4:A14)-1</f>
        <v>10</v>
      </c>
      <c r="D17" s="19" t="n">
        <v>10</v>
      </c>
      <c r="E17" s="19" t="n">
        <f aca="false">C17-D17</f>
        <v>0</v>
      </c>
      <c r="F17" s="22" t="n">
        <v>0.005</v>
      </c>
      <c r="G17" s="15" t="str">
        <f aca="false">IF(ABS(E17)&lt;=F17,"OK","FAIL")</f>
        <v>OK</v>
      </c>
    </row>
    <row r="18" customFormat="false" ht="15" hidden="false" customHeight="true" outlineLevel="0" collapsed="false">
      <c r="A18" s="14" t="n">
        <v>14</v>
      </c>
      <c r="B18" s="21" t="s">
        <v>153</v>
      </c>
      <c r="C18" s="10" t="n">
        <f aca="false">'Timing and Facility'!C24-'Timing and Facility'!D24</f>
        <v>1235000</v>
      </c>
      <c r="D18" s="10" t="n">
        <f aca="false">SUMIFS(Investors!F6:F13,Investors!J6:J13,"Y",Investors!I6:I13,"Y")*'Timing and Facility'!C19</f>
        <v>1235000</v>
      </c>
      <c r="E18" s="10" t="n">
        <f aca="false">C18-D18</f>
        <v>0</v>
      </c>
      <c r="F18" s="22" t="n">
        <v>0.005</v>
      </c>
      <c r="G18" s="15" t="str">
        <f aca="false">IF(ABS(E18)&lt;=F18,"OK","FAIL")</f>
        <v>OK</v>
      </c>
    </row>
    <row r="19" customFormat="false" ht="15" hidden="false" customHeight="true" outlineLevel="0" collapsed="false">
      <c r="A19" s="14" t="n">
        <v>15</v>
      </c>
      <c r="B19" s="21" t="s">
        <v>154</v>
      </c>
      <c r="C19" s="10" t="n">
        <f aca="false">Distribution!E17</f>
        <v>24600000</v>
      </c>
      <c r="D19" s="10" t="n">
        <v>24600000</v>
      </c>
      <c r="E19" s="10" t="n">
        <f aca="false">C19-D19</f>
        <v>0</v>
      </c>
      <c r="F19" s="22" t="n">
        <v>0.005</v>
      </c>
      <c r="G19" s="15" t="str">
        <f aca="false">IF(ABS(E19)&lt;=F19,"OK","FAIL")</f>
        <v>OK</v>
      </c>
    </row>
    <row r="20" customFormat="false" ht="15" hidden="false" customHeight="true" outlineLevel="0" collapsed="false">
      <c r="A20" s="14" t="n">
        <v>16</v>
      </c>
      <c r="B20" s="21" t="s">
        <v>155</v>
      </c>
      <c r="C20" s="10" t="n">
        <f aca="false">Distribution!F17</f>
        <v>600000</v>
      </c>
      <c r="D20" s="10" t="n">
        <v>600000</v>
      </c>
      <c r="E20" s="10" t="n">
        <f aca="false">C20-D20</f>
        <v>0</v>
      </c>
      <c r="F20" s="22" t="n">
        <v>0.005</v>
      </c>
      <c r="G20" s="15" t="str">
        <f aca="false">IF(ABS(E20)&lt;=F20,"OK","FAIL")</f>
        <v>OK</v>
      </c>
    </row>
    <row r="21" customFormat="false" ht="15" hidden="false" customHeight="true" outlineLevel="0" collapsed="false">
      <c r="A21" s="14" t="n">
        <v>17</v>
      </c>
      <c r="B21" s="21" t="s">
        <v>156</v>
      </c>
      <c r="C21" s="19" t="n">
        <f aca="false">COUNTIF(Distribution!K9:K16,"OK")</f>
        <v>8</v>
      </c>
      <c r="D21" s="19" t="n">
        <v>8</v>
      </c>
      <c r="E21" s="19" t="n">
        <f aca="false">C21-D21</f>
        <v>0</v>
      </c>
      <c r="F21" s="22" t="n">
        <v>0.005</v>
      </c>
      <c r="G21" s="15" t="str">
        <f aca="false">IF(ABS(E21)&lt;=F21,"OK","FAIL")</f>
        <v>OK</v>
      </c>
    </row>
    <row r="22" customFormat="false" ht="15" hidden="false" customHeight="true" outlineLevel="0" collapsed="false">
      <c r="A22" s="14" t="n">
        <v>18</v>
      </c>
      <c r="B22" s="21" t="s">
        <v>157</v>
      </c>
      <c r="C22" s="10" t="n">
        <f aca="false">Distribution!H17-Distribution!G17</f>
        <v>600000</v>
      </c>
      <c r="D22" s="10" t="n">
        <f aca="false">Distribution!C5</f>
        <v>600000</v>
      </c>
      <c r="E22" s="10" t="n">
        <f aca="false">C22-D22</f>
        <v>0</v>
      </c>
      <c r="F22" s="22" t="n">
        <v>0.005</v>
      </c>
      <c r="G22" s="15" t="str">
        <f aca="false">IF(ABS(E22)&lt;=F22,"OK","FAIL")</f>
        <v>OK</v>
      </c>
    </row>
    <row r="23" customFormat="false" ht="15" hidden="false" customHeight="false" outlineLevel="0" collapsed="false">
      <c r="A23" s="14" t="n">
        <v>19</v>
      </c>
      <c r="B23" s="21" t="s">
        <v>158</v>
      </c>
      <c r="C23" s="10" t="n">
        <f aca="false">'Timing and Facility'!C25</f>
        <v>7077000</v>
      </c>
      <c r="D23" s="10" t="n">
        <v>7077000</v>
      </c>
      <c r="E23" s="10" t="n">
        <f aca="false">C23-D23</f>
        <v>0</v>
      </c>
      <c r="F23" s="22" t="n">
        <v>0.005</v>
      </c>
      <c r="G23" s="15" t="str">
        <f aca="false">IF(ABS(E23)&lt;=F23,"OK","FAIL")</f>
        <v>OK</v>
      </c>
    </row>
    <row r="24" customFormat="false" ht="15" hidden="false" customHeight="true" outlineLevel="0" collapsed="false">
      <c r="A24" s="14" t="n">
        <v>20</v>
      </c>
      <c r="B24" s="21" t="s">
        <v>159</v>
      </c>
      <c r="C24" s="10" t="n">
        <f aca="false">'Timing and Facility'!D25</f>
        <v>5842000</v>
      </c>
      <c r="D24" s="10" t="n">
        <v>5842000</v>
      </c>
      <c r="E24" s="10" t="n">
        <f aca="false">C24-D24</f>
        <v>0</v>
      </c>
      <c r="F24" s="22" t="n">
        <v>0.005</v>
      </c>
      <c r="G24" s="15" t="str">
        <f aca="false">IF(ABS(E24)&lt;=F24,"OK","FAIL")</f>
        <v>OK</v>
      </c>
    </row>
    <row r="25" customFormat="false" ht="15" hidden="false" customHeight="true" outlineLevel="0" collapsed="false">
      <c r="A25" s="14" t="n">
        <v>21</v>
      </c>
      <c r="B25" s="21" t="s">
        <v>160</v>
      </c>
      <c r="C25" s="10" t="n">
        <f aca="false">'Timing and Facility'!D27</f>
        <v>418000</v>
      </c>
      <c r="D25" s="10" t="n">
        <f aca="false">('Timing and Facility'!C24-'Timing and Facility'!D24)-('Timing and Facility'!C25-'Timing and Facility'!C14)</f>
        <v>418000</v>
      </c>
      <c r="E25" s="10" t="n">
        <f aca="false">C25-D25</f>
        <v>0</v>
      </c>
      <c r="F25" s="22" t="n">
        <v>0.005</v>
      </c>
      <c r="G25" s="15" t="str">
        <f aca="false">IF(ABS(E25)&lt;=F25,"OK","FAIL")</f>
        <v>OK</v>
      </c>
    </row>
    <row r="26" customFormat="false" ht="15" hidden="false" customHeight="true" outlineLevel="0" collapsed="false">
      <c r="A26" s="14" t="n">
        <v>22</v>
      </c>
      <c r="B26" s="21" t="s">
        <v>161</v>
      </c>
      <c r="C26" s="10" t="n">
        <f aca="false">Call!M18</f>
        <v>48940.09</v>
      </c>
      <c r="D26" s="10" t="n">
        <f aca="false">Call!B6*Investors!C11/Investors!C14+Call!B8*Investors!C11/Investors!C14+Call!B7*Investors!C11/SUMIF(Investors!G6:G13,"Y",Investors!C6:C13)</f>
        <v>48940.0921658986</v>
      </c>
      <c r="E26" s="10" t="n">
        <f aca="false">C26-D26</f>
        <v>-0.00216589862247929</v>
      </c>
      <c r="F26" s="22" t="n">
        <v>0.01</v>
      </c>
      <c r="G26" s="15" t="str">
        <f aca="false">IF(ABS(E26)&lt;=F26,"OK","FAIL")</f>
        <v>OK</v>
      </c>
    </row>
    <row r="27" customFormat="false" ht="15" hidden="false" customHeight="false" outlineLevel="0" collapsed="false">
      <c r="A27" s="14" t="n">
        <v>23</v>
      </c>
      <c r="B27" s="21" t="s">
        <v>162</v>
      </c>
      <c r="C27" s="10" t="n">
        <f aca="false">NETWORKDAYS('Timing and Facility'!C12,'Timing and Facility'!C12,Holidays!A4:A14)</f>
        <v>1</v>
      </c>
      <c r="D27" s="10" t="n">
        <v>1</v>
      </c>
      <c r="E27" s="10" t="n">
        <f aca="false">C27-D27</f>
        <v>0</v>
      </c>
      <c r="F27" s="22" t="n">
        <v>0.005</v>
      </c>
      <c r="G27" s="15" t="str">
        <f aca="false">IF(ABS(E27)&lt;=F27,"OK","FAIL")</f>
        <v>OK</v>
      </c>
    </row>
    <row r="28" customFormat="false" ht="15" hidden="false" customHeight="false" outlineLevel="0" collapsed="false">
      <c r="A28" s="14" t="n">
        <v>24</v>
      </c>
      <c r="B28" s="21" t="s">
        <v>163</v>
      </c>
      <c r="C28" s="10" t="n">
        <f aca="false">SUMPRODUCT(ABS(Distribution!F9:F16-Distribution!E9:E16*Distribution!C5/Distribution!C4))</f>
        <v>0.0287804878498719</v>
      </c>
      <c r="D28" s="10" t="n">
        <v>0</v>
      </c>
      <c r="E28" s="10" t="n">
        <f aca="false">C28-D28</f>
        <v>0.0287804878498719</v>
      </c>
      <c r="F28" s="22" t="n">
        <v>0.1</v>
      </c>
      <c r="G28" s="15" t="str">
        <f aca="false">IF(ABS(E28)&lt;=F28,"OK","FAIL")</f>
        <v>OK</v>
      </c>
    </row>
    <row r="29" customFormat="false" ht="15" hidden="false" customHeight="false" outlineLevel="0" collapsed="false">
      <c r="A29" s="14" t="n">
        <v>25</v>
      </c>
      <c r="B29" s="21" t="s">
        <v>164</v>
      </c>
      <c r="C29" s="10" t="n">
        <f aca="false">Distribution!H17</f>
        <v>29140000</v>
      </c>
      <c r="D29" s="10" t="n">
        <f aca="false">Investors!F14-Call!B9+Distribution!C5</f>
        <v>29140000</v>
      </c>
      <c r="E29" s="10" t="n">
        <f aca="false">C29-D29</f>
        <v>0</v>
      </c>
      <c r="F29" s="22" t="n">
        <v>0.005</v>
      </c>
      <c r="G29" s="15" t="str">
        <f aca="false">IF(ABS(E29)&lt;=F29,"OK","FAIL")</f>
        <v>OK</v>
      </c>
    </row>
    <row r="31" customFormat="false" ht="15" hidden="false" customHeight="false" outlineLevel="0" collapsed="false">
      <c r="B31" s="23" t="s">
        <v>165</v>
      </c>
      <c r="C31" s="24" t="n">
        <f aca="false">COUNTIF(G5:G29,"OK")</f>
        <v>25</v>
      </c>
    </row>
    <row r="32" customFormat="false" ht="15" hidden="false" customHeight="false" outlineLevel="0" collapsed="false">
      <c r="B32" s="23" t="s">
        <v>166</v>
      </c>
      <c r="C32" s="24" t="n">
        <f aca="false">COUNTIF(G5:G29,"FAIL")</f>
        <v>0</v>
      </c>
    </row>
    <row r="33" customFormat="false" ht="15" hidden="false" customHeight="false" outlineLevel="0" collapsed="false">
      <c r="B33" s="23" t="s">
        <v>167</v>
      </c>
      <c r="C33" s="24" t="str">
        <f aca="false">IF(C32=0,"ALL CHECKS OK","REVIEW")</f>
        <v>ALL CHECKS OK</v>
      </c>
    </row>
  </sheetData>
  <mergeCells count="2">
    <mergeCell ref="A1:G1"/>
    <mergeCell ref="A2:G2"/>
  </mergeCells>
  <conditionalFormatting sqref="G5:G22">
    <cfRule type="cellIs" priority="2" operator="equal" aboveAverage="0" equalAverage="0" bottom="0" percent="0" rank="0" text="" dxfId="0">
      <formula>"FAIL"</formula>
    </cfRule>
    <cfRule type="cellIs" priority="3" operator="equal" aboveAverage="0" equalAverage="0" bottom="0" percent="0" rank="0" text="" dxfId="1">
      <formula>"OK"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2026-09-19T21:40:39Z</dcterms:created>
  <dc:creator>openpyxl</dc:creator>
  <dc:description/>
  <dc:language>en-US</dc:language>
  <cp:lastModifiedBy/>
  <dcterms:modified xsi:type="dcterms:W3CDTF">2026-09-24T00:46:33Z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