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Cost Your Own Part" sheetId="2" state="visible" r:id="rId4"/>
    <sheet name="Sensitivities, the data" sheetId="3" state="visible" r:id="rId5"/>
    <sheet name="Sensitivities, the judgments" sheetId="4" state="visible" r:id="rId6"/>
    <sheet name="Case B" sheetId="5" state="visible" r:id="rId7"/>
    <sheet name="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<sst xmlns="http://schemas.openxmlformats.org/spreadsheetml/2006/main" count="728" uniqueCount="521">
  <si>
    <t xml:space="preserve">Cost Accounting -- Workbook 4 of 4</t>
  </si>
  <si>
    <t xml:space="preserve">Cost Your Own Part: the calculator, the sensitivities and Case B</t>
  </si>
  <si>
    <t xml:space="preserve">Julian R. Sterling. Companion files: julianrsterling.com/costing</t>
  </si>
  <si>
    <t xml:space="preserve">THE FRONT SHEET IS YOURS. IT IS MEANT TO BE OVERTYPED.</t>
  </si>
  <si>
    <t xml:space="preserve">The Cost Your Own Part sheet does not cost Calderbrook Engineering's aerospace bracket. It</t>
  </si>
  <si>
    <t xml:space="preserve">costs YOUR part, in YOUR factory. Type in your own overhead pool split into up to five</t>
  </si>
  <si>
    <t xml:space="preserve">activities with a driver count for each, your own total direct labor hours, and then one</t>
  </si>
  <si>
    <t xml:space="preserve">part: its material, its labor hours, its machine hours, the setups and orders and engineering</t>
  </si>
  <si>
    <t xml:space="preserve">changes and inspections it consumes in a year, its annual volume and its price.</t>
  </si>
  <si>
    <t xml:space="preserve">It returns, as live formulas: the cost the labor-hour base gives that part, the cost its own</t>
  </si>
  <si>
    <t xml:space="preserve">drivers give it, the gap between them in money and in per cent, the margin on each, the cost</t>
  </si>
  <si>
    <t xml:space="preserve">that would actually stop being spent if you stopped making it, what one order of it costs on</t>
  </si>
  <si>
    <t xml:space="preserve">both bases, both break-even order quantities, and a plain verdict line.</t>
  </si>
  <si>
    <t xml:space="preserve">It ships PRE-FILLED WITH THE BOOK'S OWN EXAMPLE -- Calderbrook's aerospace bracket, the part</t>
  </si>
  <si>
    <t xml:space="preserve">that reports 17.3 per cent and loses 25.5 -- so that the file opens showing a worked example</t>
  </si>
  <si>
    <t xml:space="preserve">and the Checks sheet can prove the arithmetic reproduces the book before you change anything.</t>
  </si>
  <si>
    <t xml:space="preserve">EVERY PRE-FILLED FIGURE ON THAT SHEET IS THE BOOK'S AND IS MEANT TO BE OVERTYPED.</t>
  </si>
  <si>
    <t xml:space="preserve">Once you do, the Checks rows that read off that sheet will fail. That is the workbook working,</t>
  </si>
  <si>
    <t xml:space="preserve">not breaking: the checks test the book's example, and you have replaced it with your own.</t>
  </si>
  <si>
    <t xml:space="preserve">Every other sheet reproduces the book on Calderbrook's figures</t>
  </si>
  <si>
    <t xml:space="preserve">Sensitivities, the data      all six one-input tables, and the input whose span is exactly nought</t>
  </si>
  <si>
    <t xml:space="preserve">Sensitivities, the judgments the three assumptions the book actually rests on</t>
  </si>
  <si>
    <t xml:space="preserve">Case B                       the year revenue grew 10.3 per cent and operating profit fell</t>
  </si>
  <si>
    <t xml:space="preserve">Checks                       every figure the book prints within this workbook's scope</t>
  </si>
  <si>
    <t xml:space="preserve">Those three sheets run off their own input block, headed 'Calderbrook's factory, as the book</t>
  </si>
  <si>
    <t xml:space="preserve">costs it', at the top of Sensitivities, the data. That block is the book's factory and it is</t>
  </si>
  <si>
    <t xml:space="preserve">deliberately separate from the front sheet, which is yours. Change one and the other stands.</t>
  </si>
  <si>
    <t xml:space="preserve">The idea the whole series carries</t>
  </si>
  <si>
    <t xml:space="preserve">A driver rate is an AVERAGE OF A LARGELY FIXED CAPACITY COST. So every decision is taken</t>
  </si>
  <si>
    <t xml:space="preserve">twice. FULL DRIVER COST ANSWERS THE ANNUAL QUESTION: over a year, does this part carry the</t>
  </si>
  <si>
    <t xml:space="preserve">cost of the capacity it occupies? AVOIDABLE COST ANSWERS THE CASH QUESTION: next week, with</t>
  </si>
  <si>
    <t xml:space="preserve">the building already paid for, does this order bring in more than it consumes? The front sheet</t>
  </si>
  <si>
    <t xml:space="preserve">prints both, because a factory that refuses work on the full-cost test while it has idle</t>
  </si>
  <si>
    <t xml:space="preserve">capacity has destroyed money, and a factory that prices a year on the avoidable test has given</t>
  </si>
  <si>
    <t xml:space="preserve">the building away.</t>
  </si>
  <si>
    <t xml:space="preserve">What the sensitivity sheets are for</t>
  </si>
  <si>
    <t xml:space="preserve">The six DATA tables move one measured input at a time and report the cross-subsidy. The widest</t>
  </si>
  <si>
    <t xml:space="preserve">of them moves it by 2,431,855 and the narrowest by nought. The input with a span of exactly</t>
  </si>
  <si>
    <t xml:space="preserve">nought is the direct labor rate, which is the line every negotiation in a factory is about.</t>
  </si>
  <si>
    <t xml:space="preserve">The three JUDGMENT tables move an assumption instead, and each moves a DECISION further than</t>
  </si>
  <si>
    <t xml:space="preserve">any of the six data inputs moves the cross-subsidy. None of the three moves the cross-subsidy</t>
  </si>
  <si>
    <t xml:space="preserve">at all, because none of them is an input to the cost tables. THE COST TABLES ARE ROBUST AND</t>
  </si>
  <si>
    <t xml:space="preserve">THE DECISIONS ARE NOT, and a sensitivity chapter that stresses the counts and leaves the</t>
  </si>
  <si>
    <t xml:space="preserve">judgments fixed has tested the part of the model least likely to be wrong.</t>
  </si>
  <si>
    <t xml:space="preserve">Conventions</t>
  </si>
  <si>
    <t xml:space="preserve">Blue text is an input. Change it and everything recomputes.</t>
  </si>
  <si>
    <t xml:space="preserve">A yellow fill marks an assumption that DECIDES the answer rather than merely feeding it.</t>
  </si>
  <si>
    <t xml:space="preserve">Black text is a formula. Do not overtype it.</t>
  </si>
  <si>
    <t xml:space="preserve">Green text on the Checks sheet is a link to a computed cell.</t>
  </si>
  <si>
    <t xml:space="preserve">The one thing that never changes</t>
  </si>
  <si>
    <t xml:space="preserve">NOTHING HERE CREATES OR DESTROYS A DOLLAR OF OVERHEAD. The labor-hour method and the driver</t>
  </si>
  <si>
    <t xml:space="preserve">method distribute the same pool. Where a sensitivity table scales one pool, the other four</t>
  </si>
  <si>
    <t xml:space="preserve">absorb the difference so the TOTAL is unchanged, which is what isolates the MIX of the</t>
  </si>
  <si>
    <t xml:space="preserve">overhead from its SIZE. The one table that does change the size says so in its title.</t>
  </si>
  <si>
    <t xml:space="preserve">There are no macros, no external links, no protection and no circular references. The largest</t>
  </si>
  <si>
    <t xml:space="preserve">price rise a family can carry is solved in CLOSED FORM and the algebra is printed beside it.</t>
  </si>
  <si>
    <t xml:space="preserve">The file behaves identically in Excel, LibreOffice and Google Sheets.</t>
  </si>
  <si>
    <t xml:space="preserve">Cost your own part</t>
  </si>
  <si>
    <t xml:space="preserve">Type your own factory and your own part into the blue cells. Everything else on this sheet is a formula.</t>
  </si>
  <si>
    <t xml:space="preserve">THE BLUE CELLS ARRIVE HOLDING THE BOOK'S OWN EXAMPLE: Calderbrook Engineering's aerospace bracket, the part that reports 17.3 per cent of margin and loses 25.5. Every pre-filled figure on this sheet is the book's and is meant to be overtyped with yours. Nothing on this sheet is specific to Calderbrook except the numbers in blue.</t>
  </si>
  <si>
    <t xml:space="preserve">YOUR FACTORY: the overhead pool, split into up to five activities</t>
  </si>
  <si>
    <t xml:space="preserve">Activity name</t>
  </si>
  <si>
    <t xml:space="preserve">Cost for the year</t>
  </si>
  <si>
    <t xml:space="preserve">Driver count, the WHOLE factory</t>
  </si>
  <si>
    <t xml:space="preserve">Rate a driver unit</t>
  </si>
  <si>
    <t xml:space="preserve">Activity 1</t>
  </si>
  <si>
    <t xml:space="preserve">Setup and changeover</t>
  </si>
  <si>
    <t xml:space="preserve">The first two activities drive the BATCH block lower down: activity 1 is charged per setup and activity 2 per production order.</t>
  </si>
  <si>
    <t xml:space="preserve">Activity 2</t>
  </si>
  <si>
    <t xml:space="preserve">Order handling and scheduling</t>
  </si>
  <si>
    <t xml:space="preserve">Activity 3</t>
  </si>
  <si>
    <t xml:space="preserve">Machine running</t>
  </si>
  <si>
    <t xml:space="preserve">Pre-filled as machine hours, which is why its count below is a formula rather than a typed number</t>
  </si>
  <si>
    <t xml:space="preserve">Activity 4</t>
  </si>
  <si>
    <t xml:space="preserve">Engineering and change notes</t>
  </si>
  <si>
    <t xml:space="preserve">Activity 5</t>
  </si>
  <si>
    <t xml:space="preserve">Quality and inspection</t>
  </si>
  <si>
    <t xml:space="preserve">TOTAL OVERHEAD POOL</t>
  </si>
  <si>
    <t xml:space="preserve">Fewer than five activities? Leave the cost and the count of the spare rows at nought and they drop out of every figure below. More than five? Group the smallest into the closest fit rather than splitting a rate you cannot count the driver for. A pool you cannot count the driver of is not an activity, it is a guess with a name on it.</t>
  </si>
  <si>
    <t xml:space="preserve">YOUR FACTORY: the base you absorb on today</t>
  </si>
  <si>
    <t xml:space="preserve">Total direct labor hours, the whole factory</t>
  </si>
  <si>
    <t xml:space="preserve">The denominator of the rate you quote on today. This is the number the whole book is an argument about.</t>
  </si>
  <si>
    <t xml:space="preserve">Direct labor rate an hour, fully loaded</t>
  </si>
  <si>
    <t xml:space="preserve">Wages, on-costs and the employer's contributions. It is the most negotiated line in a factory and it moves the cross-subsidy by exactly nought: see the next sheet.</t>
  </si>
  <si>
    <t xml:space="preserve">ABSORPTION RATE ON DIRECT LABOR HOURS</t>
  </si>
  <si>
    <t xml:space="preserve">The whole pool over the whole labor hours. One pool, one rate, one base.</t>
  </si>
  <si>
    <t xml:space="preserve">Target gross margin the board underwrites</t>
  </si>
  <si>
    <t xml:space="preserve">Used only for the target price near the bottom of this sheet</t>
  </si>
  <si>
    <t xml:space="preserve">YOUR PART</t>
  </si>
  <si>
    <t xml:space="preserve">Part name</t>
  </si>
  <si>
    <t xml:space="preserve">Aerospace bracket</t>
  </si>
  <si>
    <t xml:space="preserve">Annual volume, units</t>
  </si>
  <si>
    <t xml:space="preserve">Everything on this sheet is a year of this part</t>
  </si>
  <si>
    <t xml:space="preserve">Price a unit</t>
  </si>
  <si>
    <t xml:space="preserve">Direct material a unit</t>
  </si>
  <si>
    <t xml:space="preserve">Direct labor hours a unit</t>
  </si>
  <si>
    <t xml:space="preserve">This one number decides the whole of the absorbed cost's overhead</t>
  </si>
  <si>
    <t xml:space="preserve">Machine hours a unit</t>
  </si>
  <si>
    <t xml:space="preserve">WHAT YOUR PART CONSUMES OF EACH DRIVER IN A YEAR</t>
  </si>
  <si>
    <t xml:space="preserve">Count for the year</t>
  </si>
  <si>
    <t xml:space="preserve">Overhead it therefore carries</t>
  </si>
  <si>
    <t xml:space="preserve">A unit</t>
  </si>
  <si>
    <t xml:space="preserve">Setups. Not setups a batch: setups a YEAR.</t>
  </si>
  <si>
    <t xml:space="preserve">Production orders released for this part in a year</t>
  </si>
  <si>
    <t xml:space="preserve">Machine hours: annual volume times machine hours a unit, so it moves when either does</t>
  </si>
  <si>
    <t xml:space="preserve">Engineering changes. On a mature part this is nought; on a part still being argued about it is not.</t>
  </si>
  <si>
    <t xml:space="preserve">Inspection events</t>
  </si>
  <si>
    <t xml:space="preserve">DRIVER OVERHEAD THIS PART CARRIES</t>
  </si>
  <si>
    <t xml:space="preserve">This is the whole argument in one block. The labor-hour base charges this part for 1.540 hours of a 152,940-hour factory. Its own drivers charge it for 1,690 of 3,900 setups, 690 of 980 engineering changes and 8,720 of 16,660 inspections. Those are not the same claim on the building and they are not the same size.</t>
  </si>
  <si>
    <t xml:space="preserve">WHAT YOUR PART COSTS, THREE WAYS</t>
  </si>
  <si>
    <t xml:space="preserve">The year</t>
  </si>
  <si>
    <t xml:space="preserve">Direct material</t>
  </si>
  <si>
    <t xml:space="preserve">Direct labor</t>
  </si>
  <si>
    <t xml:space="preserve">Overhead ABSORBED on labor hours</t>
  </si>
  <si>
    <t xml:space="preserve">ABSORBED UNIT COST -- what your reports show</t>
  </si>
  <si>
    <t xml:space="preserve">Overhead on ITS OWN DRIVERS</t>
  </si>
  <si>
    <t xml:space="preserve">DRIVER UNIT COST -- what it actually costs</t>
  </si>
  <si>
    <t xml:space="preserve">THE GAP</t>
  </si>
  <si>
    <t xml:space="preserve">Positive: the labor-hour base is UNDER-costing this part. Negative: it is OVER-costing it.</t>
  </si>
  <si>
    <t xml:space="preserve">THE GAP, per cent of the absorbed cost</t>
  </si>
  <si>
    <t xml:space="preserve">Margin a unit, on the absorbed cost</t>
  </si>
  <si>
    <t xml:space="preserve">MARGIN PER CENT, on the absorbed cost</t>
  </si>
  <si>
    <t xml:space="preserve">What the reporting pack says about this part</t>
  </si>
  <si>
    <t xml:space="preserve">Margin a unit, on the driver cost</t>
  </si>
  <si>
    <t xml:space="preserve">MARGIN PER CENT, on the driver cost</t>
  </si>
  <si>
    <t xml:space="preserve">What the part actually earns</t>
  </si>
  <si>
    <t xml:space="preserve">Price this part needs for your target margin</t>
  </si>
  <si>
    <t xml:space="preserve">Change from today's price</t>
  </si>
  <si>
    <t xml:space="preserve">WHAT WOULD ACTUALLY STOP BEING SPENT: the avoidable cost</t>
  </si>
  <si>
    <t xml:space="preserve">A driver rate is an AVERAGE OF A LARGELY FIXED CAPACITY COST. Nine hundred dollars a setup is the annual cost of the setup function divided by the setups it performed. It is not nine hundred dollars of cash that disappears when you cancel one changeover. Type, activity by activity, the share that would genuinely stop being spent if this part stopped being made.</t>
  </si>
  <si>
    <t xml:space="preserve">A SINGLE FLAT SHARE ACROSS ALL FIVE IS INDEFENSIBLE. Changeovers stop almost entirely; the building does not. Power and consumables stop; depreciation does not. These five cells are yellow because they decide the make-or-buy answer outright, and because a company must measure its own rather than borrow the book's.</t>
  </si>
  <si>
    <t xml:space="preserve">Share that leaves</t>
  </si>
  <si>
    <t xml:space="preserve">Avoidable overhead, the year</t>
  </si>
  <si>
    <t xml:space="preserve">Stop making the part and its changeovers stop almost entirely</t>
  </si>
  <si>
    <t xml:space="preserve">Most of the planning goes; the planning system and its manager do not</t>
  </si>
  <si>
    <t xml:space="preserve">Power and consumables go. Depreciation and the building stay.</t>
  </si>
  <si>
    <t xml:space="preserve">The engineers stay. This is the pool a flat share gets most wrong.</t>
  </si>
  <si>
    <t xml:space="preserve">Inspectors go with the volume; the quality system and its accreditation do not</t>
  </si>
  <si>
    <t xml:space="preserve">AVOIDABLE OVERHEAD</t>
  </si>
  <si>
    <t xml:space="preserve">AVOIDABLE UNIT COST</t>
  </si>
  <si>
    <t xml:space="preserve">What one year of this part genuinely costs you in cash, given a factory you have already paid for</t>
  </si>
  <si>
    <t xml:space="preserve">Avoidable share of the part's own overhead</t>
  </si>
  <si>
    <t xml:space="preserve">OVERHEAD THAT WOULD STAY BEHIND, a year</t>
  </si>
  <si>
    <t xml:space="preserve">Margin a unit on the avoidable cost</t>
  </si>
  <si>
    <t xml:space="preserve">Read the three costs together. The ABSORBED cost is what the reports show and it is nobody's answer to anything. The DRIVER cost answers the ANNUAL question: does this part carry the capacity it occupies? The AVOIDABLE cost answers the CASH question: is there money in the order in front of me? Where they disagree, the horizon decides, and both get printed.</t>
  </si>
  <si>
    <t xml:space="preserve">THE BATCH: what one order costs, and the quantity that carries it</t>
  </si>
  <si>
    <t xml:space="preserve">Activity 1 is charged per setup and activity 2 per production order, so this block assumes those two are your batch-level activities. If they are not, read the two break-evens as the cost of whatever activity 1 and activity 2 actually are.</t>
  </si>
  <si>
    <t xml:space="preserve">Setups an order</t>
  </si>
  <si>
    <t xml:space="preserve">Cost of ONE ORDER, full rates</t>
  </si>
  <si>
    <t xml:space="preserve">One setup's worth of the setup pool plus one order's worth of the order pool, before a single unit is made</t>
  </si>
  <si>
    <t xml:space="preserve">Cost of ONE ORDER, avoidable rates</t>
  </si>
  <si>
    <t xml:space="preserve">The same order, charged only with what would genuinely stop being spent</t>
  </si>
  <si>
    <t xml:space="preserve">Average order quantity</t>
  </si>
  <si>
    <t xml:space="preserve">Unit cost excluding the batch charge, full</t>
  </si>
  <si>
    <t xml:space="preserve">Contribution a unit, full</t>
  </si>
  <si>
    <t xml:space="preserve">BREAK-EVEN ORDER QUANTITY, FULL COST</t>
  </si>
  <si>
    <t xml:space="preserve">THE ANNUAL QUESTION: below this quantity, this family's order pattern does not carry the cost of starting it over a year</t>
  </si>
  <si>
    <t xml:space="preserve">Unit cost excluding the batch charge, avoidable</t>
  </si>
  <si>
    <t xml:space="preserve">Contribution a unit, avoidable</t>
  </si>
  <si>
    <t xml:space="preserve">BREAK-EVEN ORDER QUANTITY, AVOIDABLE</t>
  </si>
  <si>
    <t xml:space="preserve">THE CASH QUESTION: above this quantity, the order in front of you generates cash whatever the annual answer is</t>
  </si>
  <si>
    <t xml:space="preserve">Margin on the average order, full cost</t>
  </si>
  <si>
    <t xml:space="preserve">The two break-evens are usually far apart and they are both right. Refuse an order on the FULL-cost test while the machine stands idle and you have destroyed money, not saved it. Price a year of work on the AVOIDABLE test and you have given the building away. The full-cost gap is an order-quantity problem or a price problem; it is almost never a reason to refuse the order that is actually in front of you.</t>
  </si>
  <si>
    <t xml:space="preserve">Which measured input actually moves the answer</t>
  </si>
  <si>
    <t xml:space="preserve">Each table moves ONE input and reports the cross-subsidy: the money the wrong allocation base moves between families.</t>
  </si>
  <si>
    <t xml:space="preserve">Calderbrook's factory, as the book costs it</t>
  </si>
  <si>
    <t xml:space="preserve">This block is the input to every table on this sheet, to the judgment sheet and to Case B. It is the BOOK's factory and it is deliberately separate from the front sheet, which is yours. Change one and the other stands.</t>
  </si>
  <si>
    <t xml:space="preserve">Standard bushings</t>
  </si>
  <si>
    <t xml:space="preserve">Hydraulic fittings</t>
  </si>
  <si>
    <t xml:space="preserve">Valve bodies</t>
  </si>
  <si>
    <t xml:space="preserve">Aerospace brackets</t>
  </si>
  <si>
    <t xml:space="preserve">Total</t>
  </si>
  <si>
    <t xml:space="preserve">Setups a year</t>
  </si>
  <si>
    <t xml:space="preserve">Production orders a year</t>
  </si>
  <si>
    <t xml:space="preserve">Engineering changes a year</t>
  </si>
  <si>
    <t xml:space="preserve">Inspection events a year</t>
  </si>
  <si>
    <t xml:space="preserve">The pool and the accounts</t>
  </si>
  <si>
    <t xml:space="preserve">Selling, general and administrative, the year</t>
  </si>
  <si>
    <t xml:space="preserve">Totals and base-case costs, computed. Nothing here is typed.</t>
  </si>
  <si>
    <t xml:space="preserve">Direct labor hours</t>
  </si>
  <si>
    <t xml:space="preserve">Machine hours</t>
  </si>
  <si>
    <t xml:space="preserve">Setups</t>
  </si>
  <si>
    <t xml:space="preserve">Production orders</t>
  </si>
  <si>
    <t xml:space="preserve">Engineering changes</t>
  </si>
  <si>
    <t xml:space="preserve">Revenue</t>
  </si>
  <si>
    <t xml:space="preserve">Direct material cost</t>
  </si>
  <si>
    <t xml:space="preserve">The base-case rates</t>
  </si>
  <si>
    <t xml:space="preserve">Setup and changeover, a setup</t>
  </si>
  <si>
    <t xml:space="preserve">Order handling, a production order</t>
  </si>
  <si>
    <t xml:space="preserve">Machine running, a machine hour</t>
  </si>
  <si>
    <t xml:space="preserve">Engineering, an engineering change</t>
  </si>
  <si>
    <t xml:space="preserve">Quality, an inspection event</t>
  </si>
  <si>
    <t xml:space="preserve">ABSORPTION RATE, a direct labor hour</t>
  </si>
  <si>
    <t xml:space="preserve">Setup overhead, the family</t>
  </si>
  <si>
    <t xml:space="preserve">Order overhead, the family</t>
  </si>
  <si>
    <t xml:space="preserve">Machine overhead, the family</t>
  </si>
  <si>
    <t xml:space="preserve">Engineering overhead, the family</t>
  </si>
  <si>
    <t xml:space="preserve">Quality overhead, the family</t>
  </si>
  <si>
    <t xml:space="preserve">Driver overhead, the family</t>
  </si>
  <si>
    <t xml:space="preserve">Driver overhead a unit</t>
  </si>
  <si>
    <t xml:space="preserve">DRIVER UNIT COST</t>
  </si>
  <si>
    <t xml:space="preserve">Overhead absorbed a unit</t>
  </si>
  <si>
    <t xml:space="preserve">ABSORBED UNIT COST</t>
  </si>
  <si>
    <t xml:space="preserve">Margin now, the family</t>
  </si>
  <si>
    <t xml:space="preserve">1. Share of overhead driven by setups</t>
  </si>
  <si>
    <t xml:space="preserve">The setup pool scaled, the other four absorbing the difference so the TOTAL overhead is unchanged</t>
  </si>
  <si>
    <t xml:space="preserve">Input</t>
  </si>
  <si>
    <t xml:space="preserve">Cross-subsidy</t>
  </si>
  <si>
    <t xml:space="preserve">Share of operating profit</t>
  </si>
  <si>
    <t xml:space="preserve">Worst-shifted family</t>
  </si>
  <si>
    <t xml:space="preserve">Its shift</t>
  </si>
  <si>
    <t xml:space="preserve">Operating profit</t>
  </si>
  <si>
    <t xml:space="preserve">Span of this table</t>
  </si>
  <si>
    <t xml:space="preserve">2. Share of overhead driven by machine time</t>
  </si>
  <si>
    <t xml:space="preserve">The machine pool scaled, the other four absorbing the difference. The widest of the three mix tables.</t>
  </si>
  <si>
    <t xml:space="preserve">3. Share of overhead driven by engineering changes</t>
  </si>
  <si>
    <t xml:space="preserve">The engineering pool scaled, the other four absorbing the difference</t>
  </si>
  <si>
    <t xml:space="preserve">4. Direct labor rate an hour</t>
  </si>
  <si>
    <t xml:space="preserve">The rate itself, not a scaling. The pools are untouched.</t>
  </si>
  <si>
    <t xml:space="preserve">A SPAN OF EXACTLY NOUGHT, AND IT IS A FINDING RATHER THAN A DEFECT.</t>
  </si>
  <si>
    <t xml:space="preserve">The direct labor rate does not move the cross-subsidy AT ALL. Not slightly: at all, to the dollar, across a range from 24.00 to 42.00 an hour. It cannot, because it does not affect how the overhead is DISTRIBUTED between families -- only how large the labor line is inside every one of them. The absorption rate is the pool over the HOURS, and the hours do not change when the price of an hour does.</t>
  </si>
  <si>
    <t xml:space="preserve">IT IS ALSO THE LINE EVERY NEGOTIATION IN A FACTORY IS ABOUT. The rate is bargained over annually, quoted in every business case, and defended to two decimal places. It moves the reported cost of every part and it moves the answer to the question this book is about by nothing. Note what the table's fourth column does move: the SHARE OF OPERATING PROFIT, from 48.1 to 71.5 per cent, because a higher labor rate leaves less profit for the same subsidy to be a share of.</t>
  </si>
  <si>
    <t xml:space="preserve">5. Total overhead</t>
  </si>
  <si>
    <t xml:space="preserve">THE ONE TABLE THAT CHANGES THE SIZE OF THE POOL rather than its mix. All five pools scale together.</t>
  </si>
  <si>
    <t xml:space="preserve">6. Volume of the smallest family</t>
  </si>
  <si>
    <t xml:space="preserve">Aerospace brackets' volume scaled, its driver counts held: more units off the same setups and the same engineering changes</t>
  </si>
  <si>
    <t xml:space="preserve">The six inputs ranked by span</t>
  </si>
  <si>
    <t xml:space="preserve">Span is the widest the cross-subsidy gets across a table less the narrowest. It is a crude measure and it is the right one here: it says how much of the finding rests on the input.</t>
  </si>
  <si>
    <t xml:space="preserve">Span</t>
  </si>
  <si>
    <t xml:space="preserve">As a share of the base-case cross-subsidy</t>
  </si>
  <si>
    <t xml:space="preserve">Total overhead</t>
  </si>
  <si>
    <t xml:space="preserve">Volume of the smallest family</t>
  </si>
  <si>
    <t xml:space="preserve">Share of overhead driven by machine time</t>
  </si>
  <si>
    <t xml:space="preserve">Share of overhead driven by engineering changes</t>
  </si>
  <si>
    <t xml:space="preserve">Share of overhead driven by setups</t>
  </si>
  <si>
    <t xml:space="preserve">Direct labor rate an hour</t>
  </si>
  <si>
    <t xml:space="preserve">The base-case cross-subsidy is 4,053,091. The widest single input moves it by 2,431,855, which is 60 per cent of itself -- and that input is the SIZE of the overhead pool, which is measured in the accounts and not estimated. The three MIX inputs, which are the ones a reader might reasonably dispute, move it by 1,378,399, 444,868 and 269,192. THE FINDING SURVIVES ALL OF THEM. There is no value in any of these six tables at which the cross-subsidy stops being large.</t>
  </si>
  <si>
    <t xml:space="preserve">That is the case for the cost tables and it is a strong one. The next sheet makes the case against the DECISIONS, which is weaker, and says so.</t>
  </si>
  <si>
    <t xml:space="preserve">The working, laid out so that you can follow every table above</t>
  </si>
  <si>
    <t xml:space="preserve">One row per scenario. Each row rebuilds the whole factory at that input, costs all four families both ways, and reports the money the wrong base moves. Nothing is hidden and nothing iterates.</t>
  </si>
  <si>
    <t xml:space="preserve">Table</t>
  </si>
  <si>
    <t xml:space="preserve">Setup pool</t>
  </si>
  <si>
    <t xml:space="preserve">Order pool</t>
  </si>
  <si>
    <t xml:space="preserve">Machine pool</t>
  </si>
  <si>
    <t xml:space="preserve">Engineering pool</t>
  </si>
  <si>
    <t xml:space="preserve">Quality pool</t>
  </si>
  <si>
    <t xml:space="preserve">TOTAL POOL</t>
  </si>
  <si>
    <t xml:space="preserve">Labor rate</t>
  </si>
  <si>
    <t xml:space="preserve">Smallest family volume</t>
  </si>
  <si>
    <t xml:space="preserve">Total labor hours</t>
  </si>
  <si>
    <t xml:space="preserve">Total machine hours</t>
  </si>
  <si>
    <t xml:space="preserve">Absorption rate</t>
  </si>
  <si>
    <t xml:space="preserve">Setup rate</t>
  </si>
  <si>
    <t xml:space="preserve">Order rate</t>
  </si>
  <si>
    <t xml:space="preserve">Machine rate</t>
  </si>
  <si>
    <t xml:space="preserve">Engineering rate</t>
  </si>
  <si>
    <t xml:space="preserve">Quality rate</t>
  </si>
  <si>
    <t xml:space="preserve">Standard bushings absorbed</t>
  </si>
  <si>
    <t xml:space="preserve">Standard bushings driver overhead</t>
  </si>
  <si>
    <t xml:space="preserve">Standard bushings driver</t>
  </si>
  <si>
    <t xml:space="preserve">Standard bushings margin shift</t>
  </si>
  <si>
    <t xml:space="preserve">Standard bushings unit shift %</t>
  </si>
  <si>
    <t xml:space="preserve">Hydraulic fittings absorbed</t>
  </si>
  <si>
    <t xml:space="preserve">Hydraulic fittings driver overhead</t>
  </si>
  <si>
    <t xml:space="preserve">Hydraulic fittings driver</t>
  </si>
  <si>
    <t xml:space="preserve">Hydraulic fittings margin shift</t>
  </si>
  <si>
    <t xml:space="preserve">Hydraulic fittings unit shift %</t>
  </si>
  <si>
    <t xml:space="preserve">Valve bodies absorbed</t>
  </si>
  <si>
    <t xml:space="preserve">Valve bodies driver overhead</t>
  </si>
  <si>
    <t xml:space="preserve">Valve bodies driver</t>
  </si>
  <si>
    <t xml:space="preserve">Valve bodies margin shift</t>
  </si>
  <si>
    <t xml:space="preserve">Valve bodies unit shift %</t>
  </si>
  <si>
    <t xml:space="preserve">Aerospace brackets absorbed</t>
  </si>
  <si>
    <t xml:space="preserve">Aerospace brackets driver overhead</t>
  </si>
  <si>
    <t xml:space="preserve">Aerospace brackets driver</t>
  </si>
  <si>
    <t xml:space="preserve">Aerospace brackets margin shift</t>
  </si>
  <si>
    <t xml:space="preserve">Aerospace brackets unit shift %</t>
  </si>
  <si>
    <t xml:space="preserve">CROSS-SUBSIDY</t>
  </si>
  <si>
    <t xml:space="preserve">Largest absolute shift</t>
  </si>
  <si>
    <t xml:space="preserve">The three judgments, which outrank every input on the previous sheet</t>
  </si>
  <si>
    <t xml:space="preserve">None of these is an input to the cost tables, so none of them moves the cross-subsidy. Each moves a DECISION, and each moves it further.</t>
  </si>
  <si>
    <t xml:space="preserve">A sensitivity chapter that stresses the counts and leaves the judgments fixed has tested the part of the model LEAST likely to be wrong. The driver counts come out of a scheduling system and a quality log; they are as good as any number in the building. The three below come out of somebody's head.</t>
  </si>
  <si>
    <t xml:space="preserve">1. How much overhead is avoidable on outsourcing</t>
  </si>
  <si>
    <t xml:space="preserve">The book's five shares -- 90, 70, 35, 10 and 50 per cent -- are scaled about the reference share below, so a scenario of 0.30 means an overall avoidable share of about thirty per cent with the same relative pattern between the pools. A share above one is capped at one: no pool can shed more than it costs.</t>
  </si>
  <si>
    <t xml:space="preserve">The five shares are read from the front sheet, so overtyping them there re-runs this table on your own factory.</t>
  </si>
  <si>
    <t xml:space="preserve">Reference share the five book shares are scaled about</t>
  </si>
  <si>
    <t xml:space="preserve">Outside quote, Standard bushings</t>
  </si>
  <si>
    <t xml:space="preserve">Outside quote, Valve bodies</t>
  </si>
  <si>
    <t xml:space="preserve">Outside quote, Aerospace brackets</t>
  </si>
  <si>
    <t xml:space="preserve">Avoidable share assumed</t>
  </si>
  <si>
    <t xml:space="preserve">Cost of taking all three quotes</t>
  </si>
  <si>
    <t xml:space="preserve">Decisions</t>
  </si>
  <si>
    <t xml:space="preserve">Setup share</t>
  </si>
  <si>
    <t xml:space="preserve">Order share</t>
  </si>
  <si>
    <t xml:space="preserve">Machine share</t>
  </si>
  <si>
    <t xml:space="preserve">Engineering share</t>
  </si>
  <si>
    <t xml:space="preserve">Quality share</t>
  </si>
  <si>
    <t xml:space="preserve">Avoidable cost, bushings</t>
  </si>
  <si>
    <t xml:space="preserve">Avoidable cost, valve bodies</t>
  </si>
  <si>
    <t xml:space="preserve">Avoidable cost, brackets</t>
  </si>
  <si>
    <t xml:space="preserve">A span of 4,147,573, which is larger than the base-case cross-subsidy itself and fifteen times the narrowest of the six data tables. AND THE DECISIONS THEMSELVES CHANGE: at 0.30 and 0.40 the answer is make all three; at 0.50 and above it is make the bushings and buy the other two. One assumption, unmeasured, flips two of three sourcing decisions.</t>
  </si>
  <si>
    <t xml:space="preserve">This is what a company should measure first and almost never does. It is measurable: take a family out for a quarter and watch what actually stops being spent, pool by pool. Until it is measured, print the range and not the point.</t>
  </si>
  <si>
    <t xml:space="preserve">2. Batch elasticity in Case B</t>
  </si>
  <si>
    <t xml:space="preserve">Batch drivers grow more slowly than volume: more volume arrives partly as LARGER orders rather than proportionately more of them. At an elasticity of 1.00 they grow exactly with volume; at 0.50 they grow with its square root.</t>
  </si>
  <si>
    <t xml:space="preserve">THE SIGN OF CASE B'S FINDING TURNS ON THIS NUMBER, and the chapter must say so.</t>
  </si>
  <si>
    <t xml:space="preserve">Batch elasticity</t>
  </si>
  <si>
    <t xml:space="preserve">Change in operating profit</t>
  </si>
  <si>
    <t xml:space="preserve">What it says</t>
  </si>
  <si>
    <t xml:space="preserve">A span of 1,741,645, AND THE SIGN FLIPS AT ABOUT 0.65, which is well inside the plausible range. At 0.50 the same growth adds 499,004 to operating profit; at 0.78 it takes 431,133 away. Case B's headline -- revenue grew and profit fell -- is TRUE AT THE BOOK'S ASSUMPTION AND FALSE AT AN ASSUMPTION NOBODY COULD CALL UNREASONABLE.</t>
  </si>
  <si>
    <t xml:space="preserve">What survives at every value is the mechanism: overhead grows with the drivers and not with revenue, so a mix shift toward driver-hungry parts costs more than the reports show. What does not survive is the sign, and a chapter that printed only the sign would have mis-sold a finding.</t>
  </si>
  <si>
    <t xml:space="preserve">3. Price elasticity of volume</t>
  </si>
  <si>
    <t xml:space="preserve">Raise a price by p and lose elasticity times p of the volume. Run on the valve body, on the DRIVER cost, with the surviving units recosted: lose units off the end of existing runs and the setups, orders, engineering changes and inspections do not go with them.</t>
  </si>
  <si>
    <t xml:space="preserve">SOLVED IN CLOSED FORM. Writing k for the cost that genuinely falls with the units and F for the family's fixed batch and product overhead, profit at rise p is V(1-ep)(P(1+p)-k) - F. Setting that equal to today's margin and cancelling gives p* = (P - e(P-k)) / (eP). No iteration and no circular reference.</t>
  </si>
  <si>
    <t xml:space="preserve">Price elasticity</t>
  </si>
  <si>
    <t xml:space="preserve">Largest valve-body price rise that still pays</t>
  </si>
  <si>
    <t xml:space="preserve">Units kept</t>
  </si>
  <si>
    <t xml:space="preserve">Units lost</t>
  </si>
  <si>
    <t xml:space="preserve">Cost that falls with the units (k)</t>
  </si>
  <si>
    <t xml:space="preserve">Contribution above k</t>
  </si>
  <si>
    <t xml:space="preserve">From 79.8 per cent down to 4.8: seventy-five percentage points of tolerance turning on one unmeasured number. At an elasticity of 0.80 the valve body could carry almost any correction the cost table asks for. At 2.00 it can carry almost none, and the 14.4 per cent the price correction wants is out of reach.</t>
  </si>
  <si>
    <t xml:space="preserve">The book uses 1.35 and says plainly that it is an assumption and the first one a reader should replace with their own measurement. An elasticity is measurable from a company's own price history in a way none of the other two judgments is.</t>
  </si>
  <si>
    <t xml:space="preserve">Why none of the three moves the cross-subsidy</t>
  </si>
  <si>
    <t xml:space="preserve">NONE OF THESE THREE IS AN INPUT TO THE COST TABLES. The cross-subsidy is the difference between two ways of distributing one pool of overhead. It is computed from the pool, the driver counts, the volumes, the prices and the materials, and from nothing else. An avoidable share is a statement about what happens NEXT; a batch elasticity is a statement about how a FUTURE year's orders arrive; an elasticity of volume is a statement about how customers RESPOND. None of them can change what this year's overhead cost or who consumed it.</t>
  </si>
  <si>
    <t xml:space="preserve">So the cross-subsidy is 4,053,091 at every row of every table on this sheet. Set all five avoidable shares to nought and it is 4,053,091. Set them to one and it is 4,053,091.</t>
  </si>
  <si>
    <t xml:space="preserve">THE COST TABLES ARE ROBUST AND THE DECISIONS ARE NOT. That is the honest summary of two sheets of sensitivity work, and it is the opposite of the way a sensitivity appendix is usually written. The measurement is sound; what you do about it depends on three numbers nobody in the building has measured. Measure the avoidable shares first: it has the widest span, it flips actual decisions, and unlike the other two it can be measured by doing the thing and watching.</t>
  </si>
  <si>
    <t xml:space="preserve">The working for table 2, laid out so that you can follow it</t>
  </si>
  <si>
    <t xml:space="preserve">One row per elasticity. Volumes after growth come from the Case B sheet and do not move with the elasticity; only the driver counts do. Counts are rounded to whole numbers, half to even, which is what the book does.</t>
  </si>
  <si>
    <t xml:space="preserve">Elasticity</t>
  </si>
  <si>
    <t xml:space="preserve">Standard bushings batch factor</t>
  </si>
  <si>
    <t xml:space="preserve">Hydraulic fittings batch factor</t>
  </si>
  <si>
    <t xml:space="preserve">Valve bodies batch factor</t>
  </si>
  <si>
    <t xml:space="preserve">Aerospace brackets batch factor</t>
  </si>
  <si>
    <t xml:space="preserve">Standard bushings setups</t>
  </si>
  <si>
    <t xml:space="preserve">Hydraulic fittings setups</t>
  </si>
  <si>
    <t xml:space="preserve">Valve bodies setups</t>
  </si>
  <si>
    <t xml:space="preserve">Aerospace brackets setups</t>
  </si>
  <si>
    <t xml:space="preserve">Standard bushings orders</t>
  </si>
  <si>
    <t xml:space="preserve">Hydraulic fittings orders</t>
  </si>
  <si>
    <t xml:space="preserve">Valve bodies orders</t>
  </si>
  <si>
    <t xml:space="preserve">Aerospace brackets orders</t>
  </si>
  <si>
    <t xml:space="preserve">Standard bushings changes</t>
  </si>
  <si>
    <t xml:space="preserve">Hydraulic fittings changes</t>
  </si>
  <si>
    <t xml:space="preserve">Valve bodies changes</t>
  </si>
  <si>
    <t xml:space="preserve">Aerospace brackets changes</t>
  </si>
  <si>
    <t xml:space="preserve">Standard bushings inspections</t>
  </si>
  <si>
    <t xml:space="preserve">Hydraulic fittings inspections</t>
  </si>
  <si>
    <t xml:space="preserve">Valve bodies inspections</t>
  </si>
  <si>
    <t xml:space="preserve">Aerospace brackets inspections</t>
  </si>
  <si>
    <t xml:space="preserve">Setups total</t>
  </si>
  <si>
    <t xml:space="preserve">Orders total</t>
  </si>
  <si>
    <t xml:space="preserve">Changes total</t>
  </si>
  <si>
    <t xml:space="preserve">Inspections total</t>
  </si>
  <si>
    <t xml:space="preserve">Setup pool after</t>
  </si>
  <si>
    <t xml:space="preserve">Order pool after</t>
  </si>
  <si>
    <t xml:space="preserve">Machine pool after</t>
  </si>
  <si>
    <t xml:space="preserve">Engineering pool after</t>
  </si>
  <si>
    <t xml:space="preserve">Quality pool after</t>
  </si>
  <si>
    <t xml:space="preserve">TOTAL OVERHEAD AFTER</t>
  </si>
  <si>
    <t xml:space="preserve">Revenue after</t>
  </si>
  <si>
    <t xml:space="preserve">Material after</t>
  </si>
  <si>
    <t xml:space="preserve">Direct labor after</t>
  </si>
  <si>
    <t xml:space="preserve">Operating profit after</t>
  </si>
  <si>
    <t xml:space="preserve">Operating profit before</t>
  </si>
  <si>
    <t xml:space="preserve">CHANGE IN OPERATING PROFIT</t>
  </si>
  <si>
    <t xml:space="preserve">Case B: the year revenue grew and profit fell</t>
  </si>
  <si>
    <t xml:space="preserve">Sales chase volume where the ABSORBED margin looks fattest, which is the low-volume complex end, because the absorbed number under-costs it.</t>
  </si>
  <si>
    <t xml:space="preserve">The assumption that does the work</t>
  </si>
  <si>
    <t xml:space="preserve">Batch drivers grow more slowly than volume, because more volume arrives partly as larger orders rather than proportionately more of them. THE SIGN OF THIS CHAPTER'S FINDING TURNS ON THIS NUMBER: it flips at about 0.65, and 0.65 is inside the plausible range. See table 2 on the judgments sheet.</t>
  </si>
  <si>
    <t xml:space="preserve">THE OVERHEAD IS MADE TO FOLLOW ITS DRIVERS HERE, AND IT MUST: more setups cost more money, more engineering changes cost more money. Holding overhead fixed while volume grows would make growth free, which is the same mistake The Spiral's fixed-overhead assumption makes in the opposite direction. The two chapters are not inconsistent: over the horizon in which a quotation is lost, overhead does not fall; over the horizon in which a mix shift is delivered, it does rise.</t>
  </si>
  <si>
    <t xml:space="preserve">What happened to volume, and to the driver counts</t>
  </si>
  <si>
    <t xml:space="preserve">Volume change</t>
  </si>
  <si>
    <t xml:space="preserve">Volume before</t>
  </si>
  <si>
    <t xml:space="preserve">Volume before, carried for the scale below</t>
  </si>
  <si>
    <t xml:space="preserve">Volume after</t>
  </si>
  <si>
    <t xml:space="preserve">Scale</t>
  </si>
  <si>
    <t xml:space="preserve">Batch factor</t>
  </si>
  <si>
    <t xml:space="preserve">Setups before</t>
  </si>
  <si>
    <t xml:space="preserve">Setups after</t>
  </si>
  <si>
    <t xml:space="preserve">Production orders before</t>
  </si>
  <si>
    <t xml:space="preserve">Production orders after</t>
  </si>
  <si>
    <t xml:space="preserve">Engineering changes before</t>
  </si>
  <si>
    <t xml:space="preserve">Engineering changes after</t>
  </si>
  <si>
    <t xml:space="preserve">Inspection events before</t>
  </si>
  <si>
    <t xml:space="preserve">Inspection events after</t>
  </si>
  <si>
    <t xml:space="preserve">Machine hours before</t>
  </si>
  <si>
    <t xml:space="preserve">Machine hours after</t>
  </si>
  <si>
    <t xml:space="preserve">Direct labor hours before</t>
  </si>
  <si>
    <t xml:space="preserve">Direct labor hours after</t>
  </si>
  <si>
    <t xml:space="preserve">Direct material cost after</t>
  </si>
  <si>
    <t xml:space="preserve">Volume moved by minus nine, plus one, plus twenty-six and plus fifty-eight per cent. The mix moved hard toward the two families that consume the drivers, because those are the two the absorbed number says are the most profitable.</t>
  </si>
  <si>
    <t xml:space="preserve">The year, before and after</t>
  </si>
  <si>
    <t xml:space="preserve">Before</t>
  </si>
  <si>
    <t xml:space="preserve">After</t>
  </si>
  <si>
    <t xml:space="preserve">Change</t>
  </si>
  <si>
    <t xml:space="preserve">Change %</t>
  </si>
  <si>
    <t xml:space="preserve">TOTAL FACTORY OVERHEAD</t>
  </si>
  <si>
    <t xml:space="preserve">TOTAL FACTORY COST</t>
  </si>
  <si>
    <t xml:space="preserve">THE MARGIN THE REPORTS SHOW</t>
  </si>
  <si>
    <t xml:space="preserve">Selling, general and administrative</t>
  </si>
  <si>
    <t xml:space="preserve">OPERATING PROFIT</t>
  </si>
  <si>
    <t xml:space="preserve">Operating margin</t>
  </si>
  <si>
    <t xml:space="preserve">Absorption rate, a direct labor hour</t>
  </si>
  <si>
    <t xml:space="preserve">REVENUE ROSE 10.3 PER CENT AND OPERATING PROFIT FELL BY 431,133. Overhead rose 23.8 per cent, more than twice as fast as revenue, because the mix moved toward the parts that consume the drivers: 942 more setups and 337 more engineering changes for 4,947,520 of extra revenue.</t>
  </si>
  <si>
    <t xml:space="preserve">THE REPORTS IMPROVED. That is the whole problem. The margin the reports show fell by exactly the same 431,133, but it fell on a bigger revenue, so every percentage the sales director was measured on looked defensible, and the absorption rate rose from 87.88 to 96.20 without anybody deciding anything.</t>
  </si>
  <si>
    <t xml:space="preserve">Nothing here is a forecast and nothing here is a failure of effort. Sales did precisely what the reporting told them to do: they chased the margin the absorbed cost showed, which was fattest on the parts the absorbed cost under-costs. The system worked as designed, and the design was wrong.</t>
  </si>
  <si>
    <t xml:space="preserve">Checks</t>
  </si>
  <si>
    <t xml:space="preserve">Every figure the book prints within this workbook's scope, beside the figure this workbook computes.</t>
  </si>
  <si>
    <t xml:space="preserve">The book figure is typed. The workbook figure is a live link, rounded to the precision the book prints.</t>
  </si>
  <si>
    <t xml:space="preserve">If you have overtyped the front sheet with your own factory and your own part, the rows in the first block will fail. That is the workbook working, not breaking: they test the book's example and you have replaced it with yours. The rows below the first block read off the book's own factory block and will keep passing.</t>
  </si>
  <si>
    <t xml:space="preserve">Cost Your Own Part, as it ships: Calderbrook's aerospace bracket</t>
  </si>
  <si>
    <t xml:space="preserve">Total overhead pool</t>
  </si>
  <si>
    <t xml:space="preserve">Total direct labor hours</t>
  </si>
  <si>
    <t xml:space="preserve">Absorption rate on direct labor hours</t>
  </si>
  <si>
    <t xml:space="preserve">Machine hours the part consumes in a year</t>
  </si>
  <si>
    <t xml:space="preserve">Setup overhead the part carries</t>
  </si>
  <si>
    <t xml:space="preserve">Order overhead</t>
  </si>
  <si>
    <t xml:space="preserve">Machine overhead</t>
  </si>
  <si>
    <t xml:space="preserve">Engineering overhead</t>
  </si>
  <si>
    <t xml:space="preserve">Quality overhead</t>
  </si>
  <si>
    <t xml:space="preserve">Driver overhead the part carries, the year</t>
  </si>
  <si>
    <t xml:space="preserve">Direct labor a unit</t>
  </si>
  <si>
    <t xml:space="preserve">The gap a unit</t>
  </si>
  <si>
    <t xml:space="preserve">The gap per cent</t>
  </si>
  <si>
    <t xml:space="preserve">Margin per cent on the absorbed cost</t>
  </si>
  <si>
    <t xml:space="preserve">Margin per cent on the driver cost</t>
  </si>
  <si>
    <t xml:space="preserve">Price needed for the target margin</t>
  </si>
  <si>
    <t xml:space="preserve">Overhead that would stay behind, a year</t>
  </si>
  <si>
    <t xml:space="preserve">Cost of one order, full rates</t>
  </si>
  <si>
    <t xml:space="preserve">Cost of one order, avoidable rates</t>
  </si>
  <si>
    <t xml:space="preserve">BREAK-EVEN ORDER QUANTITY, full cost</t>
  </si>
  <si>
    <t xml:space="preserve">BREAK-EVEN ORDER QUANTITY, avoidable</t>
  </si>
  <si>
    <t xml:space="preserve">The book's factory: the base case on the sensitivity sheet</t>
  </si>
  <si>
    <t xml:space="preserve">Driver overhead across the four families</t>
  </si>
  <si>
    <t xml:space="preserve">Absorbed unit cost, Standard bushings</t>
  </si>
  <si>
    <t xml:space="preserve">Absorbed unit cost, Hydraulic fittings</t>
  </si>
  <si>
    <t xml:space="preserve">Absorbed unit cost, Valve bodies</t>
  </si>
  <si>
    <t xml:space="preserve">Absorbed unit cost, Aerospace brackets</t>
  </si>
  <si>
    <t xml:space="preserve">Driver unit cost, Standard bushings</t>
  </si>
  <si>
    <t xml:space="preserve">Driver unit cost, Hydraulic fittings</t>
  </si>
  <si>
    <t xml:space="preserve">Driver unit cost, Valve bodies</t>
  </si>
  <si>
    <t xml:space="preserve">Driver unit cost, Aerospace brackets</t>
  </si>
  <si>
    <t xml:space="preserve">Margin now, Standard bushings</t>
  </si>
  <si>
    <t xml:space="preserve">Margin now, Hydraulic fittings</t>
  </si>
  <si>
    <t xml:space="preserve">Margin now, Valve bodies</t>
  </si>
  <si>
    <t xml:space="preserve">Margin now, Aerospace brackets</t>
  </si>
  <si>
    <t xml:space="preserve">Sensitivity 1: Share of overhead driven by setups -- cross-subsidy</t>
  </si>
  <si>
    <t xml:space="preserve">at 0.6</t>
  </si>
  <si>
    <t xml:space="preserve">at 0.8</t>
  </si>
  <si>
    <t xml:space="preserve">at 1</t>
  </si>
  <si>
    <t xml:space="preserve">at 1.3</t>
  </si>
  <si>
    <t xml:space="preserve">at 1.6</t>
  </si>
  <si>
    <t xml:space="preserve">Sensitivity 1: Share of overhead driven by setups -- share of operating profit</t>
  </si>
  <si>
    <t xml:space="preserve">Sensitivity 2: Share of overhead driven by machine time -- cross-subsidy</t>
  </si>
  <si>
    <t xml:space="preserve">Sensitivity 2: Share of overhead driven by machine time -- share of operating profit</t>
  </si>
  <si>
    <t xml:space="preserve">Sensitivity 3: Share of overhead driven by engineering changes -- cross-subsidy</t>
  </si>
  <si>
    <t xml:space="preserve">Sensitivity 3: Share of overhead driven by engineering changes -- share of operating profit</t>
  </si>
  <si>
    <t xml:space="preserve">Sensitivity 4: Direct labor rate an hour -- cross-subsidy</t>
  </si>
  <si>
    <t xml:space="preserve">at 24</t>
  </si>
  <si>
    <t xml:space="preserve">at 28</t>
  </si>
  <si>
    <t xml:space="preserve">at 31.4</t>
  </si>
  <si>
    <t xml:space="preserve">at 36</t>
  </si>
  <si>
    <t xml:space="preserve">at 42</t>
  </si>
  <si>
    <t xml:space="preserve">Sensitivity 4: Direct labor rate an hour -- share of operating profit</t>
  </si>
  <si>
    <t xml:space="preserve">Sensitivity 5: Total overhead -- cross-subsidy</t>
  </si>
  <si>
    <t xml:space="preserve">at 0.75</t>
  </si>
  <si>
    <t xml:space="preserve">at 0.9</t>
  </si>
  <si>
    <t xml:space="preserve">at 1.15</t>
  </si>
  <si>
    <t xml:space="preserve">at 1.35</t>
  </si>
  <si>
    <t xml:space="preserve">Sensitivity 5: Total overhead -- share of operating profit</t>
  </si>
  <si>
    <t xml:space="preserve">Sensitivity 6: Volume of the smallest family -- cross-subsidy</t>
  </si>
  <si>
    <t xml:space="preserve">at 0.5</t>
  </si>
  <si>
    <t xml:space="preserve">at 1.5</t>
  </si>
  <si>
    <t xml:space="preserve">at 2</t>
  </si>
  <si>
    <t xml:space="preserve">Sensitivity 6: Volume of the smallest family -- share of operating profit</t>
  </si>
  <si>
    <t xml:space="preserve">Sensitivity: the worst-shifted family's shift, at the base case of each table</t>
  </si>
  <si>
    <t xml:space="preserve">Share of overhead driven by setups, base case</t>
  </si>
  <si>
    <t xml:space="preserve">Share of overhead driven by machine time, base case</t>
  </si>
  <si>
    <t xml:space="preserve">Share of overhead driven by engineering changes, base case</t>
  </si>
  <si>
    <t xml:space="preserve">Direct labor rate an hour, base case</t>
  </si>
  <si>
    <t xml:space="preserve">Total overhead, base case</t>
  </si>
  <si>
    <t xml:space="preserve">Volume of the smallest family, base case</t>
  </si>
  <si>
    <t xml:space="preserve">Volume of the smallest family at 2.00: the worst-shifted family changes</t>
  </si>
  <si>
    <t xml:space="preserve">The judgments: how much overhead is avoidable on outsourcing</t>
  </si>
  <si>
    <t xml:space="preserve">at 0.30</t>
  </si>
  <si>
    <t xml:space="preserve">at 0.40</t>
  </si>
  <si>
    <t xml:space="preserve">at 0.50</t>
  </si>
  <si>
    <t xml:space="preserve">at 0.60</t>
  </si>
  <si>
    <t xml:space="preserve">The judgments: batch elasticity in Case B</t>
  </si>
  <si>
    <t xml:space="preserve">at 0.65</t>
  </si>
  <si>
    <t xml:space="preserve">at 0.78</t>
  </si>
  <si>
    <t xml:space="preserve">at 0.90</t>
  </si>
  <si>
    <t xml:space="preserve">at 1.00</t>
  </si>
  <si>
    <t xml:space="preserve">The judgments: price elasticity of volume</t>
  </si>
  <si>
    <t xml:space="preserve">at 0.80</t>
  </si>
  <si>
    <t xml:space="preserve">at 1.70</t>
  </si>
  <si>
    <t xml:space="preserve">at 2.00</t>
  </si>
  <si>
    <t xml:space="preserve">Span of this table, percentage points</t>
  </si>
  <si>
    <t xml:space="preserve">Case B</t>
  </si>
  <si>
    <t xml:space="preserve">Revenue before</t>
  </si>
  <si>
    <t xml:space="preserve">Revenue growth</t>
  </si>
  <si>
    <t xml:space="preserve">Overhead before</t>
  </si>
  <si>
    <t xml:space="preserve">Overhead after</t>
  </si>
  <si>
    <t xml:space="preserve">Overhead growth</t>
  </si>
  <si>
    <t xml:space="preserve">Material before</t>
  </si>
  <si>
    <t xml:space="preserve">Direct labor before</t>
  </si>
  <si>
    <t xml:space="preserve">The margin the reports show, before</t>
  </si>
  <si>
    <t xml:space="preserve">The margin the reports show, after</t>
  </si>
  <si>
    <t xml:space="preserve">Operating margin before</t>
  </si>
  <si>
    <t xml:space="preserve">Operating margin after</t>
  </si>
  <si>
    <t xml:space="preserve">Absorption rate before</t>
  </si>
  <si>
    <t xml:space="preserve">Absorption rate after</t>
  </si>
  <si>
    <t xml:space="preserve">Identities. Built from two independently computed sides.</t>
  </si>
  <si>
    <t xml:space="preserve">The five driver rates redistribute the whole pool</t>
  </si>
  <si>
    <t xml:space="preserve">Overhead absorbed on labor hours equals the pool</t>
  </si>
  <si>
    <t xml:space="preserve">The margin shifts sum to nought</t>
  </si>
  <si>
    <t xml:space="preserve">Case B: change in profit equals the judgment table at 0.78</t>
  </si>
  <si>
    <t xml:space="preserve">Case B: overhead after equals the judgment table's at 0.78</t>
  </si>
  <si>
    <t xml:space="preserve">The avoidable cost at the book's shares equals the front sheet's</t>
  </si>
  <si>
    <t xml:space="preserve">Checks run</t>
  </si>
  <si>
    <t xml:space="preserve">PASS</t>
  </si>
  <si>
    <t xml:space="preserve">FAIL</t>
  </si>
</sst>
</file>

<file path=xl/styles.xml><?xml version="1.0" encoding="utf-8"?>
<styleSheet xmlns="http://schemas.openxmlformats.org/spreadsheetml/2006/main">
  <numFmts count="11">
    <numFmt numFmtId="164" formatCode="General"/>
    <numFmt numFmtId="165" formatCode="#,##0"/>
    <numFmt numFmtId="166" formatCode="#,##0.0000"/>
    <numFmt numFmtId="167" formatCode="#,##0.00"/>
    <numFmt numFmtId="168" formatCode="0.0%"/>
    <numFmt numFmtId="169" formatCode="#,##0.000"/>
    <numFmt numFmtId="170" formatCode="#,##0.0"/>
    <numFmt numFmtId="171" formatCode="@"/>
    <numFmt numFmtId="172" formatCode="0.00%"/>
    <numFmt numFmtId="173" formatCode="#,##0.000000"/>
    <numFmt numFmtId="174" formatCode="0.0000%"/>
  </numFmts>
  <fonts count="13">
    <font>
      <sz val="11"/>
      <color theme="1"/>
      <name val="Calibri"/>
      <family val="2"/>
      <charset val="1"/>
    </font>
    <font>
      <sz val="10"/>
      <name val="Arial"/>
      <family val="0"/>
    </font>
    <font>
      <sz val="10"/>
      <name val="Arial"/>
      <family val="0"/>
    </font>
    <font>
      <sz val="10"/>
      <name val="Arial"/>
      <family val="0"/>
    </font>
    <font>
      <b val="true"/>
      <sz val="14"/>
      <color rgb="FF14283A"/>
      <name val="Calibri"/>
      <family val="0"/>
      <charset val="1"/>
    </font>
    <font>
      <b val="true"/>
      <sz val="11"/>
      <color rgb="FF14283A"/>
      <name val="Calibri"/>
      <family val="0"/>
      <charset val="1"/>
    </font>
    <font>
      <sz val="10"/>
      <name val="Calibri"/>
      <family val="0"/>
      <charset val="1"/>
    </font>
    <font>
      <sz val="9"/>
      <color rgb="FF666666"/>
      <name val="Calibri"/>
      <family val="0"/>
      <charset val="1"/>
    </font>
    <font>
      <b val="true"/>
      <sz val="12"/>
      <color rgb="FF14283A"/>
      <name val="Calibri"/>
      <family val="0"/>
      <charset val="1"/>
    </font>
    <font>
      <b val="true"/>
      <sz val="10"/>
      <name val="Calibri"/>
      <family val="0"/>
      <charset val="1"/>
    </font>
    <font>
      <sz val="10"/>
      <color rgb="FF0000CC"/>
      <name val="Calibri"/>
      <family val="0"/>
      <charset val="1"/>
    </font>
    <font>
      <sz val="10"/>
      <color rgb="FF006600"/>
      <name val="Calibri"/>
      <family val="0"/>
      <charset val="1"/>
    </font>
    <font>
      <b val="true"/>
      <sz val="10"/>
      <color rgb="FFA02020"/>
      <name val="Calibri"/>
      <family val="0"/>
      <charset val="1"/>
    </font>
  </fonts>
  <fills count="4">
    <fill>
      <patternFill patternType="none"/>
    </fill>
    <fill>
      <patternFill patternType="gray125"/>
    </fill>
    <fill>
      <patternFill patternType="solid">
        <fgColor rgb="FFEDF2F7"/>
        <bgColor rgb="FFFFF2CC"/>
      </patternFill>
    </fill>
    <fill>
      <patternFill patternType="solid">
        <fgColor rgb="FFFFF2CC"/>
        <bgColor rgb="FFEDF2F7"/>
      </patternFill>
    </fill>
  </fills>
  <borders count="3">
    <border diagonalUp="false" diagonalDown="false">
      <left/>
      <right/>
      <top/>
      <bottom/>
      <diagonal/>
    </border>
    <border diagonalUp="false" diagonalDown="false">
      <left/>
      <right/>
      <top/>
      <bottom style="thin">
        <color rgb="FFBBBBBB"/>
      </bottom>
      <diagonal/>
    </border>
    <border diagonalUp="false" diagonalDown="false">
      <left/>
      <right/>
      <top style="thin">
        <color rgb="FF333333"/>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bottom"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9" fillId="0" borderId="2" xfId="0" applyFont="true" applyBorder="true" applyAlignment="false" applyProtection="false">
      <alignment horizontal="general" vertical="bottom" textRotation="0" wrapText="false" indent="0" shrinkToFit="false"/>
      <protection locked="true" hidden="false"/>
    </xf>
    <xf numFmtId="165" fontId="9" fillId="0" borderId="2" xfId="0" applyFont="true" applyBorder="tru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6" fontId="9" fillId="2"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7" fontId="9" fillId="0" borderId="2"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8" fontId="9" fillId="2"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8" fontId="10" fillId="3" borderId="0" xfId="0" applyFont="true" applyBorder="false" applyAlignment="false" applyProtection="false">
      <alignment horizontal="general" vertical="bottom" textRotation="0" wrapText="false" indent="0" shrinkToFit="false"/>
      <protection locked="true" hidden="false"/>
    </xf>
    <xf numFmtId="167" fontId="9" fillId="2"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70" fontId="9" fillId="2"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67" fontId="10" fillId="2" borderId="0" xfId="0" applyFont="true" applyBorder="false" applyAlignment="false" applyProtection="false">
      <alignment horizontal="general" vertical="bottom" textRotation="0" wrapText="false" indent="0" shrinkToFit="false"/>
      <protection locked="true" hidden="false"/>
    </xf>
    <xf numFmtId="165" fontId="9" fillId="2" borderId="0" xfId="0" applyFont="true" applyBorder="false" applyAlignment="false" applyProtection="false">
      <alignment horizontal="general" vertical="bottom" textRotation="0" wrapText="false" indent="0" shrinkToFit="false"/>
      <protection locked="true" hidden="false"/>
    </xf>
    <xf numFmtId="168" fontId="6" fillId="2" borderId="0" xfId="0" applyFont="true" applyBorder="false" applyAlignment="false" applyProtection="false">
      <alignment horizontal="general" vertical="bottom" textRotation="0" wrapText="false" indent="0" shrinkToFit="false"/>
      <protection locked="true" hidden="false"/>
    </xf>
    <xf numFmtId="171" fontId="6" fillId="2" borderId="0" xfId="0" applyFont="true" applyBorder="false" applyAlignment="false" applyProtection="false">
      <alignment horizontal="general" vertical="bottom" textRotation="0" wrapText="false" indent="0" shrinkToFit="false"/>
      <protection locked="true" hidden="false"/>
    </xf>
    <xf numFmtId="165" fontId="6" fillId="2"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72" fontId="6"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67" fontId="6" fillId="2" borderId="0" xfId="0" applyFont="true" applyBorder="false" applyAlignment="false" applyProtection="false">
      <alignment horizontal="general" vertical="bottom" textRotation="0" wrapText="false" indent="0" shrinkToFit="false"/>
      <protection locked="true" hidden="false"/>
    </xf>
    <xf numFmtId="168" fontId="9" fillId="0" borderId="2" xfId="0" applyFont="true" applyBorder="true" applyAlignment="false" applyProtection="false">
      <alignment horizontal="general" vertical="bottom" textRotation="0" wrapText="false" indent="0" shrinkToFit="false"/>
      <protection locked="true" hidden="false"/>
    </xf>
    <xf numFmtId="173" fontId="6" fillId="0" borderId="0" xfId="0" applyFont="true" applyBorder="false" applyAlignment="false" applyProtection="false">
      <alignment horizontal="general" vertical="bottom" textRotation="0" wrapText="false" indent="0" shrinkToFit="false"/>
      <protection locked="true" hidden="false"/>
    </xf>
    <xf numFmtId="167" fontId="10" fillId="3" borderId="0" xfId="0" applyFont="true" applyBorder="false" applyAlignment="false" applyProtection="false">
      <alignment horizontal="general" vertical="bottom" textRotation="0" wrapText="false" indent="0" shrinkToFit="false"/>
      <protection locked="true" hidden="false"/>
    </xf>
    <xf numFmtId="165" fontId="9" fillId="2" borderId="2" xfId="0" applyFont="true" applyBorder="tru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74" fontId="6" fillId="0" borderId="0" xfId="0" applyFont="true" applyBorder="false" applyAlignment="false" applyProtection="false">
      <alignment horizontal="general" vertical="bottom" textRotation="0" wrapText="false" indent="0" shrinkToFit="false"/>
      <protection locked="true" hidden="false"/>
    </xf>
    <xf numFmtId="174" fontId="11" fillId="0" borderId="0" xfId="0" applyFont="true" applyBorder="false" applyAlignment="false" applyProtection="false">
      <alignment horizontal="general" vertical="bottom" textRotation="0" wrapText="false" indent="0" shrinkToFit="false"/>
      <protection locked="true" hidden="false"/>
    </xf>
    <xf numFmtId="169" fontId="11" fillId="0" borderId="0" xfId="0" applyFont="true" applyBorder="false" applyAlignment="false" applyProtection="false">
      <alignment horizontal="general" vertical="bottom" textRotation="0" wrapText="false" indent="0" shrinkToFit="false"/>
      <protection locked="true" hidden="false"/>
    </xf>
    <xf numFmtId="170"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DF2F7"/>
      <rgbColor rgb="FFFF0000"/>
      <rgbColor rgb="FF00FF00"/>
      <rgbColor rgb="FF0000CC"/>
      <rgbColor rgb="FFFFFF00"/>
      <rgbColor rgb="FFFF00FF"/>
      <rgbColor rgb="FF00FFFF"/>
      <rgbColor rgb="FF800000"/>
      <rgbColor rgb="FF006600"/>
      <rgbColor rgb="FF000080"/>
      <rgbColor rgb="FF808000"/>
      <rgbColor rgb="FF800080"/>
      <rgbColor rgb="FF008080"/>
      <rgbColor rgb="FFBBBBBB"/>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14283A"/>
      <rgbColor rgb="FF339966"/>
      <rgbColor rgb="FF003300"/>
      <rgbColor rgb="FF333300"/>
      <rgbColor rgb="FFA0202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6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104"/>
  </cols>
  <sheetData>
    <row r="2" customFormat="false" ht="17.3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3" t="s">
        <v>2</v>
      </c>
    </row>
    <row r="6" customFormat="false" ht="15" hidden="false" customHeight="false" outlineLevel="0" collapsed="false">
      <c r="B6" s="3"/>
    </row>
    <row r="7" customFormat="false" ht="15" hidden="false" customHeight="false" outlineLevel="0" collapsed="false">
      <c r="B7" s="2" t="s">
        <v>3</v>
      </c>
    </row>
    <row r="8" customFormat="false" ht="15" hidden="false" customHeight="false" outlineLevel="0" collapsed="false">
      <c r="B8" s="3" t="s">
        <v>4</v>
      </c>
    </row>
    <row r="9" customFormat="false" ht="15" hidden="false" customHeight="false" outlineLevel="0" collapsed="false">
      <c r="B9" s="3" t="s">
        <v>5</v>
      </c>
    </row>
    <row r="10" customFormat="false" ht="15" hidden="false" customHeight="false" outlineLevel="0" collapsed="false">
      <c r="B10" s="3" t="s">
        <v>6</v>
      </c>
    </row>
    <row r="11" customFormat="false" ht="15" hidden="false" customHeight="false" outlineLevel="0" collapsed="false">
      <c r="B11" s="3" t="s">
        <v>7</v>
      </c>
    </row>
    <row r="12" customFormat="false" ht="15" hidden="false" customHeight="false" outlineLevel="0" collapsed="false">
      <c r="B12" s="3" t="s">
        <v>8</v>
      </c>
    </row>
    <row r="13" customFormat="false" ht="15" hidden="false" customHeight="false" outlineLevel="0" collapsed="false">
      <c r="B13" s="3" t="s">
        <v>9</v>
      </c>
    </row>
    <row r="14" customFormat="false" ht="15" hidden="false" customHeight="false" outlineLevel="0" collapsed="false">
      <c r="B14" s="3" t="s">
        <v>10</v>
      </c>
    </row>
    <row r="15" customFormat="false" ht="15" hidden="false" customHeight="false" outlineLevel="0" collapsed="false">
      <c r="B15" s="3" t="s">
        <v>11</v>
      </c>
    </row>
    <row r="16" customFormat="false" ht="15" hidden="false" customHeight="false" outlineLevel="0" collapsed="false">
      <c r="B16" s="3" t="s">
        <v>12</v>
      </c>
    </row>
    <row r="17" customFormat="false" ht="15" hidden="false" customHeight="false" outlineLevel="0" collapsed="false">
      <c r="B17" s="3"/>
    </row>
    <row r="18" customFormat="false" ht="15" hidden="false" customHeight="false" outlineLevel="0" collapsed="false">
      <c r="B18" s="3" t="s">
        <v>13</v>
      </c>
    </row>
    <row r="19" customFormat="false" ht="15" hidden="false" customHeight="false" outlineLevel="0" collapsed="false">
      <c r="B19" s="3" t="s">
        <v>14</v>
      </c>
    </row>
    <row r="20" customFormat="false" ht="15" hidden="false" customHeight="false" outlineLevel="0" collapsed="false">
      <c r="B20" s="3" t="s">
        <v>15</v>
      </c>
    </row>
    <row r="21" customFormat="false" ht="15" hidden="false" customHeight="false" outlineLevel="0" collapsed="false">
      <c r="B21" s="3" t="s">
        <v>16</v>
      </c>
    </row>
    <row r="22" customFormat="false" ht="15" hidden="false" customHeight="false" outlineLevel="0" collapsed="false">
      <c r="B22" s="3" t="s">
        <v>17</v>
      </c>
    </row>
    <row r="23" customFormat="false" ht="15" hidden="false" customHeight="false" outlineLevel="0" collapsed="false">
      <c r="B23" s="3" t="s">
        <v>18</v>
      </c>
    </row>
    <row r="24" customFormat="false" ht="15" hidden="false" customHeight="false" outlineLevel="0" collapsed="false">
      <c r="B24" s="3"/>
    </row>
    <row r="25" customFormat="false" ht="15" hidden="false" customHeight="false" outlineLevel="0" collapsed="false">
      <c r="B25" s="2" t="s">
        <v>19</v>
      </c>
    </row>
    <row r="26" customFormat="false" ht="15" hidden="false" customHeight="false" outlineLevel="0" collapsed="false">
      <c r="B26" s="3" t="s">
        <v>20</v>
      </c>
    </row>
    <row r="27" customFormat="false" ht="15" hidden="false" customHeight="false" outlineLevel="0" collapsed="false">
      <c r="B27" s="3" t="s">
        <v>21</v>
      </c>
    </row>
    <row r="28" customFormat="false" ht="15" hidden="false" customHeight="false" outlineLevel="0" collapsed="false">
      <c r="B28" s="3" t="s">
        <v>22</v>
      </c>
    </row>
    <row r="29" customFormat="false" ht="15" hidden="false" customHeight="false" outlineLevel="0" collapsed="false">
      <c r="B29" s="3" t="s">
        <v>23</v>
      </c>
    </row>
    <row r="30" customFormat="false" ht="15" hidden="false" customHeight="false" outlineLevel="0" collapsed="false">
      <c r="B30" s="3" t="s">
        <v>24</v>
      </c>
    </row>
    <row r="31" customFormat="false" ht="15" hidden="false" customHeight="false" outlineLevel="0" collapsed="false">
      <c r="B31" s="3" t="s">
        <v>25</v>
      </c>
    </row>
    <row r="32" customFormat="false" ht="15" hidden="false" customHeight="false" outlineLevel="0" collapsed="false">
      <c r="B32" s="3" t="s">
        <v>26</v>
      </c>
    </row>
    <row r="33" customFormat="false" ht="15" hidden="false" customHeight="false" outlineLevel="0" collapsed="false">
      <c r="B33" s="3"/>
    </row>
    <row r="34" customFormat="false" ht="15" hidden="false" customHeight="false" outlineLevel="0" collapsed="false">
      <c r="B34" s="2" t="s">
        <v>27</v>
      </c>
    </row>
    <row r="35" customFormat="false" ht="15" hidden="false" customHeight="false" outlineLevel="0" collapsed="false">
      <c r="B35" s="3" t="s">
        <v>28</v>
      </c>
    </row>
    <row r="36" customFormat="false" ht="15" hidden="false" customHeight="false" outlineLevel="0" collapsed="false">
      <c r="B36" s="3" t="s">
        <v>29</v>
      </c>
    </row>
    <row r="37" customFormat="false" ht="15" hidden="false" customHeight="false" outlineLevel="0" collapsed="false">
      <c r="B37" s="3" t="s">
        <v>30</v>
      </c>
    </row>
    <row r="38" customFormat="false" ht="15" hidden="false" customHeight="false" outlineLevel="0" collapsed="false">
      <c r="B38" s="3" t="s">
        <v>31</v>
      </c>
    </row>
    <row r="39" customFormat="false" ht="15" hidden="false" customHeight="false" outlineLevel="0" collapsed="false">
      <c r="B39" s="3" t="s">
        <v>32</v>
      </c>
    </row>
    <row r="40" customFormat="false" ht="15" hidden="false" customHeight="false" outlineLevel="0" collapsed="false">
      <c r="B40" s="3" t="s">
        <v>33</v>
      </c>
    </row>
    <row r="41" customFormat="false" ht="15" hidden="false" customHeight="false" outlineLevel="0" collapsed="false">
      <c r="B41" s="3" t="s">
        <v>34</v>
      </c>
    </row>
    <row r="42" customFormat="false" ht="15" hidden="false" customHeight="false" outlineLevel="0" collapsed="false">
      <c r="B42" s="3"/>
    </row>
    <row r="43" customFormat="false" ht="15" hidden="false" customHeight="false" outlineLevel="0" collapsed="false">
      <c r="B43" s="2" t="s">
        <v>35</v>
      </c>
    </row>
    <row r="44" customFormat="false" ht="15" hidden="false" customHeight="false" outlineLevel="0" collapsed="false">
      <c r="B44" s="3" t="s">
        <v>36</v>
      </c>
    </row>
    <row r="45" customFormat="false" ht="15" hidden="false" customHeight="false" outlineLevel="0" collapsed="false">
      <c r="B45" s="3" t="s">
        <v>37</v>
      </c>
    </row>
    <row r="46" customFormat="false" ht="15" hidden="false" customHeight="false" outlineLevel="0" collapsed="false">
      <c r="B46" s="3" t="s">
        <v>38</v>
      </c>
    </row>
    <row r="47" customFormat="false" ht="15" hidden="false" customHeight="false" outlineLevel="0" collapsed="false">
      <c r="B47" s="3" t="s">
        <v>39</v>
      </c>
    </row>
    <row r="48" customFormat="false" ht="15" hidden="false" customHeight="false" outlineLevel="0" collapsed="false">
      <c r="B48" s="3" t="s">
        <v>40</v>
      </c>
    </row>
    <row r="49" customFormat="false" ht="15" hidden="false" customHeight="false" outlineLevel="0" collapsed="false">
      <c r="B49" s="3" t="s">
        <v>41</v>
      </c>
    </row>
    <row r="50" customFormat="false" ht="15" hidden="false" customHeight="false" outlineLevel="0" collapsed="false">
      <c r="B50" s="3" t="s">
        <v>42</v>
      </c>
    </row>
    <row r="51" customFormat="false" ht="15" hidden="false" customHeight="false" outlineLevel="0" collapsed="false">
      <c r="B51" s="3" t="s">
        <v>43</v>
      </c>
    </row>
    <row r="52" customFormat="false" ht="15" hidden="false" customHeight="false" outlineLevel="0" collapsed="false">
      <c r="B52" s="3"/>
    </row>
    <row r="53" customFormat="false" ht="15" hidden="false" customHeight="false" outlineLevel="0" collapsed="false">
      <c r="B53" s="2" t="s">
        <v>44</v>
      </c>
    </row>
    <row r="54" customFormat="false" ht="15" hidden="false" customHeight="false" outlineLevel="0" collapsed="false">
      <c r="B54" s="3" t="s">
        <v>45</v>
      </c>
    </row>
    <row r="55" customFormat="false" ht="15" hidden="false" customHeight="false" outlineLevel="0" collapsed="false">
      <c r="B55" s="3" t="s">
        <v>46</v>
      </c>
    </row>
    <row r="56" customFormat="false" ht="15" hidden="false" customHeight="false" outlineLevel="0" collapsed="false">
      <c r="B56" s="3" t="s">
        <v>47</v>
      </c>
    </row>
    <row r="57" customFormat="false" ht="15" hidden="false" customHeight="false" outlineLevel="0" collapsed="false">
      <c r="B57" s="3" t="s">
        <v>48</v>
      </c>
    </row>
    <row r="58" customFormat="false" ht="15" hidden="false" customHeight="false" outlineLevel="0" collapsed="false">
      <c r="B58" s="3"/>
    </row>
    <row r="59" customFormat="false" ht="15" hidden="false" customHeight="false" outlineLevel="0" collapsed="false">
      <c r="B59" s="2" t="s">
        <v>49</v>
      </c>
    </row>
    <row r="60" customFormat="false" ht="15" hidden="false" customHeight="false" outlineLevel="0" collapsed="false">
      <c r="B60" s="3" t="s">
        <v>50</v>
      </c>
    </row>
    <row r="61" customFormat="false" ht="15" hidden="false" customHeight="false" outlineLevel="0" collapsed="false">
      <c r="B61" s="3" t="s">
        <v>51</v>
      </c>
    </row>
    <row r="62" customFormat="false" ht="15" hidden="false" customHeight="false" outlineLevel="0" collapsed="false">
      <c r="B62" s="3" t="s">
        <v>52</v>
      </c>
    </row>
    <row r="63" customFormat="false" ht="15" hidden="false" customHeight="false" outlineLevel="0" collapsed="false">
      <c r="B63" s="3" t="s">
        <v>53</v>
      </c>
    </row>
    <row r="64" customFormat="false" ht="15" hidden="false" customHeight="false" outlineLevel="0" collapsed="false">
      <c r="B64" s="3"/>
    </row>
    <row r="65" customFormat="false" ht="15" hidden="false" customHeight="false" outlineLevel="0" collapsed="false">
      <c r="B65" s="3" t="s">
        <v>54</v>
      </c>
    </row>
    <row r="66" customFormat="false" ht="15" hidden="false" customHeight="false" outlineLevel="0" collapsed="false">
      <c r="B66" s="3" t="s">
        <v>55</v>
      </c>
    </row>
    <row r="67" customFormat="false" ht="15" hidden="false" customHeight="false" outlineLevel="0" collapsed="false">
      <c r="B67" s="3" t="s">
        <v>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H8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54"/>
    <col collapsed="false" customWidth="true" hidden="false" outlineLevel="0" max="4" min="3" style="0" width="17"/>
    <col collapsed="false" customWidth="true" hidden="false" outlineLevel="0" max="5" min="5" style="0" width="19"/>
    <col collapsed="false" customWidth="true" hidden="false" outlineLevel="0" max="6" min="6" style="0" width="17"/>
    <col collapsed="false" customWidth="true" hidden="false" outlineLevel="0" max="7" min="7" style="0" width="2"/>
    <col collapsed="false" customWidth="true" hidden="false" outlineLevel="0" max="8" min="8" style="0" width="86"/>
  </cols>
  <sheetData>
    <row r="2" customFormat="false" ht="17.35" hidden="false" customHeight="false" outlineLevel="0" collapsed="false">
      <c r="B2" s="1" t="s">
        <v>57</v>
      </c>
    </row>
    <row r="3" customFormat="false" ht="15" hidden="false" customHeight="false" outlineLevel="0" collapsed="false">
      <c r="B3" s="3" t="s">
        <v>58</v>
      </c>
    </row>
    <row r="4" customFormat="false" ht="15" hidden="false" customHeight="false" outlineLevel="0" collapsed="false">
      <c r="B4" s="4" t="s">
        <v>59</v>
      </c>
    </row>
    <row r="5" customFormat="false" ht="15" hidden="false" customHeight="false" outlineLevel="0" collapsed="false">
      <c r="B5" s="5" t="str">
        <f aca="false">IF(C26&lt;=0,"Type your part's annual volume into C26 to begin.",IF(AND(C54&gt;0,C56&lt;0),"THE READING: THIS PART REPORTS A PROFIT AND LOSES MONEY. On the labor-hour base it shows a margin of "&amp;TEXT(C54,"0.0%")&amp;"; costed on the drivers it actually consumes it loses "&amp;TEXT(-C56,"0.0%")&amp;", which is "&amp;TEXT(-C55*C26,"#,##0")&amp;" a year. Every decision taken about it from the reports is taken on the wrong number.",IF(C51&gt;0.2,"THE READING: the labor-hour base UNDER-COSTS this part by "&amp;TEXT(C51,"0.0%")&amp;", which is "&amp;TEXT(D50,"#,##0")&amp;" a year. It is being quoted too cheap, and something else in the factory is paying for the volume you win on it.",IF(C51&lt;-0.2,"THE READING: the labor-hour base OVER-COSTS this part by "&amp;TEXT(-C51,"0.0%")&amp;", which is "&amp;TEXT(-D50,"#,##0")&amp;" a year. It is being quoted too dear, and a competitor who costs properly will take it from you.","THE READING: the two methods land within twenty per cent of each other on this part, at "&amp;TEXT(C51,"0.0%")&amp;". Your cross-subsidy does not live here. Cost your lowest-volume, most driver-hungry part next: that is where it will be."))))</f>
        <v>THE READING: THIS PART REPORTS A PROFIT AND LOSES MONEY. On the labor-hour base it shows a margin of 17.3%; costed on the drivers it actually consumes it loses 25.5%, which is 1,733,666 a year. Every decision taken about it from the reports is taken on the wrong number.</v>
      </c>
    </row>
    <row r="6" customFormat="false" ht="15" hidden="false" customHeight="false" outlineLevel="0" collapsed="false">
      <c r="B6" s="5" t="str">
        <f aca="false">IF(C26&lt;=0,"","THE CASH QUESTION: full driver cost is "&amp;TEXT(C49,"#,##0.00")&amp;" a unit and avoidable cost is "&amp;TEXT(C70,"#,##0.00")&amp;". "&amp;IF(C27&gt;C70,"At a price of "&amp;TEXT(C27,"#,##0.00")&amp;" the part still brings in cash, so an order in front of you is worth taking even where the annual answer is to reprice it or move it out.","At a price of "&amp;TEXT(C27,"#,##0.00")&amp;" the part does not cover even what it would stop costing you. There is no horizon on which this price works.")&amp;" One order costs "&amp;TEXT(C79,"#,##0.00")&amp;" on full rates and "&amp;TEXT(C80,"#,##0.00")&amp;" on avoidable rates; the break-even order quantities are "&amp;IF(ISNUMBER(C84),TEXT(C84,"#,##0.0"),"unreachable")&amp;" and "&amp;IF(ISNUMBER(C87),TEXT(C87,"#,##0.0"),"unreachable")&amp;" units against an average order of "&amp;TEXT(C81,"#,##0.0")&amp;".")</f>
        <v>THE CASH QUESTION: full driver cost is 436.91 a unit and avoidable cost is 301.78. At a price of 348.00 the part still brings in cash, so an order in front of you is worth taking even where the annual answer is to reprice it or move it out. One order costs 1,069.19 on full rates and 887.97 on avoidable rates; the break-even order quantities are 34.9 and 6.1 units against an average order of 8.9.</v>
      </c>
    </row>
    <row r="8" customFormat="false" ht="15" hidden="false" customHeight="false" outlineLevel="0" collapsed="false">
      <c r="B8" s="6" t="s">
        <v>60</v>
      </c>
      <c r="C8" s="7"/>
      <c r="D8" s="7"/>
      <c r="E8" s="7"/>
      <c r="F8" s="7"/>
    </row>
    <row r="9" customFormat="false" ht="23.85" hidden="false" customHeight="false" outlineLevel="0" collapsed="false">
      <c r="C9" s="8" t="s">
        <v>61</v>
      </c>
      <c r="D9" s="8" t="s">
        <v>62</v>
      </c>
      <c r="E9" s="8" t="s">
        <v>63</v>
      </c>
      <c r="F9" s="8" t="s">
        <v>64</v>
      </c>
    </row>
    <row r="10" customFormat="false" ht="15" hidden="false" customHeight="false" outlineLevel="0" collapsed="false">
      <c r="B10" s="3" t="s">
        <v>65</v>
      </c>
      <c r="C10" s="9" t="s">
        <v>66</v>
      </c>
      <c r="D10" s="10" t="n">
        <v>3510000</v>
      </c>
      <c r="E10" s="10" t="n">
        <v>3900</v>
      </c>
      <c r="F10" s="11" t="n">
        <f aca="false">IF(E10=0,0,D10/E10)</f>
        <v>900</v>
      </c>
      <c r="H10" s="4" t="s">
        <v>67</v>
      </c>
    </row>
    <row r="11" customFormat="false" ht="15" hidden="false" customHeight="false" outlineLevel="0" collapsed="false">
      <c r="B11" s="3" t="s">
        <v>68</v>
      </c>
      <c r="C11" s="9" t="s">
        <v>69</v>
      </c>
      <c r="D11" s="10" t="n">
        <v>1980000</v>
      </c>
      <c r="E11" s="10" t="n">
        <v>5330</v>
      </c>
      <c r="F11" s="11" t="n">
        <f aca="false">IF(E11=0,0,D11/E11)</f>
        <v>371.482176360225</v>
      </c>
    </row>
    <row r="12" customFormat="false" ht="15" hidden="false" customHeight="false" outlineLevel="0" collapsed="false">
      <c r="B12" s="3" t="s">
        <v>70</v>
      </c>
      <c r="C12" s="9" t="s">
        <v>71</v>
      </c>
      <c r="D12" s="10" t="n">
        <v>4620000</v>
      </c>
      <c r="E12" s="10" t="n">
        <v>150650</v>
      </c>
      <c r="F12" s="11" t="n">
        <f aca="false">IF(E12=0,0,D12/E12)</f>
        <v>30.6671091934949</v>
      </c>
      <c r="H12" s="4" t="s">
        <v>72</v>
      </c>
    </row>
    <row r="13" customFormat="false" ht="15" hidden="false" customHeight="false" outlineLevel="0" collapsed="false">
      <c r="B13" s="3" t="s">
        <v>73</v>
      </c>
      <c r="C13" s="9" t="s">
        <v>74</v>
      </c>
      <c r="D13" s="10" t="n">
        <v>1610000</v>
      </c>
      <c r="E13" s="10" t="n">
        <v>980</v>
      </c>
      <c r="F13" s="11" t="n">
        <f aca="false">IF(E13=0,0,D13/E13)</f>
        <v>1642.85714285714</v>
      </c>
    </row>
    <row r="14" customFormat="false" ht="15" hidden="false" customHeight="false" outlineLevel="0" collapsed="false">
      <c r="B14" s="3" t="s">
        <v>75</v>
      </c>
      <c r="C14" s="9" t="s">
        <v>76</v>
      </c>
      <c r="D14" s="10" t="n">
        <v>1720000</v>
      </c>
      <c r="E14" s="10" t="n">
        <v>16660</v>
      </c>
      <c r="F14" s="11" t="n">
        <f aca="false">IF(E14=0,0,D14/E14)</f>
        <v>103.241296518607</v>
      </c>
    </row>
    <row r="15" customFormat="false" ht="15" hidden="false" customHeight="false" outlineLevel="0" collapsed="false">
      <c r="B15" s="12" t="s">
        <v>77</v>
      </c>
      <c r="D15" s="13" t="n">
        <f aca="false">SUM(D10:D14)</f>
        <v>13440000</v>
      </c>
    </row>
    <row r="16" customFormat="false" ht="15" hidden="false" customHeight="false" outlineLevel="0" collapsed="false">
      <c r="B16" s="4" t="s">
        <v>78</v>
      </c>
    </row>
    <row r="18" customFormat="false" ht="15" hidden="false" customHeight="false" outlineLevel="0" collapsed="false">
      <c r="B18" s="6" t="s">
        <v>79</v>
      </c>
      <c r="C18" s="7"/>
      <c r="D18" s="7"/>
      <c r="E18" s="7"/>
      <c r="F18" s="7"/>
    </row>
    <row r="19" customFormat="false" ht="15" hidden="false" customHeight="false" outlineLevel="0" collapsed="false">
      <c r="B19" s="3" t="s">
        <v>80</v>
      </c>
      <c r="C19" s="10" t="n">
        <v>152940</v>
      </c>
      <c r="H19" s="4" t="s">
        <v>81</v>
      </c>
    </row>
    <row r="20" customFormat="false" ht="15" hidden="false" customHeight="false" outlineLevel="0" collapsed="false">
      <c r="B20" s="3" t="s">
        <v>82</v>
      </c>
      <c r="C20" s="14" t="n">
        <v>31.4</v>
      </c>
      <c r="H20" s="4" t="s">
        <v>83</v>
      </c>
    </row>
    <row r="21" customFormat="false" ht="15" hidden="false" customHeight="false" outlineLevel="0" collapsed="false">
      <c r="B21" s="15" t="s">
        <v>84</v>
      </c>
      <c r="C21" s="16" t="n">
        <f aca="false">IF(C19=0,0,D15/C19)</f>
        <v>87.8775990584543</v>
      </c>
      <c r="H21" s="4" t="s">
        <v>85</v>
      </c>
    </row>
    <row r="22" customFormat="false" ht="15" hidden="false" customHeight="false" outlineLevel="0" collapsed="false">
      <c r="B22" s="3" t="s">
        <v>86</v>
      </c>
      <c r="C22" s="17" t="n">
        <v>0.28</v>
      </c>
      <c r="H22" s="4" t="s">
        <v>87</v>
      </c>
    </row>
    <row r="24" customFormat="false" ht="15" hidden="false" customHeight="false" outlineLevel="0" collapsed="false">
      <c r="B24" s="6" t="s">
        <v>88</v>
      </c>
      <c r="C24" s="7"/>
      <c r="D24" s="7"/>
      <c r="E24" s="7"/>
      <c r="F24" s="7"/>
    </row>
    <row r="25" customFormat="false" ht="15" hidden="false" customHeight="false" outlineLevel="0" collapsed="false">
      <c r="B25" s="3" t="s">
        <v>89</v>
      </c>
      <c r="C25" s="9" t="s">
        <v>90</v>
      </c>
    </row>
    <row r="26" customFormat="false" ht="15" hidden="false" customHeight="false" outlineLevel="0" collapsed="false">
      <c r="B26" s="3" t="s">
        <v>91</v>
      </c>
      <c r="C26" s="10" t="n">
        <v>19500</v>
      </c>
      <c r="H26" s="4" t="s">
        <v>92</v>
      </c>
    </row>
    <row r="27" customFormat="false" ht="15" hidden="false" customHeight="false" outlineLevel="0" collapsed="false">
      <c r="B27" s="3" t="s">
        <v>93</v>
      </c>
      <c r="C27" s="14" t="n">
        <v>348</v>
      </c>
    </row>
    <row r="28" customFormat="false" ht="15" hidden="false" customHeight="false" outlineLevel="0" collapsed="false">
      <c r="B28" s="3" t="s">
        <v>94</v>
      </c>
      <c r="C28" s="14" t="n">
        <v>104</v>
      </c>
    </row>
    <row r="29" customFormat="false" ht="15" hidden="false" customHeight="false" outlineLevel="0" collapsed="false">
      <c r="B29" s="3" t="s">
        <v>95</v>
      </c>
      <c r="C29" s="18" t="n">
        <v>1.54</v>
      </c>
      <c r="H29" s="4" t="s">
        <v>96</v>
      </c>
    </row>
    <row r="30" customFormat="false" ht="15" hidden="false" customHeight="false" outlineLevel="0" collapsed="false">
      <c r="B30" s="3" t="s">
        <v>97</v>
      </c>
      <c r="C30" s="18" t="n">
        <v>1.98</v>
      </c>
    </row>
    <row r="32" customFormat="false" ht="15" hidden="false" customHeight="false" outlineLevel="0" collapsed="false">
      <c r="B32" s="6" t="s">
        <v>98</v>
      </c>
      <c r="C32" s="7"/>
      <c r="D32" s="7"/>
      <c r="E32" s="7"/>
      <c r="F32" s="7"/>
    </row>
    <row r="33" customFormat="false" ht="23.85" hidden="false" customHeight="false" outlineLevel="0" collapsed="false">
      <c r="C33" s="8" t="s">
        <v>99</v>
      </c>
      <c r="D33" s="8" t="s">
        <v>100</v>
      </c>
      <c r="E33" s="8" t="s">
        <v>101</v>
      </c>
    </row>
    <row r="34" customFormat="false" ht="15" hidden="false" customHeight="false" outlineLevel="0" collapsed="false">
      <c r="B34" s="3" t="str">
        <f aca="false">"Activity 1: "&amp;C10</f>
        <v>Activity 1: Setup and changeover</v>
      </c>
      <c r="C34" s="10" t="n">
        <v>1690</v>
      </c>
      <c r="D34" s="19" t="n">
        <f aca="false">C34*F10</f>
        <v>1521000</v>
      </c>
      <c r="E34" s="20" t="n">
        <f aca="false">IF($C$26=0,0,D34/$C$26)</f>
        <v>78</v>
      </c>
      <c r="H34" s="4" t="s">
        <v>102</v>
      </c>
    </row>
    <row r="35" customFormat="false" ht="15" hidden="false" customHeight="false" outlineLevel="0" collapsed="false">
      <c r="B35" s="3" t="str">
        <f aca="false">"Activity 2: "&amp;C11</f>
        <v>Activity 2: Order handling and scheduling</v>
      </c>
      <c r="C35" s="10" t="n">
        <v>2180</v>
      </c>
      <c r="D35" s="19" t="n">
        <f aca="false">C35*F11</f>
        <v>809831.144465291</v>
      </c>
      <c r="E35" s="20" t="n">
        <f aca="false">IF($C$26=0,0,D35/$C$26)</f>
        <v>41.5298022802713</v>
      </c>
      <c r="H35" s="4" t="s">
        <v>103</v>
      </c>
    </row>
    <row r="36" customFormat="false" ht="15" hidden="false" customHeight="false" outlineLevel="0" collapsed="false">
      <c r="B36" s="3" t="str">
        <f aca="false">"Activity 3: "&amp;C12</f>
        <v>Activity 3: Machine running</v>
      </c>
      <c r="C36" s="19" t="n">
        <f aca="false">$C$26*$C$30</f>
        <v>38610</v>
      </c>
      <c r="D36" s="19" t="n">
        <f aca="false">C36*F12</f>
        <v>1184057.08596084</v>
      </c>
      <c r="E36" s="20" t="n">
        <f aca="false">IF($C$26=0,0,D36/$C$26)</f>
        <v>60.7208762031198</v>
      </c>
      <c r="H36" s="4" t="s">
        <v>104</v>
      </c>
    </row>
    <row r="37" customFormat="false" ht="15" hidden="false" customHeight="false" outlineLevel="0" collapsed="false">
      <c r="B37" s="3" t="str">
        <f aca="false">"Activity 4: "&amp;C13</f>
        <v>Activity 4: Engineering and change notes</v>
      </c>
      <c r="C37" s="10" t="n">
        <v>690</v>
      </c>
      <c r="D37" s="19" t="n">
        <f aca="false">C37*F13</f>
        <v>1133571.42857143</v>
      </c>
      <c r="E37" s="20" t="n">
        <f aca="false">IF($C$26=0,0,D37/$C$26)</f>
        <v>58.1318681318681</v>
      </c>
      <c r="H37" s="4" t="s">
        <v>105</v>
      </c>
    </row>
    <row r="38" customFormat="false" ht="15" hidden="false" customHeight="false" outlineLevel="0" collapsed="false">
      <c r="B38" s="3" t="str">
        <f aca="false">"Activity 5: "&amp;C14</f>
        <v>Activity 5: Quality and inspection</v>
      </c>
      <c r="C38" s="10" t="n">
        <v>8720</v>
      </c>
      <c r="D38" s="19" t="n">
        <f aca="false">C38*F14</f>
        <v>900264.105642257</v>
      </c>
      <c r="E38" s="20" t="n">
        <f aca="false">IF($C$26=0,0,D38/$C$26)</f>
        <v>46.1673900329363</v>
      </c>
      <c r="H38" s="4" t="s">
        <v>106</v>
      </c>
    </row>
    <row r="39" customFormat="false" ht="15" hidden="false" customHeight="false" outlineLevel="0" collapsed="false">
      <c r="B39" s="12" t="s">
        <v>107</v>
      </c>
      <c r="D39" s="13" t="n">
        <f aca="false">SUM(D34:D38)</f>
        <v>5548723.76463981</v>
      </c>
      <c r="E39" s="21" t="n">
        <f aca="false">IF($C$26=0,0,D39/$C$26)</f>
        <v>284.549936648196</v>
      </c>
    </row>
    <row r="40" customFormat="false" ht="15" hidden="false" customHeight="false" outlineLevel="0" collapsed="false">
      <c r="B40" s="4" t="s">
        <v>108</v>
      </c>
    </row>
    <row r="42" customFormat="false" ht="15" hidden="false" customHeight="false" outlineLevel="0" collapsed="false">
      <c r="B42" s="6" t="s">
        <v>109</v>
      </c>
      <c r="C42" s="7"/>
      <c r="D42" s="7"/>
      <c r="E42" s="7"/>
      <c r="F42" s="7"/>
    </row>
    <row r="43" customFormat="false" ht="15" hidden="false" customHeight="false" outlineLevel="0" collapsed="false">
      <c r="C43" s="8" t="s">
        <v>101</v>
      </c>
      <c r="D43" s="8" t="s">
        <v>110</v>
      </c>
    </row>
    <row r="44" customFormat="false" ht="15" hidden="false" customHeight="false" outlineLevel="0" collapsed="false">
      <c r="B44" s="3" t="s">
        <v>111</v>
      </c>
      <c r="C44" s="20" t="n">
        <f aca="false">C28</f>
        <v>104</v>
      </c>
      <c r="D44" s="19" t="n">
        <f aca="false">C44*$C$26</f>
        <v>2028000</v>
      </c>
    </row>
    <row r="45" customFormat="false" ht="15" hidden="false" customHeight="false" outlineLevel="0" collapsed="false">
      <c r="B45" s="3" t="s">
        <v>112</v>
      </c>
      <c r="C45" s="20" t="n">
        <f aca="false">C29*C20</f>
        <v>48.356</v>
      </c>
      <c r="D45" s="19" t="n">
        <f aca="false">C45*$C$26</f>
        <v>942942</v>
      </c>
    </row>
    <row r="46" customFormat="false" ht="15" hidden="false" customHeight="false" outlineLevel="0" collapsed="false">
      <c r="B46" s="3" t="s">
        <v>113</v>
      </c>
      <c r="C46" s="20" t="n">
        <f aca="false">C29*C21</f>
        <v>135.33150255002</v>
      </c>
      <c r="D46" s="19" t="n">
        <f aca="false">C46*$C$26</f>
        <v>2638964.29972538</v>
      </c>
    </row>
    <row r="47" customFormat="false" ht="15" hidden="false" customHeight="false" outlineLevel="0" collapsed="false">
      <c r="B47" s="22" t="s">
        <v>114</v>
      </c>
      <c r="C47" s="23" t="n">
        <f aca="false">C44+C45+C46</f>
        <v>287.68750255002</v>
      </c>
      <c r="D47" s="24" t="n">
        <f aca="false">C47*$C$26</f>
        <v>5609906.29972538</v>
      </c>
    </row>
    <row r="48" customFormat="false" ht="15" hidden="false" customHeight="false" outlineLevel="0" collapsed="false">
      <c r="B48" s="3" t="s">
        <v>115</v>
      </c>
      <c r="C48" s="20" t="n">
        <f aca="false">E39</f>
        <v>284.549936648196</v>
      </c>
      <c r="D48" s="19" t="n">
        <f aca="false">C48*$C$26</f>
        <v>5548723.76463981</v>
      </c>
    </row>
    <row r="49" customFormat="false" ht="15" hidden="false" customHeight="false" outlineLevel="0" collapsed="false">
      <c r="B49" s="22" t="s">
        <v>116</v>
      </c>
      <c r="C49" s="23" t="n">
        <f aca="false">C44+C45+C48</f>
        <v>436.905936648196</v>
      </c>
      <c r="D49" s="24" t="n">
        <f aca="false">C49*$C$26</f>
        <v>8519665.76463981</v>
      </c>
    </row>
    <row r="50" customFormat="false" ht="15" hidden="false" customHeight="false" outlineLevel="0" collapsed="false">
      <c r="B50" s="22" t="s">
        <v>117</v>
      </c>
      <c r="C50" s="23" t="n">
        <f aca="false">C49-C47</f>
        <v>149.218434098176</v>
      </c>
      <c r="D50" s="24" t="n">
        <f aca="false">C50*$C$26</f>
        <v>2909759.46491443</v>
      </c>
      <c r="H50" s="4" t="s">
        <v>118</v>
      </c>
    </row>
    <row r="51" customFormat="false" ht="15" hidden="false" customHeight="false" outlineLevel="0" collapsed="false">
      <c r="B51" s="15" t="s">
        <v>119</v>
      </c>
      <c r="C51" s="25" t="n">
        <f aca="false">IF(C47=0,0,C50/C47)</f>
        <v>0.518682364633589</v>
      </c>
    </row>
    <row r="53" customFormat="false" ht="15" hidden="false" customHeight="false" outlineLevel="0" collapsed="false">
      <c r="B53" s="3" t="s">
        <v>120</v>
      </c>
      <c r="C53" s="20" t="n">
        <f aca="false">C27-C47</f>
        <v>60.3124974499804</v>
      </c>
    </row>
    <row r="54" customFormat="false" ht="15" hidden="false" customHeight="false" outlineLevel="0" collapsed="false">
      <c r="B54" s="15" t="s">
        <v>121</v>
      </c>
      <c r="C54" s="25" t="n">
        <f aca="false">IF(C27=0,0,C53/C27)</f>
        <v>0.173311774281553</v>
      </c>
      <c r="H54" s="4" t="s">
        <v>122</v>
      </c>
    </row>
    <row r="55" customFormat="false" ht="15" hidden="false" customHeight="false" outlineLevel="0" collapsed="false">
      <c r="B55" s="3" t="s">
        <v>123</v>
      </c>
      <c r="C55" s="20" t="n">
        <f aca="false">C27-C49</f>
        <v>-88.9059366481956</v>
      </c>
    </row>
    <row r="56" customFormat="false" ht="15" hidden="false" customHeight="false" outlineLevel="0" collapsed="false">
      <c r="B56" s="15" t="s">
        <v>124</v>
      </c>
      <c r="C56" s="25" t="n">
        <f aca="false">IF(C27=0,0,C55/C27)</f>
        <v>-0.255476829448838</v>
      </c>
      <c r="H56" s="4" t="s">
        <v>125</v>
      </c>
    </row>
    <row r="57" customFormat="false" ht="15" hidden="false" customHeight="false" outlineLevel="0" collapsed="false">
      <c r="B57" s="3" t="s">
        <v>126</v>
      </c>
      <c r="C57" s="20" t="n">
        <f aca="false">IF(C22&gt;=1,0,C49/(1-C22))</f>
        <v>606.813800900272</v>
      </c>
    </row>
    <row r="58" customFormat="false" ht="15" hidden="false" customHeight="false" outlineLevel="0" collapsed="false">
      <c r="B58" s="3" t="s">
        <v>127</v>
      </c>
      <c r="C58" s="26" t="n">
        <f aca="false">IF(C27=0,0,C57/C27-1)</f>
        <v>0.743717818678942</v>
      </c>
    </row>
    <row r="60" customFormat="false" ht="15" hidden="false" customHeight="false" outlineLevel="0" collapsed="false">
      <c r="B60" s="6" t="s">
        <v>128</v>
      </c>
      <c r="C60" s="7"/>
      <c r="D60" s="7"/>
      <c r="E60" s="7"/>
      <c r="F60" s="7"/>
    </row>
    <row r="61" customFormat="false" ht="15" hidden="false" customHeight="false" outlineLevel="0" collapsed="false">
      <c r="B61" s="4" t="s">
        <v>129</v>
      </c>
    </row>
    <row r="62" customFormat="false" ht="15" hidden="false" customHeight="false" outlineLevel="0" collapsed="false">
      <c r="B62" s="4" t="s">
        <v>130</v>
      </c>
    </row>
    <row r="63" customFormat="false" ht="23.85" hidden="false" customHeight="false" outlineLevel="0" collapsed="false">
      <c r="C63" s="8" t="s">
        <v>131</v>
      </c>
      <c r="D63" s="8" t="s">
        <v>132</v>
      </c>
      <c r="E63" s="8" t="s">
        <v>101</v>
      </c>
    </row>
    <row r="64" customFormat="false" ht="15" hidden="false" customHeight="false" outlineLevel="0" collapsed="false">
      <c r="B64" s="3" t="str">
        <f aca="false">"Activity 1: "&amp;C10</f>
        <v>Activity 1: Setup and changeover</v>
      </c>
      <c r="C64" s="27" t="n">
        <v>0.9</v>
      </c>
      <c r="D64" s="19" t="n">
        <f aca="false">D34*C64</f>
        <v>1368900</v>
      </c>
      <c r="E64" s="20" t="n">
        <f aca="false">IF($C$26=0,0,D64/$C$26)</f>
        <v>70.2</v>
      </c>
      <c r="H64" s="4" t="s">
        <v>133</v>
      </c>
    </row>
    <row r="65" customFormat="false" ht="15" hidden="false" customHeight="false" outlineLevel="0" collapsed="false">
      <c r="B65" s="3" t="str">
        <f aca="false">"Activity 2: "&amp;C11</f>
        <v>Activity 2: Order handling and scheduling</v>
      </c>
      <c r="C65" s="27" t="n">
        <v>0.7</v>
      </c>
      <c r="D65" s="19" t="n">
        <f aca="false">D35*C65</f>
        <v>566881.801125704</v>
      </c>
      <c r="E65" s="20" t="n">
        <f aca="false">IF($C$26=0,0,D65/$C$26)</f>
        <v>29.0708615961899</v>
      </c>
      <c r="H65" s="4" t="s">
        <v>134</v>
      </c>
    </row>
    <row r="66" customFormat="false" ht="15" hidden="false" customHeight="false" outlineLevel="0" collapsed="false">
      <c r="B66" s="3" t="str">
        <f aca="false">"Activity 3: "&amp;C12</f>
        <v>Activity 3: Machine running</v>
      </c>
      <c r="C66" s="27" t="n">
        <v>0.35</v>
      </c>
      <c r="D66" s="19" t="n">
        <f aca="false">D36*C66</f>
        <v>414419.980086293</v>
      </c>
      <c r="E66" s="20" t="n">
        <f aca="false">IF($C$26=0,0,D66/$C$26)</f>
        <v>21.2523066710919</v>
      </c>
      <c r="H66" s="4" t="s">
        <v>135</v>
      </c>
    </row>
    <row r="67" customFormat="false" ht="15" hidden="false" customHeight="false" outlineLevel="0" collapsed="false">
      <c r="B67" s="3" t="str">
        <f aca="false">"Activity 4: "&amp;C13</f>
        <v>Activity 4: Engineering and change notes</v>
      </c>
      <c r="C67" s="27" t="n">
        <v>0.1</v>
      </c>
      <c r="D67" s="19" t="n">
        <f aca="false">D37*C67</f>
        <v>113357.142857143</v>
      </c>
      <c r="E67" s="20" t="n">
        <f aca="false">IF($C$26=0,0,D67/$C$26)</f>
        <v>5.81318681318681</v>
      </c>
      <c r="H67" s="4" t="s">
        <v>136</v>
      </c>
    </row>
    <row r="68" customFormat="false" ht="15" hidden="false" customHeight="false" outlineLevel="0" collapsed="false">
      <c r="B68" s="3" t="str">
        <f aca="false">"Activity 5: "&amp;C14</f>
        <v>Activity 5: Quality and inspection</v>
      </c>
      <c r="C68" s="27" t="n">
        <v>0.5</v>
      </c>
      <c r="D68" s="19" t="n">
        <f aca="false">D38*C68</f>
        <v>450132.052821128</v>
      </c>
      <c r="E68" s="20" t="n">
        <f aca="false">IF($C$26=0,0,D68/$C$26)</f>
        <v>23.0836950164681</v>
      </c>
      <c r="H68" s="4" t="s">
        <v>137</v>
      </c>
    </row>
    <row r="69" customFormat="false" ht="15" hidden="false" customHeight="false" outlineLevel="0" collapsed="false">
      <c r="B69" s="12" t="s">
        <v>138</v>
      </c>
      <c r="D69" s="13" t="n">
        <f aca="false">SUM(D64:D68)</f>
        <v>2913690.97689027</v>
      </c>
      <c r="E69" s="21" t="n">
        <f aca="false">IF($C$26=0,0,D69/$C$26)</f>
        <v>149.420050096937</v>
      </c>
    </row>
    <row r="70" customFormat="false" ht="15" hidden="false" customHeight="false" outlineLevel="0" collapsed="false">
      <c r="B70" s="15" t="s">
        <v>139</v>
      </c>
      <c r="C70" s="28" t="n">
        <f aca="false">C44+C45+E69</f>
        <v>301.776050096937</v>
      </c>
      <c r="H70" s="4" t="s">
        <v>140</v>
      </c>
    </row>
    <row r="71" customFormat="false" ht="15" hidden="false" customHeight="false" outlineLevel="0" collapsed="false">
      <c r="B71" s="3" t="s">
        <v>141</v>
      </c>
      <c r="C71" s="26" t="n">
        <f aca="false">IF(D39=0,0,D69/D39)</f>
        <v>0.525110115493271</v>
      </c>
    </row>
    <row r="72" customFormat="false" ht="15" hidden="false" customHeight="false" outlineLevel="0" collapsed="false">
      <c r="B72" s="22" t="s">
        <v>142</v>
      </c>
      <c r="D72" s="24" t="n">
        <f aca="false">D39-D69</f>
        <v>2635032.78774955</v>
      </c>
    </row>
    <row r="73" customFormat="false" ht="15" hidden="false" customHeight="false" outlineLevel="0" collapsed="false">
      <c r="B73" s="3" t="s">
        <v>143</v>
      </c>
      <c r="C73" s="20" t="n">
        <f aca="false">C27-C70</f>
        <v>46.2239499030632</v>
      </c>
    </row>
    <row r="74" customFormat="false" ht="15" hidden="false" customHeight="false" outlineLevel="0" collapsed="false">
      <c r="B74" s="4" t="s">
        <v>144</v>
      </c>
    </row>
    <row r="76" customFormat="false" ht="15" hidden="false" customHeight="false" outlineLevel="0" collapsed="false">
      <c r="B76" s="6" t="s">
        <v>145</v>
      </c>
      <c r="C76" s="7"/>
      <c r="D76" s="7"/>
      <c r="E76" s="7"/>
      <c r="F76" s="7"/>
    </row>
    <row r="77" customFormat="false" ht="15" hidden="false" customHeight="false" outlineLevel="0" collapsed="false">
      <c r="B77" s="4" t="s">
        <v>146</v>
      </c>
    </row>
    <row r="78" customFormat="false" ht="15" hidden="false" customHeight="false" outlineLevel="0" collapsed="false">
      <c r="B78" s="3" t="s">
        <v>147</v>
      </c>
      <c r="C78" s="29" t="n">
        <f aca="false">IF(C35=0,0,C34/C35)</f>
        <v>0.775229357798165</v>
      </c>
    </row>
    <row r="79" customFormat="false" ht="15" hidden="false" customHeight="false" outlineLevel="0" collapsed="false">
      <c r="B79" s="15" t="s">
        <v>148</v>
      </c>
      <c r="C79" s="28" t="n">
        <f aca="false">F10*C78+F11</f>
        <v>1069.18859837857</v>
      </c>
      <c r="H79" s="4" t="s">
        <v>149</v>
      </c>
    </row>
    <row r="80" customFormat="false" ht="15" hidden="false" customHeight="false" outlineLevel="0" collapsed="false">
      <c r="B80" s="15" t="s">
        <v>150</v>
      </c>
      <c r="C80" s="28" t="n">
        <f aca="false">F10*C64*C78+F11*C65</f>
        <v>887.973303268671</v>
      </c>
      <c r="H80" s="4" t="s">
        <v>151</v>
      </c>
    </row>
    <row r="81" customFormat="false" ht="15" hidden="false" customHeight="false" outlineLevel="0" collapsed="false">
      <c r="B81" s="3" t="s">
        <v>152</v>
      </c>
      <c r="C81" s="30" t="n">
        <f aca="false">IF(C35=0,0,C26/C35)</f>
        <v>8.94495412844037</v>
      </c>
    </row>
    <row r="82" customFormat="false" ht="15" hidden="false" customHeight="false" outlineLevel="0" collapsed="false">
      <c r="B82" s="3" t="s">
        <v>153</v>
      </c>
      <c r="C82" s="20" t="n">
        <f aca="false">IF(C26=0,0,C49-(D34+D35)/C26)</f>
        <v>317.376134367924</v>
      </c>
    </row>
    <row r="83" customFormat="false" ht="15" hidden="false" customHeight="false" outlineLevel="0" collapsed="false">
      <c r="B83" s="3" t="s">
        <v>154</v>
      </c>
      <c r="C83" s="20" t="n">
        <f aca="false">C27-C82</f>
        <v>30.6238656320758</v>
      </c>
    </row>
    <row r="84" customFormat="false" ht="15" hidden="false" customHeight="false" outlineLevel="0" collapsed="false">
      <c r="B84" s="15" t="s">
        <v>155</v>
      </c>
      <c r="C84" s="31" t="n">
        <f aca="false">IF(C83&lt;=0,"never -- the part loses money on every unit",C79/C83)</f>
        <v>34.9135739825966</v>
      </c>
      <c r="H84" s="4" t="s">
        <v>156</v>
      </c>
    </row>
    <row r="85" customFormat="false" ht="15" hidden="false" customHeight="false" outlineLevel="0" collapsed="false">
      <c r="B85" s="3" t="s">
        <v>157</v>
      </c>
      <c r="C85" s="20" t="n">
        <f aca="false">IF(C26=0,0,C70-(D64+D65)/C26)</f>
        <v>202.505188500747</v>
      </c>
    </row>
    <row r="86" customFormat="false" ht="15" hidden="false" customHeight="false" outlineLevel="0" collapsed="false">
      <c r="B86" s="3" t="s">
        <v>158</v>
      </c>
      <c r="C86" s="20" t="n">
        <f aca="false">C27-C85</f>
        <v>145.494811499253</v>
      </c>
    </row>
    <row r="87" customFormat="false" ht="15" hidden="false" customHeight="false" outlineLevel="0" collapsed="false">
      <c r="B87" s="15" t="s">
        <v>159</v>
      </c>
      <c r="C87" s="31" t="n">
        <f aca="false">IF(C86&lt;=0,"never -- the order consumes more cash than it brings",C80/C86)</f>
        <v>6.10312693709514</v>
      </c>
      <c r="H87" s="4" t="s">
        <v>160</v>
      </c>
    </row>
    <row r="88" customFormat="false" ht="15" hidden="false" customHeight="false" outlineLevel="0" collapsed="false">
      <c r="B88" s="3" t="s">
        <v>161</v>
      </c>
      <c r="C88" s="19" t="n">
        <f aca="false">C83*C81-C79</f>
        <v>-795.259525064135</v>
      </c>
    </row>
    <row r="89" customFormat="false" ht="15" hidden="false" customHeight="false" outlineLevel="0" collapsed="false">
      <c r="B89" s="4" t="s">
        <v>162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AS17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45" min="3" style="0" width="15"/>
  </cols>
  <sheetData>
    <row r="2" customFormat="false" ht="17.35" hidden="false" customHeight="false" outlineLevel="0" collapsed="false">
      <c r="B2" s="1" t="s">
        <v>163</v>
      </c>
    </row>
    <row r="3" customFormat="false" ht="15" hidden="false" customHeight="false" outlineLevel="0" collapsed="false">
      <c r="B3" s="3" t="s">
        <v>164</v>
      </c>
    </row>
    <row r="5" customFormat="false" ht="15" hidden="false" customHeight="false" outlineLevel="0" collapsed="false">
      <c r="B5" s="6" t="s">
        <v>165</v>
      </c>
      <c r="C5" s="7"/>
      <c r="D5" s="7"/>
      <c r="E5" s="7"/>
      <c r="F5" s="7"/>
      <c r="G5" s="7"/>
    </row>
    <row r="6" customFormat="false" ht="15" hidden="false" customHeight="false" outlineLevel="0" collapsed="false">
      <c r="B6" s="4" t="s">
        <v>166</v>
      </c>
    </row>
    <row r="7" customFormat="false" ht="23.85" hidden="false" customHeight="false" outlineLevel="0" collapsed="false">
      <c r="C7" s="8" t="s">
        <v>167</v>
      </c>
      <c r="D7" s="8" t="s">
        <v>168</v>
      </c>
      <c r="E7" s="8" t="s">
        <v>169</v>
      </c>
      <c r="F7" s="8" t="s">
        <v>170</v>
      </c>
      <c r="G7" s="8" t="s">
        <v>171</v>
      </c>
    </row>
    <row r="8" customFormat="false" ht="15" hidden="false" customHeight="false" outlineLevel="0" collapsed="false">
      <c r="B8" s="3" t="s">
        <v>91</v>
      </c>
      <c r="C8" s="10" t="n">
        <v>1850000</v>
      </c>
      <c r="D8" s="10" t="n">
        <v>640000</v>
      </c>
      <c r="E8" s="10" t="n">
        <v>118000</v>
      </c>
      <c r="F8" s="10" t="n">
        <v>19500</v>
      </c>
    </row>
    <row r="9" customFormat="false" ht="15" hidden="false" customHeight="false" outlineLevel="0" collapsed="false">
      <c r="B9" s="3" t="s">
        <v>93</v>
      </c>
      <c r="C9" s="14" t="n">
        <v>9.2</v>
      </c>
      <c r="D9" s="14" t="n">
        <v>23.5</v>
      </c>
      <c r="E9" s="14" t="n">
        <v>78</v>
      </c>
      <c r="F9" s="14" t="n">
        <v>348</v>
      </c>
    </row>
    <row r="10" customFormat="false" ht="15" hidden="false" customHeight="false" outlineLevel="0" collapsed="false">
      <c r="B10" s="3" t="s">
        <v>94</v>
      </c>
      <c r="C10" s="14" t="n">
        <v>2.95</v>
      </c>
      <c r="D10" s="14" t="n">
        <v>8.1</v>
      </c>
      <c r="E10" s="14" t="n">
        <v>26.5</v>
      </c>
      <c r="F10" s="14" t="n">
        <v>104</v>
      </c>
    </row>
    <row r="11" customFormat="false" ht="15" hidden="false" customHeight="false" outlineLevel="0" collapsed="false">
      <c r="B11" s="3" t="s">
        <v>95</v>
      </c>
      <c r="C11" s="18" t="n">
        <v>0.03</v>
      </c>
      <c r="D11" s="18" t="n">
        <v>0.062</v>
      </c>
      <c r="E11" s="18" t="n">
        <v>0.235</v>
      </c>
      <c r="F11" s="18" t="n">
        <v>1.54</v>
      </c>
    </row>
    <row r="12" customFormat="false" ht="15" hidden="false" customHeight="false" outlineLevel="0" collapsed="false">
      <c r="B12" s="3" t="s">
        <v>97</v>
      </c>
      <c r="C12" s="18" t="n">
        <v>0.022</v>
      </c>
      <c r="D12" s="18" t="n">
        <v>0.058</v>
      </c>
      <c r="E12" s="18" t="n">
        <v>0.29</v>
      </c>
      <c r="F12" s="18" t="n">
        <v>1.98</v>
      </c>
    </row>
    <row r="13" customFormat="false" ht="15" hidden="false" customHeight="false" outlineLevel="0" collapsed="false">
      <c r="B13" s="3" t="s">
        <v>172</v>
      </c>
      <c r="C13" s="10" t="n">
        <v>310</v>
      </c>
      <c r="D13" s="10" t="n">
        <v>720</v>
      </c>
      <c r="E13" s="10" t="n">
        <v>1180</v>
      </c>
      <c r="F13" s="10" t="n">
        <v>1690</v>
      </c>
    </row>
    <row r="14" customFormat="false" ht="15" hidden="false" customHeight="false" outlineLevel="0" collapsed="false">
      <c r="B14" s="3" t="s">
        <v>173</v>
      </c>
      <c r="C14" s="10" t="n">
        <v>460</v>
      </c>
      <c r="D14" s="10" t="n">
        <v>1050</v>
      </c>
      <c r="E14" s="10" t="n">
        <v>1640</v>
      </c>
      <c r="F14" s="10" t="n">
        <v>2180</v>
      </c>
    </row>
    <row r="15" customFormat="false" ht="15" hidden="false" customHeight="false" outlineLevel="0" collapsed="false">
      <c r="B15" s="3" t="s">
        <v>174</v>
      </c>
      <c r="C15" s="10" t="n">
        <v>14</v>
      </c>
      <c r="D15" s="10" t="n">
        <v>62</v>
      </c>
      <c r="E15" s="10" t="n">
        <v>214</v>
      </c>
      <c r="F15" s="10" t="n">
        <v>690</v>
      </c>
    </row>
    <row r="16" customFormat="false" ht="15" hidden="false" customHeight="false" outlineLevel="0" collapsed="false">
      <c r="B16" s="3" t="s">
        <v>175</v>
      </c>
      <c r="C16" s="10" t="n">
        <v>920</v>
      </c>
      <c r="D16" s="10" t="n">
        <v>2100</v>
      </c>
      <c r="E16" s="10" t="n">
        <v>4920</v>
      </c>
      <c r="F16" s="10" t="n">
        <v>8720</v>
      </c>
    </row>
    <row r="18" customFormat="false" ht="15" hidden="false" customHeight="false" outlineLevel="0" collapsed="false">
      <c r="B18" s="6" t="s">
        <v>176</v>
      </c>
      <c r="C18" s="7"/>
      <c r="D18" s="7"/>
      <c r="E18" s="7"/>
      <c r="F18" s="7"/>
      <c r="G18" s="7"/>
    </row>
    <row r="19" customFormat="false" ht="15" hidden="false" customHeight="false" outlineLevel="0" collapsed="false">
      <c r="B19" s="3" t="s">
        <v>66</v>
      </c>
      <c r="C19" s="10" t="n">
        <v>3510000</v>
      </c>
    </row>
    <row r="20" customFormat="false" ht="15" hidden="false" customHeight="false" outlineLevel="0" collapsed="false">
      <c r="B20" s="3" t="s">
        <v>69</v>
      </c>
      <c r="C20" s="10" t="n">
        <v>1980000</v>
      </c>
    </row>
    <row r="21" customFormat="false" ht="15" hidden="false" customHeight="false" outlineLevel="0" collapsed="false">
      <c r="B21" s="3" t="s">
        <v>71</v>
      </c>
      <c r="C21" s="10" t="n">
        <v>4620000</v>
      </c>
    </row>
    <row r="22" customFormat="false" ht="15" hidden="false" customHeight="false" outlineLevel="0" collapsed="false">
      <c r="B22" s="3" t="s">
        <v>74</v>
      </c>
      <c r="C22" s="10" t="n">
        <v>1610000</v>
      </c>
    </row>
    <row r="23" customFormat="false" ht="15" hidden="false" customHeight="false" outlineLevel="0" collapsed="false">
      <c r="B23" s="3" t="s">
        <v>76</v>
      </c>
      <c r="C23" s="10" t="n">
        <v>1720000</v>
      </c>
    </row>
    <row r="24" customFormat="false" ht="15" hidden="false" customHeight="false" outlineLevel="0" collapsed="false">
      <c r="B24" s="22" t="s">
        <v>77</v>
      </c>
      <c r="C24" s="13" t="n">
        <f aca="false">SUM(C19:C23)</f>
        <v>13440000</v>
      </c>
    </row>
    <row r="25" customFormat="false" ht="15" hidden="false" customHeight="false" outlineLevel="0" collapsed="false">
      <c r="B25" s="3" t="s">
        <v>82</v>
      </c>
      <c r="C25" s="14" t="n">
        <v>31.4</v>
      </c>
    </row>
    <row r="26" customFormat="false" ht="15" hidden="false" customHeight="false" outlineLevel="0" collapsed="false">
      <c r="B26" s="3" t="s">
        <v>177</v>
      </c>
      <c r="C26" s="10" t="n">
        <v>6720000</v>
      </c>
    </row>
    <row r="28" customFormat="false" ht="15" hidden="false" customHeight="false" outlineLevel="0" collapsed="false">
      <c r="B28" s="6" t="s">
        <v>178</v>
      </c>
      <c r="C28" s="7"/>
      <c r="D28" s="7"/>
      <c r="E28" s="7"/>
      <c r="F28" s="7"/>
      <c r="G28" s="7"/>
    </row>
    <row r="29" customFormat="false" ht="23.85" hidden="false" customHeight="false" outlineLevel="0" collapsed="false">
      <c r="C29" s="8" t="s">
        <v>167</v>
      </c>
      <c r="D29" s="8" t="s">
        <v>168</v>
      </c>
      <c r="E29" s="8" t="s">
        <v>169</v>
      </c>
      <c r="F29" s="8" t="s">
        <v>170</v>
      </c>
      <c r="G29" s="8" t="s">
        <v>171</v>
      </c>
    </row>
    <row r="30" customFormat="false" ht="15" hidden="false" customHeight="false" outlineLevel="0" collapsed="false">
      <c r="B30" s="3" t="s">
        <v>179</v>
      </c>
      <c r="C30" s="19" t="n">
        <f aca="false">C8*C11</f>
        <v>55500</v>
      </c>
      <c r="D30" s="19" t="n">
        <f aca="false">D8*D11</f>
        <v>39680</v>
      </c>
      <c r="E30" s="19" t="n">
        <f aca="false">E8*E11</f>
        <v>27730</v>
      </c>
      <c r="F30" s="19" t="n">
        <f aca="false">F8*F11</f>
        <v>30030</v>
      </c>
      <c r="G30" s="24" t="n">
        <f aca="false">SUM(C30:F30)</f>
        <v>152940</v>
      </c>
    </row>
    <row r="31" customFormat="false" ht="15" hidden="false" customHeight="false" outlineLevel="0" collapsed="false">
      <c r="B31" s="3" t="s">
        <v>180</v>
      </c>
      <c r="C31" s="19" t="n">
        <f aca="false">C8*C12</f>
        <v>40700</v>
      </c>
      <c r="D31" s="19" t="n">
        <f aca="false">D8*D12</f>
        <v>37120</v>
      </c>
      <c r="E31" s="19" t="n">
        <f aca="false">E8*E12</f>
        <v>34220</v>
      </c>
      <c r="F31" s="19" t="n">
        <f aca="false">F8*F12</f>
        <v>38610</v>
      </c>
      <c r="G31" s="24" t="n">
        <f aca="false">SUM(C31:F31)</f>
        <v>150650</v>
      </c>
    </row>
    <row r="32" customFormat="false" ht="15" hidden="false" customHeight="false" outlineLevel="0" collapsed="false">
      <c r="B32" s="3" t="s">
        <v>181</v>
      </c>
      <c r="C32" s="19" t="n">
        <f aca="false">C13</f>
        <v>310</v>
      </c>
      <c r="D32" s="19" t="n">
        <f aca="false">D13</f>
        <v>720</v>
      </c>
      <c r="E32" s="19" t="n">
        <f aca="false">E13</f>
        <v>1180</v>
      </c>
      <c r="F32" s="19" t="n">
        <f aca="false">F13</f>
        <v>1690</v>
      </c>
      <c r="G32" s="24" t="n">
        <f aca="false">SUM(C32:F32)</f>
        <v>3900</v>
      </c>
    </row>
    <row r="33" customFormat="false" ht="15" hidden="false" customHeight="false" outlineLevel="0" collapsed="false">
      <c r="B33" s="3" t="s">
        <v>182</v>
      </c>
      <c r="C33" s="19" t="n">
        <f aca="false">C14</f>
        <v>460</v>
      </c>
      <c r="D33" s="19" t="n">
        <f aca="false">D14</f>
        <v>1050</v>
      </c>
      <c r="E33" s="19" t="n">
        <f aca="false">E14</f>
        <v>1640</v>
      </c>
      <c r="F33" s="19" t="n">
        <f aca="false">F14</f>
        <v>2180</v>
      </c>
      <c r="G33" s="24" t="n">
        <f aca="false">SUM(C33:F33)</f>
        <v>5330</v>
      </c>
    </row>
    <row r="34" customFormat="false" ht="15" hidden="false" customHeight="false" outlineLevel="0" collapsed="false">
      <c r="B34" s="3" t="s">
        <v>183</v>
      </c>
      <c r="C34" s="19" t="n">
        <f aca="false">C15</f>
        <v>14</v>
      </c>
      <c r="D34" s="19" t="n">
        <f aca="false">D15</f>
        <v>62</v>
      </c>
      <c r="E34" s="19" t="n">
        <f aca="false">E15</f>
        <v>214</v>
      </c>
      <c r="F34" s="19" t="n">
        <f aca="false">F15</f>
        <v>690</v>
      </c>
      <c r="G34" s="24" t="n">
        <f aca="false">SUM(C34:F34)</f>
        <v>980</v>
      </c>
    </row>
    <row r="35" customFormat="false" ht="15" hidden="false" customHeight="false" outlineLevel="0" collapsed="false">
      <c r="B35" s="3" t="s">
        <v>106</v>
      </c>
      <c r="C35" s="19" t="n">
        <f aca="false">C16</f>
        <v>920</v>
      </c>
      <c r="D35" s="19" t="n">
        <f aca="false">D16</f>
        <v>2100</v>
      </c>
      <c r="E35" s="19" t="n">
        <f aca="false">E16</f>
        <v>4920</v>
      </c>
      <c r="F35" s="19" t="n">
        <f aca="false">F16</f>
        <v>8720</v>
      </c>
      <c r="G35" s="24" t="n">
        <f aca="false">SUM(C35:F35)</f>
        <v>16660</v>
      </c>
    </row>
    <row r="36" customFormat="false" ht="15" hidden="false" customHeight="false" outlineLevel="0" collapsed="false">
      <c r="B36" s="3" t="s">
        <v>184</v>
      </c>
      <c r="C36" s="19" t="n">
        <f aca="false">C8*C9</f>
        <v>17020000</v>
      </c>
      <c r="D36" s="19" t="n">
        <f aca="false">D8*D9</f>
        <v>15040000</v>
      </c>
      <c r="E36" s="19" t="n">
        <f aca="false">E8*E9</f>
        <v>9204000</v>
      </c>
      <c r="F36" s="19" t="n">
        <f aca="false">F8*F9</f>
        <v>6786000</v>
      </c>
      <c r="G36" s="24" t="n">
        <f aca="false">SUM(C36:F36)</f>
        <v>48050000</v>
      </c>
    </row>
    <row r="37" customFormat="false" ht="15" hidden="false" customHeight="false" outlineLevel="0" collapsed="false">
      <c r="B37" s="3" t="s">
        <v>185</v>
      </c>
      <c r="C37" s="19" t="n">
        <f aca="false">C8*C10</f>
        <v>5457500</v>
      </c>
      <c r="D37" s="19" t="n">
        <f aca="false">D8*D10</f>
        <v>5184000</v>
      </c>
      <c r="E37" s="19" t="n">
        <f aca="false">E8*E10</f>
        <v>3127000</v>
      </c>
      <c r="F37" s="19" t="n">
        <f aca="false">F8*F10</f>
        <v>2028000</v>
      </c>
      <c r="G37" s="24" t="n">
        <f aca="false">SUM(C37:F37)</f>
        <v>15796500</v>
      </c>
    </row>
    <row r="39" customFormat="false" ht="15" hidden="false" customHeight="false" outlineLevel="0" collapsed="false">
      <c r="B39" s="6" t="s">
        <v>186</v>
      </c>
      <c r="C39" s="7"/>
      <c r="D39" s="7"/>
      <c r="E39" s="7"/>
      <c r="F39" s="7"/>
      <c r="G39" s="7"/>
    </row>
    <row r="40" customFormat="false" ht="15" hidden="false" customHeight="false" outlineLevel="0" collapsed="false">
      <c r="B40" s="3" t="s">
        <v>187</v>
      </c>
      <c r="C40" s="11" t="n">
        <f aca="false">C19/$G$32</f>
        <v>900</v>
      </c>
    </row>
    <row r="41" customFormat="false" ht="15" hidden="false" customHeight="false" outlineLevel="0" collapsed="false">
      <c r="B41" s="3" t="s">
        <v>188</v>
      </c>
      <c r="C41" s="11" t="n">
        <f aca="false">C20/$G$33</f>
        <v>371.482176360225</v>
      </c>
    </row>
    <row r="42" customFormat="false" ht="15" hidden="false" customHeight="false" outlineLevel="0" collapsed="false">
      <c r="B42" s="3" t="s">
        <v>189</v>
      </c>
      <c r="C42" s="11" t="n">
        <f aca="false">C21/$G$31</f>
        <v>30.6671091934949</v>
      </c>
    </row>
    <row r="43" customFormat="false" ht="15" hidden="false" customHeight="false" outlineLevel="0" collapsed="false">
      <c r="B43" s="3" t="s">
        <v>190</v>
      </c>
      <c r="C43" s="11" t="n">
        <f aca="false">C22/$G$34</f>
        <v>1642.85714285714</v>
      </c>
    </row>
    <row r="44" customFormat="false" ht="15" hidden="false" customHeight="false" outlineLevel="0" collapsed="false">
      <c r="B44" s="3" t="s">
        <v>191</v>
      </c>
      <c r="C44" s="11" t="n">
        <f aca="false">C23/$G$35</f>
        <v>103.241296518607</v>
      </c>
    </row>
    <row r="45" customFormat="false" ht="15" hidden="false" customHeight="false" outlineLevel="0" collapsed="false">
      <c r="B45" s="22" t="s">
        <v>192</v>
      </c>
      <c r="C45" s="32" t="n">
        <f aca="false">C24/$G$30</f>
        <v>87.8775990584543</v>
      </c>
    </row>
    <row r="47" customFormat="false" ht="23.85" hidden="false" customHeight="false" outlineLevel="0" collapsed="false">
      <c r="C47" s="8" t="s">
        <v>167</v>
      </c>
      <c r="D47" s="8" t="s">
        <v>168</v>
      </c>
      <c r="E47" s="8" t="s">
        <v>169</v>
      </c>
      <c r="F47" s="8" t="s">
        <v>170</v>
      </c>
      <c r="G47" s="8" t="s">
        <v>171</v>
      </c>
    </row>
    <row r="48" customFormat="false" ht="15" hidden="false" customHeight="false" outlineLevel="0" collapsed="false">
      <c r="B48" s="3" t="s">
        <v>193</v>
      </c>
      <c r="C48" s="19" t="n">
        <f aca="false">C13*$C$40</f>
        <v>279000</v>
      </c>
      <c r="D48" s="19" t="n">
        <f aca="false">D13*$C$40</f>
        <v>648000</v>
      </c>
      <c r="E48" s="19" t="n">
        <f aca="false">E13*$C$40</f>
        <v>1062000</v>
      </c>
      <c r="F48" s="19" t="n">
        <f aca="false">F13*$C$40</f>
        <v>1521000</v>
      </c>
      <c r="G48" s="24" t="n">
        <f aca="false">SUM(C48:F48)</f>
        <v>3510000</v>
      </c>
    </row>
    <row r="49" customFormat="false" ht="15" hidden="false" customHeight="false" outlineLevel="0" collapsed="false">
      <c r="B49" s="3" t="s">
        <v>194</v>
      </c>
      <c r="C49" s="19" t="n">
        <f aca="false">C14*$C$41</f>
        <v>170881.801125704</v>
      </c>
      <c r="D49" s="19" t="n">
        <f aca="false">D14*$C$41</f>
        <v>390056.285178236</v>
      </c>
      <c r="E49" s="19" t="n">
        <f aca="false">E14*$C$41</f>
        <v>609230.769230769</v>
      </c>
      <c r="F49" s="19" t="n">
        <f aca="false">F14*$C$41</f>
        <v>809831.144465291</v>
      </c>
      <c r="G49" s="24" t="n">
        <f aca="false">SUM(C49:F49)</f>
        <v>1980000</v>
      </c>
    </row>
    <row r="50" customFormat="false" ht="15" hidden="false" customHeight="false" outlineLevel="0" collapsed="false">
      <c r="B50" s="3" t="s">
        <v>195</v>
      </c>
      <c r="C50" s="19" t="n">
        <f aca="false">C31*$C$42</f>
        <v>1248151.34417524</v>
      </c>
      <c r="D50" s="19" t="n">
        <f aca="false">D31*$C$42</f>
        <v>1138363.09326253</v>
      </c>
      <c r="E50" s="19" t="n">
        <f aca="false">E31*$C$42</f>
        <v>1049428.47660139</v>
      </c>
      <c r="F50" s="19" t="n">
        <f aca="false">F31*$C$42</f>
        <v>1184057.08596084</v>
      </c>
      <c r="G50" s="24" t="n">
        <f aca="false">SUM(C50:F50)</f>
        <v>4620000</v>
      </c>
    </row>
    <row r="51" customFormat="false" ht="15" hidden="false" customHeight="false" outlineLevel="0" collapsed="false">
      <c r="B51" s="3" t="s">
        <v>196</v>
      </c>
      <c r="C51" s="19" t="n">
        <f aca="false">C15*$C$43</f>
        <v>23000</v>
      </c>
      <c r="D51" s="19" t="n">
        <f aca="false">D15*$C$43</f>
        <v>101857.142857143</v>
      </c>
      <c r="E51" s="19" t="n">
        <f aca="false">E15*$C$43</f>
        <v>351571.428571429</v>
      </c>
      <c r="F51" s="19" t="n">
        <f aca="false">F15*$C$43</f>
        <v>1133571.42857143</v>
      </c>
      <c r="G51" s="24" t="n">
        <f aca="false">SUM(C51:F51)</f>
        <v>1610000</v>
      </c>
    </row>
    <row r="52" customFormat="false" ht="15" hidden="false" customHeight="false" outlineLevel="0" collapsed="false">
      <c r="B52" s="3" t="s">
        <v>197</v>
      </c>
      <c r="C52" s="19" t="n">
        <f aca="false">C16*$C$44</f>
        <v>94981.9927971188</v>
      </c>
      <c r="D52" s="19" t="n">
        <f aca="false">D16*$C$44</f>
        <v>216806.722689076</v>
      </c>
      <c r="E52" s="19" t="n">
        <f aca="false">E16*$C$44</f>
        <v>507947.178871549</v>
      </c>
      <c r="F52" s="19" t="n">
        <f aca="false">F16*$C$44</f>
        <v>900264.105642257</v>
      </c>
      <c r="G52" s="24" t="n">
        <f aca="false">SUM(C52:F52)</f>
        <v>1720000</v>
      </c>
    </row>
    <row r="53" customFormat="false" ht="15" hidden="false" customHeight="false" outlineLevel="0" collapsed="false">
      <c r="B53" s="3" t="s">
        <v>198</v>
      </c>
      <c r="C53" s="19" t="n">
        <f aca="false">SUM(C48:C52)</f>
        <v>1816015.13809806</v>
      </c>
      <c r="D53" s="19" t="n">
        <f aca="false">SUM(D48:D52)</f>
        <v>2495083.24398698</v>
      </c>
      <c r="E53" s="19" t="n">
        <f aca="false">SUM(E48:E52)</f>
        <v>3580177.85327514</v>
      </c>
      <c r="F53" s="19" t="n">
        <f aca="false">SUM(F48:F52)</f>
        <v>5548723.76463981</v>
      </c>
      <c r="G53" s="24" t="n">
        <f aca="false">SUM(C53:F53)</f>
        <v>13440000</v>
      </c>
    </row>
    <row r="54" customFormat="false" ht="15" hidden="false" customHeight="false" outlineLevel="0" collapsed="false">
      <c r="B54" s="3" t="s">
        <v>199</v>
      </c>
      <c r="C54" s="20" t="n">
        <f aca="false">C53/C8</f>
        <v>0.981629804377332</v>
      </c>
      <c r="D54" s="20" t="n">
        <f aca="false">D53/D8</f>
        <v>3.89856756872966</v>
      </c>
      <c r="E54" s="20" t="n">
        <f aca="false">E53/E8</f>
        <v>30.3404902819927</v>
      </c>
      <c r="F54" s="20" t="n">
        <f aca="false">F53/F8</f>
        <v>284.549936648196</v>
      </c>
    </row>
    <row r="55" customFormat="false" ht="15" hidden="false" customHeight="false" outlineLevel="0" collapsed="false">
      <c r="B55" s="22" t="s">
        <v>200</v>
      </c>
      <c r="C55" s="23" t="n">
        <f aca="false">C10+C11*$C$25+C54</f>
        <v>4.87362980437733</v>
      </c>
      <c r="D55" s="23" t="n">
        <f aca="false">D10+D11*$C$25+D54</f>
        <v>13.9453675687297</v>
      </c>
      <c r="E55" s="23" t="n">
        <f aca="false">E10+E11*$C$25+E54</f>
        <v>64.2194902819927</v>
      </c>
      <c r="F55" s="23" t="n">
        <f aca="false">F10+F11*$C$25+F54</f>
        <v>436.905936648196</v>
      </c>
    </row>
    <row r="56" customFormat="false" ht="15" hidden="false" customHeight="false" outlineLevel="0" collapsed="false">
      <c r="B56" s="3" t="s">
        <v>201</v>
      </c>
      <c r="C56" s="20" t="n">
        <f aca="false">C11*$C$45</f>
        <v>2.63632797175363</v>
      </c>
      <c r="D56" s="20" t="n">
        <f aca="false">D11*$C$45</f>
        <v>5.44841114162417</v>
      </c>
      <c r="E56" s="20" t="n">
        <f aca="false">E11*$C$45</f>
        <v>20.6512357787368</v>
      </c>
      <c r="F56" s="20" t="n">
        <f aca="false">F11*$C$45</f>
        <v>135.33150255002</v>
      </c>
    </row>
    <row r="57" customFormat="false" ht="15" hidden="false" customHeight="false" outlineLevel="0" collapsed="false">
      <c r="B57" s="22" t="s">
        <v>202</v>
      </c>
      <c r="C57" s="23" t="n">
        <f aca="false">C10+C11*$C$25+C56</f>
        <v>6.52832797175363</v>
      </c>
      <c r="D57" s="23" t="n">
        <f aca="false">D10+D11*$C$25+D56</f>
        <v>15.4952111416242</v>
      </c>
      <c r="E57" s="23" t="n">
        <f aca="false">E10+E11*$C$25+E56</f>
        <v>54.5302357787368</v>
      </c>
      <c r="F57" s="23" t="n">
        <f aca="false">F10+F11*$C$25+F56</f>
        <v>287.68750255002</v>
      </c>
    </row>
    <row r="58" customFormat="false" ht="15" hidden="false" customHeight="false" outlineLevel="0" collapsed="false">
      <c r="B58" s="3" t="s">
        <v>203</v>
      </c>
      <c r="C58" s="19" t="n">
        <f aca="false">(C9-C55)*C8</f>
        <v>8003784.86190193</v>
      </c>
      <c r="D58" s="19" t="n">
        <f aca="false">(D9-D55)*D8</f>
        <v>6114964.75601302</v>
      </c>
      <c r="E58" s="19" t="n">
        <f aca="false">(E9-E55)*E8</f>
        <v>1626100.14672486</v>
      </c>
      <c r="F58" s="19" t="n">
        <f aca="false">(F9-F55)*F8</f>
        <v>-1733665.76463981</v>
      </c>
      <c r="G58" s="24" t="n">
        <f aca="false">SUM(C58:F58)</f>
        <v>14011184</v>
      </c>
    </row>
    <row r="61" customFormat="false" ht="15" hidden="false" customHeight="false" outlineLevel="0" collapsed="false">
      <c r="B61" s="6" t="s">
        <v>204</v>
      </c>
      <c r="C61" s="7"/>
      <c r="D61" s="7"/>
      <c r="E61" s="7"/>
      <c r="F61" s="7"/>
      <c r="G61" s="7"/>
    </row>
    <row r="62" customFormat="false" ht="15" hidden="false" customHeight="false" outlineLevel="0" collapsed="false">
      <c r="B62" s="4" t="s">
        <v>205</v>
      </c>
    </row>
    <row r="63" customFormat="false" ht="23.85" hidden="false" customHeight="false" outlineLevel="0" collapsed="false">
      <c r="B63" s="8" t="s">
        <v>206</v>
      </c>
      <c r="C63" s="8" t="s">
        <v>207</v>
      </c>
      <c r="D63" s="8" t="s">
        <v>208</v>
      </c>
      <c r="E63" s="8" t="s">
        <v>209</v>
      </c>
      <c r="F63" s="8" t="s">
        <v>210</v>
      </c>
      <c r="G63" s="8" t="s">
        <v>211</v>
      </c>
    </row>
    <row r="64" customFormat="false" ht="15" hidden="false" customHeight="false" outlineLevel="0" collapsed="false">
      <c r="B64" s="14" t="n">
        <v>0.6</v>
      </c>
      <c r="C64" s="24" t="n">
        <f aca="false">'Sensitivities, the data'!$AN$143</f>
        <v>3945414.74620322</v>
      </c>
      <c r="D64" s="26" t="n">
        <f aca="false">'Sensitivities, the data'!$AP$143</f>
        <v>0.541121270043826</v>
      </c>
      <c r="E64" s="33" t="str">
        <f aca="false">'Sensitivities, the data'!$AR$143</f>
        <v>Aerospace brackets</v>
      </c>
      <c r="F64" s="26" t="n">
        <f aca="false">'Sensitivities, the data'!$AS$143</f>
        <v>0.511744417725107</v>
      </c>
      <c r="G64" s="19" t="n">
        <f aca="false">'Sensitivities, the data'!$AO$143</f>
        <v>7291184</v>
      </c>
    </row>
    <row r="65" customFormat="false" ht="15" hidden="false" customHeight="false" outlineLevel="0" collapsed="false">
      <c r="B65" s="14" t="n">
        <v>0.8</v>
      </c>
      <c r="C65" s="24" t="n">
        <f aca="false">'Sensitivities, the data'!$AN$144</f>
        <v>3999253.12125093</v>
      </c>
      <c r="D65" s="26" t="n">
        <f aca="false">'Sensitivities, the data'!$AP$144</f>
        <v>0.548505307402876</v>
      </c>
      <c r="E65" s="33" t="str">
        <f aca="false">'Sensitivities, the data'!$AR$144</f>
        <v>Aerospace brackets</v>
      </c>
      <c r="F65" s="26" t="n">
        <f aca="false">'Sensitivities, the data'!$AS$144</f>
        <v>0.515213391179348</v>
      </c>
      <c r="G65" s="19" t="n">
        <f aca="false">'Sensitivities, the data'!$AO$144</f>
        <v>7291184</v>
      </c>
    </row>
    <row r="66" customFormat="false" ht="15" hidden="false" customHeight="false" outlineLevel="0" collapsed="false">
      <c r="B66" s="34" t="n">
        <v>1</v>
      </c>
      <c r="C66" s="35" t="n">
        <f aca="false">'Sensitivities, the data'!$AN$145</f>
        <v>4053091.49629863</v>
      </c>
      <c r="D66" s="36" t="n">
        <f aca="false">'Sensitivities, the data'!$AP$145</f>
        <v>0.555889344761925</v>
      </c>
      <c r="E66" s="37" t="str">
        <f aca="false">'Sensitivities, the data'!$AR$145</f>
        <v>Aerospace brackets</v>
      </c>
      <c r="F66" s="36" t="n">
        <f aca="false">'Sensitivities, the data'!$AS$145</f>
        <v>0.518682364633589</v>
      </c>
      <c r="G66" s="38" t="n">
        <f aca="false">'Sensitivities, the data'!$AO$145</f>
        <v>7291184</v>
      </c>
    </row>
    <row r="67" customFormat="false" ht="15" hidden="false" customHeight="false" outlineLevel="0" collapsed="false">
      <c r="B67" s="14" t="n">
        <v>1.3</v>
      </c>
      <c r="C67" s="24" t="n">
        <f aca="false">'Sensitivities, the data'!$AN$146</f>
        <v>4133849.05887019</v>
      </c>
      <c r="D67" s="26" t="n">
        <f aca="false">'Sensitivities, the data'!$AP$146</f>
        <v>0.566965400800499</v>
      </c>
      <c r="E67" s="33" t="str">
        <f aca="false">'Sensitivities, the data'!$AR$146</f>
        <v>Aerospace brackets</v>
      </c>
      <c r="F67" s="26" t="n">
        <f aca="false">'Sensitivities, the data'!$AS$146</f>
        <v>0.523885824814951</v>
      </c>
      <c r="G67" s="19" t="n">
        <f aca="false">'Sensitivities, the data'!$AO$146</f>
        <v>7291184</v>
      </c>
    </row>
    <row r="68" customFormat="false" ht="15" hidden="false" customHeight="false" outlineLevel="0" collapsed="false">
      <c r="B68" s="14" t="n">
        <v>1.6</v>
      </c>
      <c r="C68" s="24" t="n">
        <f aca="false">'Sensitivities, the data'!$AN$147</f>
        <v>4214606.62144175</v>
      </c>
      <c r="D68" s="26" t="n">
        <f aca="false">'Sensitivities, the data'!$AP$147</f>
        <v>0.578041456839074</v>
      </c>
      <c r="E68" s="33" t="str">
        <f aca="false">'Sensitivities, the data'!$AR$147</f>
        <v>Aerospace brackets</v>
      </c>
      <c r="F68" s="26" t="n">
        <f aca="false">'Sensitivities, the data'!$AS$147</f>
        <v>0.529089284996312</v>
      </c>
      <c r="G68" s="19" t="n">
        <f aca="false">'Sensitivities, the data'!$AO$147</f>
        <v>7291184</v>
      </c>
    </row>
    <row r="69" customFormat="false" ht="15" hidden="false" customHeight="false" outlineLevel="0" collapsed="false">
      <c r="B69" s="12" t="s">
        <v>212</v>
      </c>
      <c r="C69" s="13" t="n">
        <f aca="false">MAX(C64:C68)-MIN(C64:C68)</f>
        <v>269191.875238522</v>
      </c>
    </row>
    <row r="71" customFormat="false" ht="15" hidden="false" customHeight="false" outlineLevel="0" collapsed="false">
      <c r="B71" s="6" t="s">
        <v>213</v>
      </c>
      <c r="C71" s="7"/>
      <c r="D71" s="7"/>
      <c r="E71" s="7"/>
      <c r="F71" s="7"/>
      <c r="G71" s="7"/>
    </row>
    <row r="72" customFormat="false" ht="15" hidden="false" customHeight="false" outlineLevel="0" collapsed="false">
      <c r="B72" s="4" t="s">
        <v>214</v>
      </c>
    </row>
    <row r="73" customFormat="false" ht="23.85" hidden="false" customHeight="false" outlineLevel="0" collapsed="false">
      <c r="B73" s="8" t="s">
        <v>206</v>
      </c>
      <c r="C73" s="8" t="s">
        <v>207</v>
      </c>
      <c r="D73" s="8" t="s">
        <v>208</v>
      </c>
      <c r="E73" s="8" t="s">
        <v>209</v>
      </c>
      <c r="F73" s="8" t="s">
        <v>210</v>
      </c>
      <c r="G73" s="8" t="s">
        <v>211</v>
      </c>
    </row>
    <row r="74" customFormat="false" ht="15" hidden="false" customHeight="false" outlineLevel="0" collapsed="false">
      <c r="B74" s="14" t="n">
        <v>0.6</v>
      </c>
      <c r="C74" s="24" t="n">
        <f aca="false">'Sensitivities, the data'!$AN$148</f>
        <v>4604451.11144288</v>
      </c>
      <c r="D74" s="26" t="n">
        <f aca="false">'Sensitivities, the data'!$AP$148</f>
        <v>0.631509383310431</v>
      </c>
      <c r="E74" s="33" t="str">
        <f aca="false">'Sensitivities, the data'!$AR$148</f>
        <v>Aerospace brackets</v>
      </c>
      <c r="F74" s="26" t="n">
        <f aca="false">'Sensitivities, the data'!$AS$148</f>
        <v>0.597271690707663</v>
      </c>
      <c r="G74" s="19" t="n">
        <f aca="false">'Sensitivities, the data'!$AO$148</f>
        <v>7291184</v>
      </c>
    </row>
    <row r="75" customFormat="false" ht="15" hidden="false" customHeight="false" outlineLevel="0" collapsed="false">
      <c r="B75" s="14" t="n">
        <v>0.8</v>
      </c>
      <c r="C75" s="24" t="n">
        <f aca="false">'Sensitivities, the data'!$AN$149</f>
        <v>4328771.30387076</v>
      </c>
      <c r="D75" s="26" t="n">
        <f aca="false">'Sensitivities, the data'!$AP$149</f>
        <v>0.593699364036179</v>
      </c>
      <c r="E75" s="33" t="str">
        <f aca="false">'Sensitivities, the data'!$AR$149</f>
        <v>Aerospace brackets</v>
      </c>
      <c r="F75" s="26" t="n">
        <f aca="false">'Sensitivities, the data'!$AS$149</f>
        <v>0.557977027670626</v>
      </c>
      <c r="G75" s="19" t="n">
        <f aca="false">'Sensitivities, the data'!$AO$149</f>
        <v>7291184</v>
      </c>
    </row>
    <row r="76" customFormat="false" ht="15" hidden="false" customHeight="false" outlineLevel="0" collapsed="false">
      <c r="B76" s="34" t="n">
        <v>1</v>
      </c>
      <c r="C76" s="35" t="n">
        <f aca="false">'Sensitivities, the data'!$AN$150</f>
        <v>4053091.49629863</v>
      </c>
      <c r="D76" s="36" t="n">
        <f aca="false">'Sensitivities, the data'!$AP$150</f>
        <v>0.555889344761925</v>
      </c>
      <c r="E76" s="37" t="str">
        <f aca="false">'Sensitivities, the data'!$AR$150</f>
        <v>Aerospace brackets</v>
      </c>
      <c r="F76" s="36" t="n">
        <f aca="false">'Sensitivities, the data'!$AS$150</f>
        <v>0.518682364633589</v>
      </c>
      <c r="G76" s="38" t="n">
        <f aca="false">'Sensitivities, the data'!$AO$150</f>
        <v>7291184</v>
      </c>
    </row>
    <row r="77" customFormat="false" ht="15" hidden="false" customHeight="false" outlineLevel="0" collapsed="false">
      <c r="B77" s="14" t="n">
        <v>1.3</v>
      </c>
      <c r="C77" s="24" t="n">
        <f aca="false">'Sensitivities, the data'!$AN$151</f>
        <v>3639571.78494045</v>
      </c>
      <c r="D77" s="26" t="n">
        <f aca="false">'Sensitivities, the data'!$AP$151</f>
        <v>0.499174315850546</v>
      </c>
      <c r="E77" s="33" t="str">
        <f aca="false">'Sensitivities, the data'!$AR$151</f>
        <v>Aerospace brackets</v>
      </c>
      <c r="F77" s="26" t="n">
        <f aca="false">'Sensitivities, the data'!$AS$151</f>
        <v>0.459740370078034</v>
      </c>
      <c r="G77" s="19" t="n">
        <f aca="false">'Sensitivities, the data'!$AO$151</f>
        <v>7291184</v>
      </c>
    </row>
    <row r="78" customFormat="false" ht="15" hidden="false" customHeight="false" outlineLevel="0" collapsed="false">
      <c r="B78" s="14" t="n">
        <v>1.6</v>
      </c>
      <c r="C78" s="24" t="n">
        <f aca="false">'Sensitivities, the data'!$AN$152</f>
        <v>3226052.07358226</v>
      </c>
      <c r="D78" s="26" t="n">
        <f aca="false">'Sensitivities, the data'!$AP$152</f>
        <v>0.442459286939166</v>
      </c>
      <c r="E78" s="33" t="str">
        <f aca="false">'Sensitivities, the data'!$AR$152</f>
        <v>Aerospace brackets</v>
      </c>
      <c r="F78" s="26" t="n">
        <f aca="false">'Sensitivities, the data'!$AS$152</f>
        <v>0.400798375522479</v>
      </c>
      <c r="G78" s="19" t="n">
        <f aca="false">'Sensitivities, the data'!$AO$152</f>
        <v>7291184</v>
      </c>
    </row>
    <row r="79" customFormat="false" ht="15" hidden="false" customHeight="false" outlineLevel="0" collapsed="false">
      <c r="B79" s="12" t="s">
        <v>212</v>
      </c>
      <c r="C79" s="13" t="n">
        <f aca="false">MAX(C74:C78)-MIN(C74:C78)</f>
        <v>1378399.03786063</v>
      </c>
    </row>
    <row r="81" customFormat="false" ht="15" hidden="false" customHeight="false" outlineLevel="0" collapsed="false">
      <c r="B81" s="6" t="s">
        <v>215</v>
      </c>
      <c r="C81" s="7"/>
      <c r="D81" s="7"/>
      <c r="E81" s="7"/>
      <c r="F81" s="7"/>
      <c r="G81" s="7"/>
    </row>
    <row r="82" customFormat="false" ht="15" hidden="false" customHeight="false" outlineLevel="0" collapsed="false">
      <c r="B82" s="4" t="s">
        <v>216</v>
      </c>
    </row>
    <row r="83" customFormat="false" ht="23.85" hidden="false" customHeight="false" outlineLevel="0" collapsed="false">
      <c r="B83" s="8" t="s">
        <v>206</v>
      </c>
      <c r="C83" s="8" t="s">
        <v>207</v>
      </c>
      <c r="D83" s="8" t="s">
        <v>208</v>
      </c>
      <c r="E83" s="8" t="s">
        <v>209</v>
      </c>
      <c r="F83" s="8" t="s">
        <v>210</v>
      </c>
      <c r="G83" s="8" t="s">
        <v>211</v>
      </c>
    </row>
    <row r="84" customFormat="false" ht="15" hidden="false" customHeight="false" outlineLevel="0" collapsed="false">
      <c r="B84" s="14" t="n">
        <v>0.6</v>
      </c>
      <c r="C84" s="24" t="n">
        <f aca="false">'Sensitivities, the data'!$AN$153</f>
        <v>3875144.29781488</v>
      </c>
      <c r="D84" s="26" t="n">
        <f aca="false">'Sensitivities, the data'!$AP$153</f>
        <v>0.531483542016616</v>
      </c>
      <c r="E84" s="33" t="str">
        <f aca="false">'Sensitivities, the data'!$AR$153</f>
        <v>Aerospace brackets</v>
      </c>
      <c r="F84" s="26" t="n">
        <f aca="false">'Sensitivities, the data'!$AS$153</f>
        <v>0.480700075460297</v>
      </c>
      <c r="G84" s="19" t="n">
        <f aca="false">'Sensitivities, the data'!$AO$153</f>
        <v>7291184</v>
      </c>
    </row>
    <row r="85" customFormat="false" ht="15" hidden="false" customHeight="false" outlineLevel="0" collapsed="false">
      <c r="B85" s="14" t="n">
        <v>0.8</v>
      </c>
      <c r="C85" s="24" t="n">
        <f aca="false">'Sensitivities, the data'!$AN$154</f>
        <v>3964117.89705676</v>
      </c>
      <c r="D85" s="26" t="n">
        <f aca="false">'Sensitivities, the data'!$AP$154</f>
        <v>0.543686443389271</v>
      </c>
      <c r="E85" s="33" t="str">
        <f aca="false">'Sensitivities, the data'!$AR$154</f>
        <v>Aerospace brackets</v>
      </c>
      <c r="F85" s="26" t="n">
        <f aca="false">'Sensitivities, the data'!$AS$154</f>
        <v>0.499691220046943</v>
      </c>
      <c r="G85" s="19" t="n">
        <f aca="false">'Sensitivities, the data'!$AO$154</f>
        <v>7291184</v>
      </c>
    </row>
    <row r="86" customFormat="false" ht="15" hidden="false" customHeight="false" outlineLevel="0" collapsed="false">
      <c r="B86" s="34" t="n">
        <v>1</v>
      </c>
      <c r="C86" s="35" t="n">
        <f aca="false">'Sensitivities, the data'!$AN$155</f>
        <v>4053091.49629863</v>
      </c>
      <c r="D86" s="36" t="n">
        <f aca="false">'Sensitivities, the data'!$AP$155</f>
        <v>0.555889344761925</v>
      </c>
      <c r="E86" s="37" t="str">
        <f aca="false">'Sensitivities, the data'!$AR$155</f>
        <v>Aerospace brackets</v>
      </c>
      <c r="F86" s="36" t="n">
        <f aca="false">'Sensitivities, the data'!$AS$155</f>
        <v>0.518682364633589</v>
      </c>
      <c r="G86" s="38" t="n">
        <f aca="false">'Sensitivities, the data'!$AO$155</f>
        <v>7291184</v>
      </c>
    </row>
    <row r="87" customFormat="false" ht="15" hidden="false" customHeight="false" outlineLevel="0" collapsed="false">
      <c r="B87" s="14" t="n">
        <v>1.3</v>
      </c>
      <c r="C87" s="24" t="n">
        <f aca="false">'Sensitivities, the data'!$AN$156</f>
        <v>4186551.89516145</v>
      </c>
      <c r="D87" s="26" t="n">
        <f aca="false">'Sensitivities, the data'!$AP$156</f>
        <v>0.574193696820907</v>
      </c>
      <c r="E87" s="33" t="str">
        <f aca="false">'Sensitivities, the data'!$AR$156</f>
        <v>Aerospace brackets</v>
      </c>
      <c r="F87" s="26" t="n">
        <f aca="false">'Sensitivities, the data'!$AS$156</f>
        <v>0.547169081513558</v>
      </c>
      <c r="G87" s="19" t="n">
        <f aca="false">'Sensitivities, the data'!$AO$156</f>
        <v>7291184</v>
      </c>
    </row>
    <row r="88" customFormat="false" ht="15" hidden="false" customHeight="false" outlineLevel="0" collapsed="false">
      <c r="B88" s="14" t="n">
        <v>1.6</v>
      </c>
      <c r="C88" s="24" t="n">
        <f aca="false">'Sensitivities, the data'!$AN$157</f>
        <v>4320012.29402426</v>
      </c>
      <c r="D88" s="26" t="n">
        <f aca="false">'Sensitivities, the data'!$AP$157</f>
        <v>0.592498048879888</v>
      </c>
      <c r="E88" s="33" t="str">
        <f aca="false">'Sensitivities, the data'!$AR$157</f>
        <v>Aerospace brackets</v>
      </c>
      <c r="F88" s="26" t="n">
        <f aca="false">'Sensitivities, the data'!$AS$157</f>
        <v>0.575655798393526</v>
      </c>
      <c r="G88" s="19" t="n">
        <f aca="false">'Sensitivities, the data'!$AO$157</f>
        <v>7291184</v>
      </c>
    </row>
    <row r="89" customFormat="false" ht="15" hidden="false" customHeight="false" outlineLevel="0" collapsed="false">
      <c r="B89" s="12" t="s">
        <v>212</v>
      </c>
      <c r="C89" s="13" t="n">
        <f aca="false">MAX(C84:C88)-MIN(C84:C88)</f>
        <v>444867.996209376</v>
      </c>
    </row>
    <row r="91" customFormat="false" ht="15" hidden="false" customHeight="false" outlineLevel="0" collapsed="false">
      <c r="B91" s="6" t="s">
        <v>217</v>
      </c>
      <c r="C91" s="7"/>
      <c r="D91" s="7"/>
      <c r="E91" s="7"/>
      <c r="F91" s="7"/>
      <c r="G91" s="7"/>
    </row>
    <row r="92" customFormat="false" ht="15" hidden="false" customHeight="false" outlineLevel="0" collapsed="false">
      <c r="B92" s="4" t="s">
        <v>218</v>
      </c>
    </row>
    <row r="93" customFormat="false" ht="23.85" hidden="false" customHeight="false" outlineLevel="0" collapsed="false">
      <c r="B93" s="8" t="s">
        <v>206</v>
      </c>
      <c r="C93" s="8" t="s">
        <v>207</v>
      </c>
      <c r="D93" s="8" t="s">
        <v>208</v>
      </c>
      <c r="E93" s="8" t="s">
        <v>209</v>
      </c>
      <c r="F93" s="8" t="s">
        <v>210</v>
      </c>
      <c r="G93" s="8" t="s">
        <v>211</v>
      </c>
    </row>
    <row r="94" customFormat="false" ht="15" hidden="false" customHeight="false" outlineLevel="0" collapsed="false">
      <c r="B94" s="14" t="n">
        <v>24</v>
      </c>
      <c r="C94" s="24" t="n">
        <f aca="false">'Sensitivities, the data'!$AN$158</f>
        <v>4053091.49629863</v>
      </c>
      <c r="D94" s="26" t="n">
        <f aca="false">'Sensitivities, the data'!$AP$158</f>
        <v>0.481196766960068</v>
      </c>
      <c r="E94" s="33" t="str">
        <f aca="false">'Sensitivities, the data'!$AR$158</f>
        <v>Aerospace brackets</v>
      </c>
      <c r="F94" s="26" t="n">
        <f aca="false">'Sensitivities, the data'!$AS$158</f>
        <v>0.540076088916855</v>
      </c>
      <c r="G94" s="19" t="n">
        <f aca="false">'Sensitivities, the data'!$AO$158</f>
        <v>8422940</v>
      </c>
    </row>
    <row r="95" customFormat="false" ht="15" hidden="false" customHeight="false" outlineLevel="0" collapsed="false">
      <c r="B95" s="14" t="n">
        <v>28</v>
      </c>
      <c r="C95" s="24" t="n">
        <f aca="false">'Sensitivities, the data'!$AN$159</f>
        <v>4053091.49629863</v>
      </c>
      <c r="D95" s="26" t="n">
        <f aca="false">'Sensitivities, the data'!$AP$159</f>
        <v>0.518883382062458</v>
      </c>
      <c r="E95" s="33" t="str">
        <f aca="false">'Sensitivities, the data'!$AR$159</f>
        <v>Aerospace brackets</v>
      </c>
      <c r="F95" s="26" t="n">
        <f aca="false">'Sensitivities, the data'!$AS$159</f>
        <v>0.528297540466263</v>
      </c>
      <c r="G95" s="19" t="n">
        <f aca="false">'Sensitivities, the data'!$AO$159</f>
        <v>7811180</v>
      </c>
    </row>
    <row r="96" customFormat="false" ht="15" hidden="false" customHeight="false" outlineLevel="0" collapsed="false">
      <c r="B96" s="34" t="n">
        <v>31.4</v>
      </c>
      <c r="C96" s="35" t="n">
        <f aca="false">'Sensitivities, the data'!$AN$160</f>
        <v>4053091.49629863</v>
      </c>
      <c r="D96" s="36" t="n">
        <f aca="false">'Sensitivities, the data'!$AP$160</f>
        <v>0.555889344761925</v>
      </c>
      <c r="E96" s="37" t="str">
        <f aca="false">'Sensitivities, the data'!$AR$160</f>
        <v>Aerospace brackets</v>
      </c>
      <c r="F96" s="36" t="n">
        <f aca="false">'Sensitivities, the data'!$AS$160</f>
        <v>0.518682364633589</v>
      </c>
      <c r="G96" s="38" t="n">
        <f aca="false">'Sensitivities, the data'!$AO$160</f>
        <v>7291184</v>
      </c>
    </row>
    <row r="97" customFormat="false" ht="15" hidden="false" customHeight="false" outlineLevel="0" collapsed="false">
      <c r="B97" s="14" t="n">
        <v>36</v>
      </c>
      <c r="C97" s="24" t="n">
        <f aca="false">'Sensitivities, the data'!$AN$161</f>
        <v>4053091.49629864</v>
      </c>
      <c r="D97" s="26" t="n">
        <f aca="false">'Sensitivities, the data'!$AP$161</f>
        <v>0.615255112786427</v>
      </c>
      <c r="E97" s="33" t="str">
        <f aca="false">'Sensitivities, the data'!$AR$161</f>
        <v>Aerospace brackets</v>
      </c>
      <c r="F97" s="26" t="n">
        <f aca="false">'Sensitivities, the data'!$AS$161</f>
        <v>0.50621729986553</v>
      </c>
      <c r="G97" s="19" t="n">
        <f aca="false">'Sensitivities, the data'!$AO$161</f>
        <v>6587660</v>
      </c>
    </row>
    <row r="98" customFormat="false" ht="15" hidden="false" customHeight="false" outlineLevel="0" collapsed="false">
      <c r="B98" s="14" t="n">
        <v>42</v>
      </c>
      <c r="C98" s="24" t="n">
        <f aca="false">'Sensitivities, the data'!$AN$162</f>
        <v>4053091.49629864</v>
      </c>
      <c r="D98" s="26" t="n">
        <f aca="false">'Sensitivities, the data'!$AP$162</f>
        <v>0.714828430287483</v>
      </c>
      <c r="E98" s="33" t="str">
        <f aca="false">'Sensitivities, the data'!$AR$162</f>
        <v>Aerospace brackets</v>
      </c>
      <c r="F98" s="26" t="n">
        <f aca="false">'Sensitivities, the data'!$AS$162</f>
        <v>0.49083154040734</v>
      </c>
      <c r="G98" s="19" t="n">
        <f aca="false">'Sensitivities, the data'!$AO$162</f>
        <v>5670020</v>
      </c>
    </row>
    <row r="99" customFormat="false" ht="15" hidden="false" customHeight="false" outlineLevel="0" collapsed="false">
      <c r="B99" s="12" t="s">
        <v>212</v>
      </c>
      <c r="C99" s="13" t="n">
        <f aca="false">MAX(C94:C98)-MIN(C94:C98)</f>
        <v>0</v>
      </c>
    </row>
    <row r="100" customFormat="false" ht="15" hidden="false" customHeight="false" outlineLevel="0" collapsed="false">
      <c r="B100" s="39" t="s">
        <v>219</v>
      </c>
      <c r="C100" s="40"/>
      <c r="D100" s="40"/>
      <c r="E100" s="40"/>
      <c r="F100" s="40"/>
      <c r="G100" s="40"/>
    </row>
    <row r="101" customFormat="false" ht="15" hidden="false" customHeight="false" outlineLevel="0" collapsed="false">
      <c r="B101" s="4" t="s">
        <v>220</v>
      </c>
    </row>
    <row r="102" customFormat="false" ht="15" hidden="false" customHeight="false" outlineLevel="0" collapsed="false">
      <c r="B102" s="4" t="s">
        <v>221</v>
      </c>
    </row>
    <row r="105" customFormat="false" ht="15" hidden="false" customHeight="false" outlineLevel="0" collapsed="false">
      <c r="B105" s="6" t="s">
        <v>222</v>
      </c>
      <c r="C105" s="7"/>
      <c r="D105" s="7"/>
      <c r="E105" s="7"/>
      <c r="F105" s="7"/>
      <c r="G105" s="7"/>
    </row>
    <row r="106" customFormat="false" ht="15" hidden="false" customHeight="false" outlineLevel="0" collapsed="false">
      <c r="B106" s="4" t="s">
        <v>223</v>
      </c>
    </row>
    <row r="107" customFormat="false" ht="23.85" hidden="false" customHeight="false" outlineLevel="0" collapsed="false">
      <c r="B107" s="8" t="s">
        <v>206</v>
      </c>
      <c r="C107" s="8" t="s">
        <v>207</v>
      </c>
      <c r="D107" s="8" t="s">
        <v>208</v>
      </c>
      <c r="E107" s="8" t="s">
        <v>209</v>
      </c>
      <c r="F107" s="8" t="s">
        <v>210</v>
      </c>
      <c r="G107" s="8" t="s">
        <v>211</v>
      </c>
    </row>
    <row r="108" customFormat="false" ht="15" hidden="false" customHeight="false" outlineLevel="0" collapsed="false">
      <c r="B108" s="14" t="n">
        <v>0.75</v>
      </c>
      <c r="C108" s="24" t="n">
        <f aca="false">'Sensitivities, the data'!$AN$163</f>
        <v>3039818.62222397</v>
      </c>
      <c r="D108" s="26" t="n">
        <f aca="false">'Sensitivities, the data'!$AP$163</f>
        <v>0.285397249941788</v>
      </c>
      <c r="E108" s="33" t="str">
        <f aca="false">'Sensitivities, the data'!$AR$163</f>
        <v>Aerospace brackets</v>
      </c>
      <c r="F108" s="26" t="n">
        <f aca="false">'Sensitivities, the data'!$AS$163</f>
        <v>0.440857930914139</v>
      </c>
      <c r="G108" s="19" t="n">
        <f aca="false">'Sensitivities, the data'!$AO$163</f>
        <v>10651184</v>
      </c>
    </row>
    <row r="109" customFormat="false" ht="15" hidden="false" customHeight="false" outlineLevel="0" collapsed="false">
      <c r="B109" s="14" t="n">
        <v>0.9</v>
      </c>
      <c r="C109" s="24" t="n">
        <f aca="false">'Sensitivities, the data'!$AN$164</f>
        <v>3647782.34666877</v>
      </c>
      <c r="D109" s="26" t="n">
        <f aca="false">'Sensitivities, the data'!$AP$164</f>
        <v>0.422432497867882</v>
      </c>
      <c r="E109" s="33" t="str">
        <f aca="false">'Sensitivities, the data'!$AR$164</f>
        <v>Aerospace brackets</v>
      </c>
      <c r="F109" s="26" t="n">
        <f aca="false">'Sensitivities, the data'!$AS$164</f>
        <v>0.48985759140472</v>
      </c>
      <c r="G109" s="19" t="n">
        <f aca="false">'Sensitivities, the data'!$AO$164</f>
        <v>8635184</v>
      </c>
    </row>
    <row r="110" customFormat="false" ht="15" hidden="false" customHeight="false" outlineLevel="0" collapsed="false">
      <c r="B110" s="34" t="n">
        <v>1</v>
      </c>
      <c r="C110" s="35" t="n">
        <f aca="false">'Sensitivities, the data'!$AN$165</f>
        <v>4053091.49629863</v>
      </c>
      <c r="D110" s="36" t="n">
        <f aca="false">'Sensitivities, the data'!$AP$165</f>
        <v>0.555889344761925</v>
      </c>
      <c r="E110" s="37" t="str">
        <f aca="false">'Sensitivities, the data'!$AR$165</f>
        <v>Aerospace brackets</v>
      </c>
      <c r="F110" s="36" t="n">
        <f aca="false">'Sensitivities, the data'!$AS$165</f>
        <v>0.518682364633589</v>
      </c>
      <c r="G110" s="38" t="n">
        <f aca="false">'Sensitivities, the data'!$AO$165</f>
        <v>7291184</v>
      </c>
    </row>
    <row r="111" customFormat="false" ht="15" hidden="false" customHeight="false" outlineLevel="0" collapsed="false">
      <c r="B111" s="14" t="n">
        <v>1.15</v>
      </c>
      <c r="C111" s="24" t="n">
        <f aca="false">'Sensitivities, the data'!$AN$166</f>
        <v>4661055.22074343</v>
      </c>
      <c r="D111" s="26" t="n">
        <f aca="false">'Sensitivities, the data'!$AP$166</f>
        <v>0.883581543457712</v>
      </c>
      <c r="E111" s="33" t="str">
        <f aca="false">'Sensitivities, the data'!$AR$166</f>
        <v>Aerospace brackets</v>
      </c>
      <c r="F111" s="26" t="n">
        <f aca="false">'Sensitivities, the data'!$AS$166</f>
        <v>0.557169855272371</v>
      </c>
      <c r="G111" s="19" t="n">
        <f aca="false">'Sensitivities, the data'!$AO$166</f>
        <v>5275184</v>
      </c>
    </row>
    <row r="112" customFormat="false" ht="15" hidden="false" customHeight="false" outlineLevel="0" collapsed="false">
      <c r="B112" s="14" t="n">
        <v>1.35</v>
      </c>
      <c r="C112" s="24" t="n">
        <f aca="false">'Sensitivities, the data'!$AN$167</f>
        <v>5471673.52000316</v>
      </c>
      <c r="D112" s="26" t="n">
        <f aca="false">'Sensitivities, the data'!$AP$167</f>
        <v>2.11491471808853</v>
      </c>
      <c r="E112" s="33" t="str">
        <f aca="false">'Sensitivities, the data'!$AR$167</f>
        <v>Aerospace brackets</v>
      </c>
      <c r="F112" s="26" t="n">
        <f aca="false">'Sensitivities, the data'!$AS$167</f>
        <v>0.601231949321472</v>
      </c>
      <c r="G112" s="19" t="n">
        <f aca="false">'Sensitivities, the data'!$AO$167</f>
        <v>2587184</v>
      </c>
    </row>
    <row r="113" customFormat="false" ht="15" hidden="false" customHeight="false" outlineLevel="0" collapsed="false">
      <c r="B113" s="12" t="s">
        <v>212</v>
      </c>
      <c r="C113" s="13" t="n">
        <f aca="false">MAX(C108:C112)-MIN(C108:C112)</f>
        <v>2431854.89777918</v>
      </c>
    </row>
    <row r="115" customFormat="false" ht="15" hidden="false" customHeight="false" outlineLevel="0" collapsed="false">
      <c r="B115" s="6" t="s">
        <v>224</v>
      </c>
      <c r="C115" s="7"/>
      <c r="D115" s="7"/>
      <c r="E115" s="7"/>
      <c r="F115" s="7"/>
      <c r="G115" s="7"/>
    </row>
    <row r="116" customFormat="false" ht="15" hidden="false" customHeight="false" outlineLevel="0" collapsed="false">
      <c r="B116" s="4" t="s">
        <v>225</v>
      </c>
    </row>
    <row r="117" customFormat="false" ht="23.85" hidden="false" customHeight="false" outlineLevel="0" collapsed="false">
      <c r="B117" s="8" t="s">
        <v>206</v>
      </c>
      <c r="C117" s="8" t="s">
        <v>207</v>
      </c>
      <c r="D117" s="8" t="s">
        <v>208</v>
      </c>
      <c r="E117" s="8" t="s">
        <v>209</v>
      </c>
      <c r="F117" s="8" t="s">
        <v>210</v>
      </c>
      <c r="G117" s="8" t="s">
        <v>211</v>
      </c>
    </row>
    <row r="118" customFormat="false" ht="15" hidden="false" customHeight="false" outlineLevel="0" collapsed="false">
      <c r="B118" s="14" t="n">
        <v>0.5</v>
      </c>
      <c r="C118" s="24" t="n">
        <f aca="false">'Sensitivities, the data'!$AN$168</f>
        <v>4612878.29675355</v>
      </c>
      <c r="D118" s="26" t="n">
        <f aca="false">'Sensitivities, the data'!$AP$168</f>
        <v>0.856830219758427</v>
      </c>
      <c r="E118" s="33" t="str">
        <f aca="false">'Sensitivities, the data'!$AR$168</f>
        <v>Aerospace brackets</v>
      </c>
      <c r="F118" s="26" t="n">
        <f aca="false">'Sensitivities, the data'!$AS$168</f>
        <v>1.21433550923631</v>
      </c>
      <c r="G118" s="19" t="n">
        <f aca="false">'Sensitivities, the data'!$AO$168</f>
        <v>5383655</v>
      </c>
    </row>
    <row r="119" customFormat="false" ht="15" hidden="false" customHeight="false" outlineLevel="0" collapsed="false">
      <c r="B119" s="14" t="n">
        <v>0.75</v>
      </c>
      <c r="C119" s="24" t="n">
        <f aca="false">'Sensitivities, the data'!$AN$169</f>
        <v>4321489.17445697</v>
      </c>
      <c r="D119" s="26" t="n">
        <f aca="false">'Sensitivities, the data'!$AP$169</f>
        <v>0.681900444566905</v>
      </c>
      <c r="E119" s="33" t="str">
        <f aca="false">'Sensitivities, the data'!$AR$169</f>
        <v>Aerospace brackets</v>
      </c>
      <c r="F119" s="26" t="n">
        <f aca="false">'Sensitivities, the data'!$AS$169</f>
        <v>0.749978775862715</v>
      </c>
      <c r="G119" s="19" t="n">
        <f aca="false">'Sensitivities, the data'!$AO$169</f>
        <v>6337419.5</v>
      </c>
    </row>
    <row r="120" customFormat="false" ht="15" hidden="false" customHeight="false" outlineLevel="0" collapsed="false">
      <c r="B120" s="34" t="n">
        <v>1</v>
      </c>
      <c r="C120" s="35" t="n">
        <f aca="false">'Sensitivities, the data'!$AN$170</f>
        <v>4053091.49629863</v>
      </c>
      <c r="D120" s="36" t="n">
        <f aca="false">'Sensitivities, the data'!$AP$170</f>
        <v>0.555889344761925</v>
      </c>
      <c r="E120" s="37" t="str">
        <f aca="false">'Sensitivities, the data'!$AR$170</f>
        <v>Aerospace brackets</v>
      </c>
      <c r="F120" s="36" t="n">
        <f aca="false">'Sensitivities, the data'!$AS$170</f>
        <v>0.518682364633589</v>
      </c>
      <c r="G120" s="38" t="n">
        <f aca="false">'Sensitivities, the data'!$AO$170</f>
        <v>7291184</v>
      </c>
    </row>
    <row r="121" customFormat="false" ht="15" hidden="false" customHeight="false" outlineLevel="0" collapsed="false">
      <c r="B121" s="14" t="n">
        <v>1.5</v>
      </c>
      <c r="C121" s="24" t="n">
        <f aca="false">'Sensitivities, the data'!$AN$171</f>
        <v>3576423.26453031</v>
      </c>
      <c r="D121" s="26" t="n">
        <f aca="false">'Sensitivities, the data'!$AP$171</f>
        <v>0.38879604837441</v>
      </c>
      <c r="E121" s="33" t="str">
        <f aca="false">'Sensitivities, the data'!$AR$171</f>
        <v>Aerospace brackets</v>
      </c>
      <c r="F121" s="26" t="n">
        <f aca="false">'Sensitivities, the data'!$AS$171</f>
        <v>0.289597993504015</v>
      </c>
      <c r="G121" s="19" t="n">
        <f aca="false">'Sensitivities, the data'!$AO$171</f>
        <v>9198713</v>
      </c>
    </row>
    <row r="122" customFormat="false" ht="15" hidden="false" customHeight="false" outlineLevel="0" collapsed="false">
      <c r="B122" s="14" t="n">
        <v>2</v>
      </c>
      <c r="C122" s="24" t="n">
        <f aca="false">'Sensitivities, the data'!$AN$172</f>
        <v>3167177.65454081</v>
      </c>
      <c r="D122" s="26" t="n">
        <f aca="false">'Sensitivities, the data'!$AP$172</f>
        <v>0.285170956525242</v>
      </c>
      <c r="E122" s="33" t="str">
        <f aca="false">'Sensitivities, the data'!$AR$172</f>
        <v>Standard bushings</v>
      </c>
      <c r="F122" s="26" t="n">
        <f aca="false">'Sensitivities, the data'!$AS$172</f>
        <v>-0.223052469969167</v>
      </c>
      <c r="G122" s="19" t="n">
        <f aca="false">'Sensitivities, the data'!$AO$172</f>
        <v>11106242</v>
      </c>
    </row>
    <row r="123" customFormat="false" ht="15" hidden="false" customHeight="false" outlineLevel="0" collapsed="false">
      <c r="B123" s="12" t="s">
        <v>212</v>
      </c>
      <c r="C123" s="13" t="n">
        <f aca="false">MAX(C118:C122)-MIN(C118:C122)</f>
        <v>1445700.64221274</v>
      </c>
    </row>
    <row r="125" customFormat="false" ht="15" hidden="false" customHeight="false" outlineLevel="0" collapsed="false">
      <c r="B125" s="6" t="s">
        <v>226</v>
      </c>
      <c r="C125" s="7"/>
      <c r="D125" s="7"/>
      <c r="E125" s="7"/>
      <c r="F125" s="7"/>
      <c r="G125" s="7"/>
    </row>
    <row r="126" customFormat="false" ht="15" hidden="false" customHeight="false" outlineLevel="0" collapsed="false">
      <c r="B126" s="4" t="s">
        <v>227</v>
      </c>
    </row>
    <row r="127" customFormat="false" ht="35.05" hidden="false" customHeight="false" outlineLevel="0" collapsed="false">
      <c r="B127" s="8" t="s">
        <v>206</v>
      </c>
      <c r="C127" s="8" t="s">
        <v>228</v>
      </c>
      <c r="D127" s="8" t="s">
        <v>229</v>
      </c>
    </row>
    <row r="128" customFormat="false" ht="15" hidden="false" customHeight="false" outlineLevel="0" collapsed="false">
      <c r="B128" s="3" t="s">
        <v>230</v>
      </c>
      <c r="C128" s="19" t="n">
        <f aca="false">C113</f>
        <v>2431854.89777918</v>
      </c>
      <c r="D128" s="26" t="n">
        <f aca="false">C128/$C$66</f>
        <v>0.600000000000001</v>
      </c>
    </row>
    <row r="129" customFormat="false" ht="15" hidden="false" customHeight="false" outlineLevel="0" collapsed="false">
      <c r="B129" s="3" t="s">
        <v>231</v>
      </c>
      <c r="C129" s="19" t="n">
        <f aca="false">C123</f>
        <v>1445700.64221274</v>
      </c>
      <c r="D129" s="26" t="n">
        <f aca="false">C129/$C$66</f>
        <v>0.356690847846139</v>
      </c>
    </row>
    <row r="130" customFormat="false" ht="15" hidden="false" customHeight="false" outlineLevel="0" collapsed="false">
      <c r="B130" s="3" t="s">
        <v>232</v>
      </c>
      <c r="C130" s="19" t="n">
        <f aca="false">C79</f>
        <v>1378399.03786063</v>
      </c>
      <c r="D130" s="26" t="n">
        <f aca="false">C130/$C$66</f>
        <v>0.3400858428978</v>
      </c>
    </row>
    <row r="131" customFormat="false" ht="15" hidden="false" customHeight="false" outlineLevel="0" collapsed="false">
      <c r="B131" s="3" t="s">
        <v>233</v>
      </c>
      <c r="C131" s="19" t="n">
        <f aca="false">C89</f>
        <v>444867.996209376</v>
      </c>
      <c r="D131" s="26" t="n">
        <f aca="false">C131/$C$66</f>
        <v>0.109760166188115</v>
      </c>
    </row>
    <row r="132" customFormat="false" ht="15" hidden="false" customHeight="false" outlineLevel="0" collapsed="false">
      <c r="B132" s="3" t="s">
        <v>234</v>
      </c>
      <c r="C132" s="19" t="n">
        <f aca="false">C69</f>
        <v>269191.875238522</v>
      </c>
      <c r="D132" s="26" t="n">
        <f aca="false">C132/$C$66</f>
        <v>0.0664164318728935</v>
      </c>
    </row>
    <row r="133" customFormat="false" ht="15" hidden="false" customHeight="false" outlineLevel="0" collapsed="false">
      <c r="B133" s="3" t="s">
        <v>235</v>
      </c>
      <c r="C133" s="19" t="n">
        <f aca="false">C99</f>
        <v>0</v>
      </c>
      <c r="D133" s="26" t="n">
        <f aca="false">C133/$C$66</f>
        <v>0</v>
      </c>
    </row>
    <row r="134" customFormat="false" ht="15" hidden="false" customHeight="false" outlineLevel="0" collapsed="false">
      <c r="B134" s="4" t="s">
        <v>236</v>
      </c>
    </row>
    <row r="135" customFormat="false" ht="15" hidden="false" customHeight="false" outlineLevel="0" collapsed="false">
      <c r="B135" s="4" t="s">
        <v>237</v>
      </c>
    </row>
    <row r="140" customFormat="false" ht="15" hidden="false" customHeight="false" outlineLevel="0" collapsed="false">
      <c r="B140" s="6" t="s">
        <v>238</v>
      </c>
      <c r="C140" s="7"/>
      <c r="D140" s="7"/>
      <c r="E140" s="7"/>
      <c r="F140" s="7"/>
      <c r="G140" s="7"/>
    </row>
    <row r="141" customFormat="false" ht="15" hidden="false" customHeight="false" outlineLevel="0" collapsed="false">
      <c r="B141" s="4" t="s">
        <v>239</v>
      </c>
    </row>
    <row r="142" customFormat="false" ht="35.05" hidden="false" customHeight="false" outlineLevel="0" collapsed="false">
      <c r="B142" s="8" t="s">
        <v>240</v>
      </c>
      <c r="C142" s="8" t="s">
        <v>206</v>
      </c>
      <c r="D142" s="8" t="s">
        <v>241</v>
      </c>
      <c r="E142" s="8" t="s">
        <v>242</v>
      </c>
      <c r="F142" s="8" t="s">
        <v>243</v>
      </c>
      <c r="G142" s="8" t="s">
        <v>244</v>
      </c>
      <c r="H142" s="8" t="s">
        <v>245</v>
      </c>
      <c r="I142" s="8" t="s">
        <v>246</v>
      </c>
      <c r="J142" s="8" t="s">
        <v>247</v>
      </c>
      <c r="K142" s="8" t="s">
        <v>248</v>
      </c>
      <c r="L142" s="8" t="s">
        <v>249</v>
      </c>
      <c r="M142" s="8" t="s">
        <v>250</v>
      </c>
      <c r="N142" s="8" t="s">
        <v>251</v>
      </c>
      <c r="O142" s="8" t="s">
        <v>252</v>
      </c>
      <c r="P142" s="8" t="s">
        <v>253</v>
      </c>
      <c r="Q142" s="8" t="s">
        <v>254</v>
      </c>
      <c r="R142" s="8" t="s">
        <v>255</v>
      </c>
      <c r="S142" s="8" t="s">
        <v>256</v>
      </c>
      <c r="T142" s="8" t="s">
        <v>257</v>
      </c>
      <c r="U142" s="8" t="s">
        <v>258</v>
      </c>
      <c r="V142" s="8" t="s">
        <v>259</v>
      </c>
      <c r="W142" s="8" t="s">
        <v>260</v>
      </c>
      <c r="X142" s="8" t="s">
        <v>261</v>
      </c>
      <c r="Y142" s="8" t="s">
        <v>262</v>
      </c>
      <c r="Z142" s="8" t="s">
        <v>263</v>
      </c>
      <c r="AA142" s="8" t="s">
        <v>264</v>
      </c>
      <c r="AB142" s="8" t="s">
        <v>265</v>
      </c>
      <c r="AC142" s="8" t="s">
        <v>266</v>
      </c>
      <c r="AD142" s="8" t="s">
        <v>267</v>
      </c>
      <c r="AE142" s="8" t="s">
        <v>268</v>
      </c>
      <c r="AF142" s="8" t="s">
        <v>269</v>
      </c>
      <c r="AG142" s="8" t="s">
        <v>270</v>
      </c>
      <c r="AH142" s="8" t="s">
        <v>271</v>
      </c>
      <c r="AI142" s="8" t="s">
        <v>272</v>
      </c>
      <c r="AJ142" s="8" t="s">
        <v>273</v>
      </c>
      <c r="AK142" s="8" t="s">
        <v>274</v>
      </c>
      <c r="AL142" s="8" t="s">
        <v>275</v>
      </c>
      <c r="AM142" s="8" t="s">
        <v>276</v>
      </c>
      <c r="AN142" s="8" t="s">
        <v>277</v>
      </c>
      <c r="AO142" s="8" t="s">
        <v>211</v>
      </c>
      <c r="AP142" s="8" t="s">
        <v>208</v>
      </c>
      <c r="AQ142" s="8" t="s">
        <v>278</v>
      </c>
      <c r="AR142" s="8" t="s">
        <v>209</v>
      </c>
      <c r="AS142" s="8" t="s">
        <v>210</v>
      </c>
    </row>
    <row r="143" customFormat="false" ht="15" hidden="false" customHeight="false" outlineLevel="0" collapsed="false">
      <c r="B143" s="4" t="s">
        <v>204</v>
      </c>
      <c r="C143" s="20" t="n">
        <f aca="false">$B$64</f>
        <v>0.6</v>
      </c>
      <c r="D143" s="19" t="n">
        <f aca="false">$C$19*$C$143</f>
        <v>2106000</v>
      </c>
      <c r="E143" s="19" t="n">
        <f aca="false">$C$20*($C$24-$C$19*$C$143)/($C$24-$C$19)</f>
        <v>2259951.66163142</v>
      </c>
      <c r="F143" s="19" t="n">
        <f aca="false">$C$21*($C$24-$C$19*$C$143)/($C$24-$C$19)</f>
        <v>5273220.54380665</v>
      </c>
      <c r="G143" s="19" t="n">
        <f aca="false">$C$22*($C$24-$C$19*$C$143)/($C$24-$C$19)</f>
        <v>1837637.46223565</v>
      </c>
      <c r="H143" s="19" t="n">
        <f aca="false">$C$23*($C$24-$C$19*$C$143)/($C$24-$C$19)</f>
        <v>1963190.33232628</v>
      </c>
      <c r="I143" s="19" t="n">
        <f aca="false">SUM(D143:H143)</f>
        <v>13440000</v>
      </c>
      <c r="J143" s="20" t="n">
        <f aca="false">$C$25</f>
        <v>31.4</v>
      </c>
      <c r="K143" s="19" t="n">
        <f aca="false">$F$8</f>
        <v>19500</v>
      </c>
      <c r="L143" s="19" t="n">
        <f aca="false">$C$8*$C$11+$D$8*$D$11+$E$8*$E$11+$K$143*$F$11</f>
        <v>152940</v>
      </c>
      <c r="M143" s="19" t="n">
        <f aca="false">$C$8*$C$12+$D$8*$D$12+$E$8*$E$12+$K$143*$F$12</f>
        <v>150650</v>
      </c>
      <c r="N143" s="11" t="n">
        <f aca="false">I143/L143</f>
        <v>87.8775990584543</v>
      </c>
      <c r="O143" s="11" t="n">
        <f aca="false">D143/$G$32</f>
        <v>540</v>
      </c>
      <c r="P143" s="11" t="n">
        <f aca="false">E143/$G$33</f>
        <v>424.005940268559</v>
      </c>
      <c r="Q143" s="11" t="n">
        <f aca="false">F143/M143</f>
        <v>35.0031234238742</v>
      </c>
      <c r="R143" s="11" t="n">
        <f aca="false">G143/$G$34</f>
        <v>1875.1402675874</v>
      </c>
      <c r="S143" s="11" t="n">
        <f aca="false">H143/$G$35</f>
        <v>117.838555361722</v>
      </c>
      <c r="T143" s="20" t="n">
        <f aca="false">$C$10+$C$11*$J$143+$C$11*$N$143</f>
        <v>6.52832797175363</v>
      </c>
      <c r="U143" s="19" t="n">
        <f aca="false">$C$13*$O$143+$C$14*$P$143+$C$8*$C$12*$Q$143+$C$15*$R$143+$C$16*$S$143</f>
        <v>1921733.29055422</v>
      </c>
      <c r="V143" s="20" t="n">
        <f aca="false">$C$10+$C$11*$J$143+U143/$C$8</f>
        <v>4.93077475165093</v>
      </c>
      <c r="W143" s="19" t="n">
        <f aca="false">(T143-V143)*$C$8</f>
        <v>2955473.45718999</v>
      </c>
      <c r="X143" s="41" t="n">
        <f aca="false">(V143-T143)/T143</f>
        <v>-0.244710931652774</v>
      </c>
      <c r="Y143" s="20" t="n">
        <f aca="false">$D$10+$D$11*$J$143+$D$11*$N$143</f>
        <v>15.4952111416242</v>
      </c>
      <c r="Z143" s="19" t="n">
        <f aca="false">$D$13*$O$143+$D$14*$P$143+$D$8*$D$12*$Q$143+$D$15*$R$143+$D$16*$S$143</f>
        <v>2497041.84162623</v>
      </c>
      <c r="AA143" s="20" t="n">
        <f aca="false">$D$10+$D$11*$J$143+Z143/$D$8</f>
        <v>13.948427877541</v>
      </c>
      <c r="AB143" s="19" t="n">
        <f aca="false">(Y143-AA143)*$D$8</f>
        <v>989941.289013234</v>
      </c>
      <c r="AC143" s="41" t="n">
        <f aca="false">(AA143-Y143)/Y143</f>
        <v>-0.0998233099210966</v>
      </c>
      <c r="AD143" s="20" t="n">
        <f aca="false">$E$10+$E$11*$J$143+$E$11*$N$143</f>
        <v>54.5302357787368</v>
      </c>
      <c r="AE143" s="19" t="n">
        <f aca="false">$E$13*$O$143+$E$14*$P$143+$E$8*$E$12*$Q$143+$E$15*$R$143+$E$16*$S$143</f>
        <v>3511422.33524879</v>
      </c>
      <c r="AF143" s="20" t="n">
        <f aca="false">$E$10+$E$11*$J$143+AE143/$E$8</f>
        <v>63.6368164004134</v>
      </c>
      <c r="AG143" s="19" t="n">
        <f aca="false">(AD143-AF143)*$E$8</f>
        <v>-1074576.51335785</v>
      </c>
      <c r="AH143" s="41" t="n">
        <f aca="false">(AF143-AD143)/AD143</f>
        <v>0.167000573014717</v>
      </c>
      <c r="AI143" s="20" t="n">
        <f aca="false">$F$10+$F$11*$J$143+$F$11*$N$143</f>
        <v>287.68750255002</v>
      </c>
      <c r="AJ143" s="19" t="n">
        <f aca="false">$F$13*$O$143+$F$14*$P$143+$K$143*$F$12*$Q$143+$F$15*$R$143+$F$16*$S$143</f>
        <v>5509802.53257076</v>
      </c>
      <c r="AK143" s="20" t="n">
        <f aca="false">$F$10+$F$11*$J$143+AJ143/$K$143</f>
        <v>434.90997602927</v>
      </c>
      <c r="AL143" s="19" t="n">
        <f aca="false">(AI143-AK143)*$K$143</f>
        <v>-2870838.23284538</v>
      </c>
      <c r="AM143" s="41" t="n">
        <f aca="false">(AK143-AI143)/AI143</f>
        <v>0.511744417725107</v>
      </c>
      <c r="AN143" s="19" t="n">
        <f aca="false">-(MIN(0,W143)+MIN(0,AB143)+MIN(0,AG143)+MIN(0,AL143))</f>
        <v>3945414.74620322</v>
      </c>
      <c r="AO143" s="19" t="n">
        <f aca="false">($C$8*$C$9+$D$8*$D$9+$E$8*$E$9+$K$143*$F$9)-($C$8*$C$10+$D$8*$D$10+$E$8*$E$10+$K$143*$F$10)-L143*J143-I143-$C$26</f>
        <v>7291184</v>
      </c>
      <c r="AP143" s="26" t="n">
        <f aca="false">AN143/AO143</f>
        <v>0.541121270043826</v>
      </c>
      <c r="AQ143" s="41" t="n">
        <f aca="false">MAX(ABS(X143),ABS(AC143),ABS(AH143),ABS(AM143))</f>
        <v>0.511744417725107</v>
      </c>
      <c r="AR143" s="3" t="str">
        <f aca="false">IF(ABS(X143)=AQ143,$C$7,IF(ABS(AC143)=AQ143,$D$7,IF(ABS(AH143)=AQ143,$E$7,$F$7)))</f>
        <v>Aerospace brackets</v>
      </c>
      <c r="AS143" s="41" t="n">
        <f aca="false">IF(ABS(X143)=AQ143,X143,IF(ABS(AC143)=AQ143,AC143,IF(ABS(AH143)=AQ143,AH143,AM143)))</f>
        <v>0.511744417725107</v>
      </c>
    </row>
    <row r="144" customFormat="false" ht="15" hidden="false" customHeight="false" outlineLevel="0" collapsed="false">
      <c r="B144" s="4" t="s">
        <v>204</v>
      </c>
      <c r="C144" s="20" t="n">
        <f aca="false">$B$65</f>
        <v>0.8</v>
      </c>
      <c r="D144" s="19" t="n">
        <f aca="false">$C$19*$C$144</f>
        <v>2808000</v>
      </c>
      <c r="E144" s="19" t="n">
        <f aca="false">$C$20*($C$24-$C$19*$C$144)/($C$24-$C$19)</f>
        <v>2119975.83081571</v>
      </c>
      <c r="F144" s="19" t="n">
        <f aca="false">$C$21*($C$24-$C$19*$C$144)/($C$24-$C$19)</f>
        <v>4946610.27190332</v>
      </c>
      <c r="G144" s="19" t="n">
        <f aca="false">$C$22*($C$24-$C$19*$C$144)/($C$24-$C$19)</f>
        <v>1723818.73111782</v>
      </c>
      <c r="H144" s="19" t="n">
        <f aca="false">$C$23*($C$24-$C$19*$C$144)/($C$24-$C$19)</f>
        <v>1841595.16616314</v>
      </c>
      <c r="I144" s="19" t="n">
        <f aca="false">SUM(D144:H144)</f>
        <v>13440000</v>
      </c>
      <c r="J144" s="20" t="n">
        <f aca="false">$C$25</f>
        <v>31.4</v>
      </c>
      <c r="K144" s="19" t="n">
        <f aca="false">$F$8</f>
        <v>19500</v>
      </c>
      <c r="L144" s="19" t="n">
        <f aca="false">$C$8*$C$11+$D$8*$D$11+$E$8*$E$11+$K$144*$F$11</f>
        <v>152940</v>
      </c>
      <c r="M144" s="19" t="n">
        <f aca="false">$C$8*$C$12+$D$8*$D$12+$E$8*$E$12+$K$144*$F$12</f>
        <v>150650</v>
      </c>
      <c r="N144" s="11" t="n">
        <f aca="false">I144/L144</f>
        <v>87.8775990584543</v>
      </c>
      <c r="O144" s="11" t="n">
        <f aca="false">D144/$G$32</f>
        <v>720</v>
      </c>
      <c r="P144" s="11" t="n">
        <f aca="false">E144/$G$33</f>
        <v>397.744058314392</v>
      </c>
      <c r="Q144" s="11" t="n">
        <f aca="false">F144/M144</f>
        <v>32.8351163086845</v>
      </c>
      <c r="R144" s="11" t="n">
        <f aca="false">G144/$G$34</f>
        <v>1758.99870522227</v>
      </c>
      <c r="S144" s="11" t="n">
        <f aca="false">H144/$G$35</f>
        <v>110.539925940165</v>
      </c>
      <c r="T144" s="20" t="n">
        <f aca="false">$C$10+$C$11*$J$144+$C$11*$N$144</f>
        <v>6.52832797175363</v>
      </c>
      <c r="U144" s="19" t="n">
        <f aca="false">$C$13*$O$144+$C$14*$P$144+$C$8*$C$12*$Q$144+$C$15*$R$144+$C$16*$S$144</f>
        <v>1868874.21432614</v>
      </c>
      <c r="V144" s="20" t="n">
        <f aca="false">$C$10+$C$11*$J$144+U144/$C$8</f>
        <v>4.90220227801413</v>
      </c>
      <c r="W144" s="19" t="n">
        <f aca="false">(T144-V144)*$C$8</f>
        <v>3008332.53341807</v>
      </c>
      <c r="X144" s="41" t="n">
        <f aca="false">(V144-T144)/T144</f>
        <v>-0.2490876225544</v>
      </c>
      <c r="Y144" s="20" t="n">
        <f aca="false">$D$10+$D$11*$J$144+$D$11*$N$144</f>
        <v>15.4952111416242</v>
      </c>
      <c r="Z144" s="19" t="n">
        <f aca="false">$D$13*$O$144+$D$14*$P$144+$D$8*$D$12*$Q$144+$D$15*$R$144+$D$16*$S$144</f>
        <v>2496062.54280661</v>
      </c>
      <c r="AA144" s="20" t="n">
        <f aca="false">$D$10+$D$11*$J$144+Z144/$D$8</f>
        <v>13.9468977231353</v>
      </c>
      <c r="AB144" s="19" t="n">
        <f aca="false">(Y144-AA144)*$D$8</f>
        <v>990920.587832858</v>
      </c>
      <c r="AC144" s="41" t="n">
        <f aca="false">(AA144-Y144)/Y144</f>
        <v>-0.0999220600698798</v>
      </c>
      <c r="AD144" s="20" t="n">
        <f aca="false">$E$10+$E$11*$J$144+$E$11*$N$144</f>
        <v>54.5302357787368</v>
      </c>
      <c r="AE144" s="19" t="n">
        <f aca="false">$E$13*$O$144+$E$14*$P$144+$E$8*$E$12*$Q$144+$E$15*$R$144+$E$16*$S$144</f>
        <v>3545800.09426196</v>
      </c>
      <c r="AF144" s="20" t="n">
        <f aca="false">$E$10+$E$11*$J$144+AE144/$E$8</f>
        <v>63.9281533412031</v>
      </c>
      <c r="AG144" s="19" t="n">
        <f aca="false">(AD144-AF144)*$E$8</f>
        <v>-1108954.27237103</v>
      </c>
      <c r="AH144" s="41" t="n">
        <f aca="false">(AF144-AD144)/AD144</f>
        <v>0.172343240924164</v>
      </c>
      <c r="AI144" s="20" t="n">
        <f aca="false">$F$10+$F$11*$J$144+$F$11*$N$144</f>
        <v>287.68750255002</v>
      </c>
      <c r="AJ144" s="19" t="n">
        <f aca="false">$F$13*$O$144+$F$14*$P$144+$K$144*$F$12*$Q$144+$F$15*$R$144+$F$16*$S$144</f>
        <v>5529263.14860529</v>
      </c>
      <c r="AK144" s="20" t="n">
        <f aca="false">$F$10+$F$11*$J$144+AJ144/$K$144</f>
        <v>435.907956338733</v>
      </c>
      <c r="AL144" s="19" t="n">
        <f aca="false">(AI144-AK144)*$K$144</f>
        <v>-2890298.8488799</v>
      </c>
      <c r="AM144" s="41" t="n">
        <f aca="false">(AK144-AI144)/AI144</f>
        <v>0.515213391179348</v>
      </c>
      <c r="AN144" s="19" t="n">
        <f aca="false">-(MIN(0,W144)+MIN(0,AB144)+MIN(0,AG144)+MIN(0,AL144))</f>
        <v>3999253.12125093</v>
      </c>
      <c r="AO144" s="19" t="n">
        <f aca="false">($C$8*$C$9+$D$8*$D$9+$E$8*$E$9+$K$144*$F$9)-($C$8*$C$10+$D$8*$D$10+$E$8*$E$10+$K$144*$F$10)-L144*J144-I144-$C$26</f>
        <v>7291184</v>
      </c>
      <c r="AP144" s="26" t="n">
        <f aca="false">AN144/AO144</f>
        <v>0.548505307402876</v>
      </c>
      <c r="AQ144" s="41" t="n">
        <f aca="false">MAX(ABS(X144),ABS(AC144),ABS(AH144),ABS(AM144))</f>
        <v>0.515213391179348</v>
      </c>
      <c r="AR144" s="3" t="str">
        <f aca="false">IF(ABS(X144)=AQ144,$C$7,IF(ABS(AC144)=AQ144,$D$7,IF(ABS(AH144)=AQ144,$E$7,$F$7)))</f>
        <v>Aerospace brackets</v>
      </c>
      <c r="AS144" s="41" t="n">
        <f aca="false">IF(ABS(X144)=AQ144,X144,IF(ABS(AC144)=AQ144,AC144,IF(ABS(AH144)=AQ144,AH144,AM144)))</f>
        <v>0.515213391179348</v>
      </c>
    </row>
    <row r="145" customFormat="false" ht="15" hidden="false" customHeight="false" outlineLevel="0" collapsed="false">
      <c r="B145" s="4" t="s">
        <v>204</v>
      </c>
      <c r="C145" s="20" t="n">
        <f aca="false">$B$66</f>
        <v>1</v>
      </c>
      <c r="D145" s="19" t="n">
        <f aca="false">$C$19*$C$145</f>
        <v>3510000</v>
      </c>
      <c r="E145" s="19" t="n">
        <f aca="false">$C$20*($C$24-$C$19*$C$145)/($C$24-$C$19)</f>
        <v>1980000</v>
      </c>
      <c r="F145" s="19" t="n">
        <f aca="false">$C$21*($C$24-$C$19*$C$145)/($C$24-$C$19)</f>
        <v>4620000</v>
      </c>
      <c r="G145" s="19" t="n">
        <f aca="false">$C$22*($C$24-$C$19*$C$145)/($C$24-$C$19)</f>
        <v>1610000</v>
      </c>
      <c r="H145" s="19" t="n">
        <f aca="false">$C$23*($C$24-$C$19*$C$145)/($C$24-$C$19)</f>
        <v>1720000</v>
      </c>
      <c r="I145" s="19" t="n">
        <f aca="false">SUM(D145:H145)</f>
        <v>13440000</v>
      </c>
      <c r="J145" s="20" t="n">
        <f aca="false">$C$25</f>
        <v>31.4</v>
      </c>
      <c r="K145" s="19" t="n">
        <f aca="false">$F$8</f>
        <v>19500</v>
      </c>
      <c r="L145" s="19" t="n">
        <f aca="false">$C$8*$C$11+$D$8*$D$11+$E$8*$E$11+$K$145*$F$11</f>
        <v>152940</v>
      </c>
      <c r="M145" s="19" t="n">
        <f aca="false">$C$8*$C$12+$D$8*$D$12+$E$8*$E$12+$K$145*$F$12</f>
        <v>150650</v>
      </c>
      <c r="N145" s="11" t="n">
        <f aca="false">I145/L145</f>
        <v>87.8775990584543</v>
      </c>
      <c r="O145" s="11" t="n">
        <f aca="false">D145/$G$32</f>
        <v>900</v>
      </c>
      <c r="P145" s="11" t="n">
        <f aca="false">E145/$G$33</f>
        <v>371.482176360225</v>
      </c>
      <c r="Q145" s="11" t="n">
        <f aca="false">F145/M145</f>
        <v>30.6671091934949</v>
      </c>
      <c r="R145" s="11" t="n">
        <f aca="false">G145/$G$34</f>
        <v>1642.85714285714</v>
      </c>
      <c r="S145" s="11" t="n">
        <f aca="false">H145/$G$35</f>
        <v>103.241296518607</v>
      </c>
      <c r="T145" s="20" t="n">
        <f aca="false">$C$10+$C$11*$J$145+$C$11*$N$145</f>
        <v>6.52832797175363</v>
      </c>
      <c r="U145" s="19" t="n">
        <f aca="false">$C$13*$O$145+$C$14*$P$145+$C$8*$C$12*$Q$145+$C$15*$R$145+$C$16*$S$145</f>
        <v>1816015.13809806</v>
      </c>
      <c r="V145" s="20" t="n">
        <f aca="false">$C$10+$C$11*$J$145+U145/$C$8</f>
        <v>4.87362980437733</v>
      </c>
      <c r="W145" s="19" t="n">
        <f aca="false">(T145-V145)*$C$8</f>
        <v>3061191.60964615</v>
      </c>
      <c r="X145" s="41" t="n">
        <f aca="false">(V145-T145)/T145</f>
        <v>-0.253464313456025</v>
      </c>
      <c r="Y145" s="20" t="n">
        <f aca="false">$D$10+$D$11*$J$145+$D$11*$N$145</f>
        <v>15.4952111416242</v>
      </c>
      <c r="Z145" s="19" t="n">
        <f aca="false">$D$13*$O$145+$D$14*$P$145+$D$8*$D$12*$Q$145+$D$15*$R$145+$D$16*$S$145</f>
        <v>2495083.24398698</v>
      </c>
      <c r="AA145" s="20" t="n">
        <f aca="false">$D$10+$D$11*$J$145+Z145/$D$8</f>
        <v>13.9453675687297</v>
      </c>
      <c r="AB145" s="19" t="n">
        <f aca="false">(Y145-AA145)*$D$8</f>
        <v>991899.886652482</v>
      </c>
      <c r="AC145" s="41" t="n">
        <f aca="false">(AA145-Y145)/Y145</f>
        <v>-0.100020810218663</v>
      </c>
      <c r="AD145" s="20" t="n">
        <f aca="false">$E$10+$E$11*$J$145+$E$11*$N$145</f>
        <v>54.5302357787368</v>
      </c>
      <c r="AE145" s="19" t="n">
        <f aca="false">$E$13*$O$145+$E$14*$P$145+$E$8*$E$12*$Q$145+$E$15*$R$145+$E$16*$S$145</f>
        <v>3580177.85327514</v>
      </c>
      <c r="AF145" s="20" t="n">
        <f aca="false">$E$10+$E$11*$J$145+AE145/$E$8</f>
        <v>64.2194902819927</v>
      </c>
      <c r="AG145" s="19" t="n">
        <f aca="false">(AD145-AF145)*$E$8</f>
        <v>-1143332.0313842</v>
      </c>
      <c r="AH145" s="41" t="n">
        <f aca="false">(AF145-AD145)/AD145</f>
        <v>0.177685908833611</v>
      </c>
      <c r="AI145" s="20" t="n">
        <f aca="false">$F$10+$F$11*$J$145+$F$11*$N$145</f>
        <v>287.68750255002</v>
      </c>
      <c r="AJ145" s="19" t="n">
        <f aca="false">$F$13*$O$145+$F$14*$P$145+$K$145*$F$12*$Q$145+$F$15*$R$145+$F$16*$S$145</f>
        <v>5548723.76463981</v>
      </c>
      <c r="AK145" s="20" t="n">
        <f aca="false">$F$10+$F$11*$J$145+AJ145/$K$145</f>
        <v>436.905936648196</v>
      </c>
      <c r="AL145" s="19" t="n">
        <f aca="false">(AI145-AK145)*$K$145</f>
        <v>-2909759.46491443</v>
      </c>
      <c r="AM145" s="41" t="n">
        <f aca="false">(AK145-AI145)/AI145</f>
        <v>0.518682364633589</v>
      </c>
      <c r="AN145" s="19" t="n">
        <f aca="false">-(MIN(0,W145)+MIN(0,AB145)+MIN(0,AG145)+MIN(0,AL145))</f>
        <v>4053091.49629863</v>
      </c>
      <c r="AO145" s="19" t="n">
        <f aca="false">($C$8*$C$9+$D$8*$D$9+$E$8*$E$9+$K$145*$F$9)-($C$8*$C$10+$D$8*$D$10+$E$8*$E$10+$K$145*$F$10)-L145*J145-I145-$C$26</f>
        <v>7291184</v>
      </c>
      <c r="AP145" s="26" t="n">
        <f aca="false">AN145/AO145</f>
        <v>0.555889344761925</v>
      </c>
      <c r="AQ145" s="41" t="n">
        <f aca="false">MAX(ABS(X145),ABS(AC145),ABS(AH145),ABS(AM145))</f>
        <v>0.518682364633589</v>
      </c>
      <c r="AR145" s="3" t="str">
        <f aca="false">IF(ABS(X145)=AQ145,$C$7,IF(ABS(AC145)=AQ145,$D$7,IF(ABS(AH145)=AQ145,$E$7,$F$7)))</f>
        <v>Aerospace brackets</v>
      </c>
      <c r="AS145" s="41" t="n">
        <f aca="false">IF(ABS(X145)=AQ145,X145,IF(ABS(AC145)=AQ145,AC145,IF(ABS(AH145)=AQ145,AH145,AM145)))</f>
        <v>0.518682364633589</v>
      </c>
    </row>
    <row r="146" customFormat="false" ht="15" hidden="false" customHeight="false" outlineLevel="0" collapsed="false">
      <c r="B146" s="4" t="s">
        <v>204</v>
      </c>
      <c r="C146" s="20" t="n">
        <f aca="false">$B$67</f>
        <v>1.3</v>
      </c>
      <c r="D146" s="19" t="n">
        <f aca="false">$C$19*$C$146</f>
        <v>4563000</v>
      </c>
      <c r="E146" s="19" t="n">
        <f aca="false">$C$20*($C$24-$C$19*$C$146)/($C$24-$C$19)</f>
        <v>1770036.25377644</v>
      </c>
      <c r="F146" s="19" t="n">
        <f aca="false">$C$21*($C$24-$C$19*$C$146)/($C$24-$C$19)</f>
        <v>4130084.59214502</v>
      </c>
      <c r="G146" s="19" t="n">
        <f aca="false">$C$22*($C$24-$C$19*$C$146)/($C$24-$C$19)</f>
        <v>1439271.90332326</v>
      </c>
      <c r="H146" s="19" t="n">
        <f aca="false">$C$23*($C$24-$C$19*$C$146)/($C$24-$C$19)</f>
        <v>1537607.25075529</v>
      </c>
      <c r="I146" s="19" t="n">
        <f aca="false">SUM(D146:H146)</f>
        <v>13440000</v>
      </c>
      <c r="J146" s="20" t="n">
        <f aca="false">$C$25</f>
        <v>31.4</v>
      </c>
      <c r="K146" s="19" t="n">
        <f aca="false">$F$8</f>
        <v>19500</v>
      </c>
      <c r="L146" s="19" t="n">
        <f aca="false">$C$8*$C$11+$D$8*$D$11+$E$8*$E$11+$K$146*$F$11</f>
        <v>152940</v>
      </c>
      <c r="M146" s="19" t="n">
        <f aca="false">$C$8*$C$12+$D$8*$D$12+$E$8*$E$12+$K$146*$F$12</f>
        <v>150650</v>
      </c>
      <c r="N146" s="11" t="n">
        <f aca="false">I146/L146</f>
        <v>87.8775990584543</v>
      </c>
      <c r="O146" s="11" t="n">
        <f aca="false">D146/$G$32</f>
        <v>1170</v>
      </c>
      <c r="P146" s="11" t="n">
        <f aca="false">E146/$G$33</f>
        <v>332.089353428975</v>
      </c>
      <c r="Q146" s="11" t="n">
        <f aca="false">F146/M146</f>
        <v>27.4150985207104</v>
      </c>
      <c r="R146" s="11" t="n">
        <f aca="false">G146/$G$34</f>
        <v>1468.64479930945</v>
      </c>
      <c r="S146" s="11" t="n">
        <f aca="false">H146/$G$35</f>
        <v>92.2933523862717</v>
      </c>
      <c r="T146" s="20" t="n">
        <f aca="false">$C$10+$C$11*$J$146+$C$11*$N$146</f>
        <v>6.52832797175363</v>
      </c>
      <c r="U146" s="19" t="n">
        <f aca="false">$C$13*$O$146+$C$14*$P$146+$C$8*$C$12*$Q$146+$C$15*$R$146+$C$16*$S$146</f>
        <v>1736726.52375594</v>
      </c>
      <c r="V146" s="20" t="n">
        <f aca="false">$C$10+$C$11*$J$146+U146/$C$8</f>
        <v>4.83077109392213</v>
      </c>
      <c r="W146" s="19" t="n">
        <f aca="false">(T146-V146)*$C$8</f>
        <v>3140480.22398827</v>
      </c>
      <c r="X146" s="41" t="n">
        <f aca="false">(V146-T146)/T146</f>
        <v>-0.260029349808463</v>
      </c>
      <c r="Y146" s="20" t="n">
        <f aca="false">$D$10+$D$11*$J$146+$D$11*$N$146</f>
        <v>15.4952111416242</v>
      </c>
      <c r="Z146" s="19" t="n">
        <f aca="false">$D$13*$O$146+$D$14*$P$146+$D$8*$D$12*$Q$146+$D$15*$R$146+$D$16*$S$146</f>
        <v>2493614.29575755</v>
      </c>
      <c r="AA146" s="20" t="n">
        <f aca="false">$D$10+$D$11*$J$146+Z146/$D$8</f>
        <v>13.9430723371212</v>
      </c>
      <c r="AB146" s="19" t="n">
        <f aca="false">(Y146-AA146)*$D$8</f>
        <v>993368.834881917</v>
      </c>
      <c r="AC146" s="41" t="n">
        <f aca="false">(AA146-Y146)/Y146</f>
        <v>-0.100168935441838</v>
      </c>
      <c r="AD146" s="20" t="n">
        <f aca="false">$E$10+$E$11*$J$146+$E$11*$N$146</f>
        <v>54.5302357787368</v>
      </c>
      <c r="AE146" s="19" t="n">
        <f aca="false">$E$13*$O$146+$E$14*$P$146+$E$8*$E$12*$Q$146+$E$15*$R$146+$E$16*$S$146</f>
        <v>3631744.49179491</v>
      </c>
      <c r="AF146" s="20" t="n">
        <f aca="false">$E$10+$E$11*$J$146+AE146/$E$8</f>
        <v>64.6564956931772</v>
      </c>
      <c r="AG146" s="19" t="n">
        <f aca="false">(AD146-AF146)*$E$8</f>
        <v>-1194898.66990397</v>
      </c>
      <c r="AH146" s="41" t="n">
        <f aca="false">(AF146-AD146)/AD146</f>
        <v>0.185699910697782</v>
      </c>
      <c r="AI146" s="20" t="n">
        <f aca="false">$F$10+$F$11*$J$146+$F$11*$N$146</f>
        <v>287.68750255002</v>
      </c>
      <c r="AJ146" s="19" t="n">
        <f aca="false">$F$13*$O$146+$F$14*$P$146+$K$146*$F$12*$Q$146+$F$15*$R$146+$F$16*$S$146</f>
        <v>5577914.6886916</v>
      </c>
      <c r="AK146" s="20" t="n">
        <f aca="false">$F$10+$F$11*$J$146+AJ146/$K$146</f>
        <v>438.40290711239</v>
      </c>
      <c r="AL146" s="19" t="n">
        <f aca="false">(AI146-AK146)*$K$146</f>
        <v>-2938950.38896622</v>
      </c>
      <c r="AM146" s="41" t="n">
        <f aca="false">(AK146-AI146)/AI146</f>
        <v>0.523885824814951</v>
      </c>
      <c r="AN146" s="19" t="n">
        <f aca="false">-(MIN(0,W146)+MIN(0,AB146)+MIN(0,AG146)+MIN(0,AL146))</f>
        <v>4133849.05887019</v>
      </c>
      <c r="AO146" s="19" t="n">
        <f aca="false">($C$8*$C$9+$D$8*$D$9+$E$8*$E$9+$K$146*$F$9)-($C$8*$C$10+$D$8*$D$10+$E$8*$E$10+$K$146*$F$10)-L146*J146-I146-$C$26</f>
        <v>7291184</v>
      </c>
      <c r="AP146" s="26" t="n">
        <f aca="false">AN146/AO146</f>
        <v>0.566965400800499</v>
      </c>
      <c r="AQ146" s="41" t="n">
        <f aca="false">MAX(ABS(X146),ABS(AC146),ABS(AH146),ABS(AM146))</f>
        <v>0.523885824814951</v>
      </c>
      <c r="AR146" s="3" t="str">
        <f aca="false">IF(ABS(X146)=AQ146,$C$7,IF(ABS(AC146)=AQ146,$D$7,IF(ABS(AH146)=AQ146,$E$7,$F$7)))</f>
        <v>Aerospace brackets</v>
      </c>
      <c r="AS146" s="41" t="n">
        <f aca="false">IF(ABS(X146)=AQ146,X146,IF(ABS(AC146)=AQ146,AC146,IF(ABS(AH146)=AQ146,AH146,AM146)))</f>
        <v>0.523885824814951</v>
      </c>
    </row>
    <row r="147" customFormat="false" ht="15" hidden="false" customHeight="false" outlineLevel="0" collapsed="false">
      <c r="B147" s="4" t="s">
        <v>204</v>
      </c>
      <c r="C147" s="20" t="n">
        <f aca="false">$B$68</f>
        <v>1.6</v>
      </c>
      <c r="D147" s="19" t="n">
        <f aca="false">$C$19*$C$147</f>
        <v>5616000</v>
      </c>
      <c r="E147" s="19" t="n">
        <f aca="false">$C$20*($C$24-$C$19*$C$147)/($C$24-$C$19)</f>
        <v>1560072.50755287</v>
      </c>
      <c r="F147" s="19" t="n">
        <f aca="false">$C$21*($C$24-$C$19*$C$147)/($C$24-$C$19)</f>
        <v>3640169.18429003</v>
      </c>
      <c r="G147" s="19" t="n">
        <f aca="false">$C$22*($C$24-$C$19*$C$147)/($C$24-$C$19)</f>
        <v>1268543.80664653</v>
      </c>
      <c r="H147" s="19" t="n">
        <f aca="false">$C$23*($C$24-$C$19*$C$147)/($C$24-$C$19)</f>
        <v>1355214.50151057</v>
      </c>
      <c r="I147" s="19" t="n">
        <f aca="false">SUM(D147:H147)</f>
        <v>13440000</v>
      </c>
      <c r="J147" s="20" t="n">
        <f aca="false">$C$25</f>
        <v>31.4</v>
      </c>
      <c r="K147" s="19" t="n">
        <f aca="false">$F$8</f>
        <v>19500</v>
      </c>
      <c r="L147" s="19" t="n">
        <f aca="false">$C$8*$C$11+$D$8*$D$11+$E$8*$E$11+$K$147*$F$11</f>
        <v>152940</v>
      </c>
      <c r="M147" s="19" t="n">
        <f aca="false">$C$8*$C$12+$D$8*$D$12+$E$8*$E$12+$K$147*$F$12</f>
        <v>150650</v>
      </c>
      <c r="N147" s="11" t="n">
        <f aca="false">I147/L147</f>
        <v>87.8775990584543</v>
      </c>
      <c r="O147" s="11" t="n">
        <f aca="false">D147/$G$32</f>
        <v>1440</v>
      </c>
      <c r="P147" s="11" t="n">
        <f aca="false">E147/$G$33</f>
        <v>292.696530497724</v>
      </c>
      <c r="Q147" s="11" t="n">
        <f aca="false">F147/M147</f>
        <v>24.1630878479259</v>
      </c>
      <c r="R147" s="11" t="n">
        <f aca="false">G147/$G$34</f>
        <v>1294.43245576176</v>
      </c>
      <c r="S147" s="11" t="n">
        <f aca="false">H147/$G$35</f>
        <v>81.345408253936</v>
      </c>
      <c r="T147" s="20" t="n">
        <f aca="false">$C$10+$C$11*$J$147+$C$11*$N$147</f>
        <v>6.52832797175363</v>
      </c>
      <c r="U147" s="19" t="n">
        <f aca="false">$C$13*$O$147+$C$14*$P$147+$C$8*$C$12*$Q$147+$C$15*$R$147+$C$16*$S$147</f>
        <v>1657437.90941382</v>
      </c>
      <c r="V147" s="20" t="n">
        <f aca="false">$C$10+$C$11*$J$147+U147/$C$8</f>
        <v>4.78791238346693</v>
      </c>
      <c r="W147" s="19" t="n">
        <f aca="false">(T147-V147)*$C$8</f>
        <v>3219768.83833039</v>
      </c>
      <c r="X147" s="41" t="n">
        <f aca="false">(V147-T147)/T147</f>
        <v>-0.266594386160901</v>
      </c>
      <c r="Y147" s="20" t="n">
        <f aca="false">$D$10+$D$11*$J$147+$D$11*$N$147</f>
        <v>15.4952111416242</v>
      </c>
      <c r="Z147" s="19" t="n">
        <f aca="false">$D$13*$O$147+$D$14*$P$147+$D$8*$D$12*$Q$147+$D$15*$R$147+$D$16*$S$147</f>
        <v>2492145.34752811</v>
      </c>
      <c r="AA147" s="20" t="n">
        <f aca="false">$D$10+$D$11*$J$147+Z147/$D$8</f>
        <v>13.9407771055127</v>
      </c>
      <c r="AB147" s="19" t="n">
        <f aca="false">(Y147-AA147)*$D$8</f>
        <v>994837.783111352</v>
      </c>
      <c r="AC147" s="41" t="n">
        <f aca="false">(AA147-Y147)/Y147</f>
        <v>-0.100317060665012</v>
      </c>
      <c r="AD147" s="20" t="n">
        <f aca="false">$E$10+$E$11*$J$147+$E$11*$N$147</f>
        <v>54.5302357787368</v>
      </c>
      <c r="AE147" s="19" t="n">
        <f aca="false">$E$13*$O$147+$E$14*$P$147+$E$8*$E$12*$Q$147+$E$15*$R$147+$E$16*$S$147</f>
        <v>3683311.13031467</v>
      </c>
      <c r="AF147" s="20" t="n">
        <f aca="false">$E$10+$E$11*$J$147+AE147/$E$8</f>
        <v>65.0935011043616</v>
      </c>
      <c r="AG147" s="19" t="n">
        <f aca="false">(AD147-AF147)*$E$8</f>
        <v>-1246465.30842374</v>
      </c>
      <c r="AH147" s="41" t="n">
        <f aca="false">(AF147-AD147)/AD147</f>
        <v>0.193713912561953</v>
      </c>
      <c r="AI147" s="20" t="n">
        <f aca="false">$F$10+$F$11*$J$147+$F$11*$N$147</f>
        <v>287.68750255002</v>
      </c>
      <c r="AJ147" s="19" t="n">
        <f aca="false">$F$13*$O$147+$F$14*$P$147+$K$147*$F$12*$Q$147+$F$15*$R$147+$F$16*$S$147</f>
        <v>5607105.61274339</v>
      </c>
      <c r="AK147" s="20" t="n">
        <f aca="false">$F$10+$F$11*$J$147+AJ147/$K$147</f>
        <v>439.899877576584</v>
      </c>
      <c r="AL147" s="19" t="n">
        <f aca="false">(AI147-AK147)*$K$147</f>
        <v>-2968141.31301801</v>
      </c>
      <c r="AM147" s="41" t="n">
        <f aca="false">(AK147-AI147)/AI147</f>
        <v>0.529089284996312</v>
      </c>
      <c r="AN147" s="19" t="n">
        <f aca="false">-(MIN(0,W147)+MIN(0,AB147)+MIN(0,AG147)+MIN(0,AL147))</f>
        <v>4214606.62144175</v>
      </c>
      <c r="AO147" s="19" t="n">
        <f aca="false">($C$8*$C$9+$D$8*$D$9+$E$8*$E$9+$K$147*$F$9)-($C$8*$C$10+$D$8*$D$10+$E$8*$E$10+$K$147*$F$10)-L147*J147-I147-$C$26</f>
        <v>7291184</v>
      </c>
      <c r="AP147" s="26" t="n">
        <f aca="false">AN147/AO147</f>
        <v>0.578041456839074</v>
      </c>
      <c r="AQ147" s="41" t="n">
        <f aca="false">MAX(ABS(X147),ABS(AC147),ABS(AH147),ABS(AM147))</f>
        <v>0.529089284996312</v>
      </c>
      <c r="AR147" s="3" t="str">
        <f aca="false">IF(ABS(X147)=AQ147,$C$7,IF(ABS(AC147)=AQ147,$D$7,IF(ABS(AH147)=AQ147,$E$7,$F$7)))</f>
        <v>Aerospace brackets</v>
      </c>
      <c r="AS147" s="41" t="n">
        <f aca="false">IF(ABS(X147)=AQ147,X147,IF(ABS(AC147)=AQ147,AC147,IF(ABS(AH147)=AQ147,AH147,AM147)))</f>
        <v>0.529089284996312</v>
      </c>
    </row>
    <row r="148" customFormat="false" ht="15" hidden="false" customHeight="false" outlineLevel="0" collapsed="false">
      <c r="B148" s="4" t="s">
        <v>213</v>
      </c>
      <c r="C148" s="20" t="n">
        <f aca="false">$B$74</f>
        <v>0.6</v>
      </c>
      <c r="D148" s="19" t="n">
        <f aca="false">$C$19*($C$24-$C$21*$C$148)/($C$24-$C$21)</f>
        <v>4245428.57142857</v>
      </c>
      <c r="E148" s="19" t="n">
        <f aca="false">$C$20*($C$24-$C$21*$C$148)/($C$24-$C$21)</f>
        <v>2394857.14285714</v>
      </c>
      <c r="F148" s="19" t="n">
        <f aca="false">$C$21*$C$148</f>
        <v>2772000</v>
      </c>
      <c r="G148" s="19" t="n">
        <f aca="false">$C$22*($C$24-$C$21*$C$148)/($C$24-$C$21)</f>
        <v>1947333.33333333</v>
      </c>
      <c r="H148" s="19" t="n">
        <f aca="false">$C$23*($C$24-$C$21*$C$148)/($C$24-$C$21)</f>
        <v>2080380.95238095</v>
      </c>
      <c r="I148" s="19" t="n">
        <f aca="false">SUM(D148:H148)</f>
        <v>13440000</v>
      </c>
      <c r="J148" s="20" t="n">
        <f aca="false">$C$25</f>
        <v>31.4</v>
      </c>
      <c r="K148" s="19" t="n">
        <f aca="false">$F$8</f>
        <v>19500</v>
      </c>
      <c r="L148" s="19" t="n">
        <f aca="false">$C$8*$C$11+$D$8*$D$11+$E$8*$E$11+$K$148*$F$11</f>
        <v>152940</v>
      </c>
      <c r="M148" s="19" t="n">
        <f aca="false">$C$8*$C$12+$D$8*$D$12+$E$8*$E$12+$K$148*$F$12</f>
        <v>150650</v>
      </c>
      <c r="N148" s="11" t="n">
        <f aca="false">I148/L148</f>
        <v>87.8775990584543</v>
      </c>
      <c r="O148" s="11" t="n">
        <f aca="false">D148/$G$32</f>
        <v>1088.57142857143</v>
      </c>
      <c r="P148" s="11" t="n">
        <f aca="false">E148/$G$33</f>
        <v>449.316537121415</v>
      </c>
      <c r="Q148" s="11" t="n">
        <f aca="false">F148/M148</f>
        <v>18.4002655160969</v>
      </c>
      <c r="R148" s="11" t="n">
        <f aca="false">G148/$G$34</f>
        <v>1987.07482993197</v>
      </c>
      <c r="S148" s="11" t="n">
        <f aca="false">H148/$G$35</f>
        <v>124.872806265363</v>
      </c>
      <c r="T148" s="20" t="n">
        <f aca="false">$C$10+$C$11*$J$148+$C$11*$N$148</f>
        <v>6.52832797175363</v>
      </c>
      <c r="U148" s="19" t="n">
        <f aca="false">$C$13*$O$148+$C$14*$P$148+$C$8*$C$12*$Q$148+$C$15*$R$148+$C$16*$S$148</f>
        <v>1435735.58582132</v>
      </c>
      <c r="V148" s="20" t="n">
        <f aca="false">$C$10+$C$11*$J$148+U148/$C$8</f>
        <v>4.66807328963315</v>
      </c>
      <c r="W148" s="19" t="n">
        <f aca="false">(T148-V148)*$C$8</f>
        <v>3441471.16192289</v>
      </c>
      <c r="X148" s="41" t="n">
        <f aca="false">(V148-T148)/T148</f>
        <v>-0.284951168227044</v>
      </c>
      <c r="Y148" s="20" t="n">
        <f aca="false">$D$10+$D$11*$J$148+$D$11*$N$148</f>
        <v>15.4952111416242</v>
      </c>
      <c r="Z148" s="19" t="n">
        <f aca="false">$D$13*$O$148+$D$14*$P$148+$D$8*$D$12*$Q$148+$D$15*$R$148+$D$16*$S$148</f>
        <v>2324003.18111948</v>
      </c>
      <c r="AA148" s="20" t="n">
        <f aca="false">$D$10+$D$11*$J$148+Z148/$D$8</f>
        <v>13.6780549704992</v>
      </c>
      <c r="AB148" s="19" t="n">
        <f aca="false">(Y148-AA148)*$D$8</f>
        <v>1162979.94951999</v>
      </c>
      <c r="AC148" s="41" t="n">
        <f aca="false">(AA148-Y148)/Y148</f>
        <v>-0.117272114236871</v>
      </c>
      <c r="AD148" s="20" t="n">
        <f aca="false">$E$10+$E$11*$J$148+$E$11*$N$148</f>
        <v>54.5302357787368</v>
      </c>
      <c r="AE148" s="19" t="n">
        <f aca="false">$E$13*$O$148+$E$14*$P$148+$E$8*$E$12*$Q$148+$E$15*$R$148+$E$16*$S$148</f>
        <v>3690658.71298527</v>
      </c>
      <c r="AF148" s="20" t="n">
        <f aca="false">$E$10+$E$11*$J$148+AE148/$E$8</f>
        <v>65.1557687541125</v>
      </c>
      <c r="AG148" s="19" t="n">
        <f aca="false">(AD148-AF148)*$E$8</f>
        <v>-1253812.89109434</v>
      </c>
      <c r="AH148" s="41" t="n">
        <f aca="false">(AF148-AD148)/AD148</f>
        <v>0.194855804740881</v>
      </c>
      <c r="AI148" s="20" t="n">
        <f aca="false">$F$10+$F$11*$J$148+$F$11*$N$148</f>
        <v>287.68750255002</v>
      </c>
      <c r="AJ148" s="19" t="n">
        <f aca="false">$F$13*$O$148+$F$14*$P$148+$K$148*$F$12*$Q$148+$F$15*$R$148+$F$16*$S$148</f>
        <v>5989602.52007393</v>
      </c>
      <c r="AK148" s="20" t="n">
        <f aca="false">$F$10+$F$11*$J$148+AJ148/$K$148</f>
        <v>459.515103593535</v>
      </c>
      <c r="AL148" s="19" t="n">
        <f aca="false">(AI148-AK148)*$K$148</f>
        <v>-3350638.22034855</v>
      </c>
      <c r="AM148" s="41" t="n">
        <f aca="false">(AK148-AI148)/AI148</f>
        <v>0.597271690707663</v>
      </c>
      <c r="AN148" s="19" t="n">
        <f aca="false">-(MIN(0,W148)+MIN(0,AB148)+MIN(0,AG148)+MIN(0,AL148))</f>
        <v>4604451.11144288</v>
      </c>
      <c r="AO148" s="19" t="n">
        <f aca="false">($C$8*$C$9+$D$8*$D$9+$E$8*$E$9+$K$148*$F$9)-($C$8*$C$10+$D$8*$D$10+$E$8*$E$10+$K$148*$F$10)-L148*J148-I148-$C$26</f>
        <v>7291184</v>
      </c>
      <c r="AP148" s="26" t="n">
        <f aca="false">AN148/AO148</f>
        <v>0.631509383310431</v>
      </c>
      <c r="AQ148" s="41" t="n">
        <f aca="false">MAX(ABS(X148),ABS(AC148),ABS(AH148),ABS(AM148))</f>
        <v>0.597271690707663</v>
      </c>
      <c r="AR148" s="3" t="str">
        <f aca="false">IF(ABS(X148)=AQ148,$C$7,IF(ABS(AC148)=AQ148,$D$7,IF(ABS(AH148)=AQ148,$E$7,$F$7)))</f>
        <v>Aerospace brackets</v>
      </c>
      <c r="AS148" s="41" t="n">
        <f aca="false">IF(ABS(X148)=AQ148,X148,IF(ABS(AC148)=AQ148,AC148,IF(ABS(AH148)=AQ148,AH148,AM148)))</f>
        <v>0.597271690707663</v>
      </c>
    </row>
    <row r="149" customFormat="false" ht="15" hidden="false" customHeight="false" outlineLevel="0" collapsed="false">
      <c r="B149" s="4" t="s">
        <v>213</v>
      </c>
      <c r="C149" s="20" t="n">
        <f aca="false">$B$75</f>
        <v>0.8</v>
      </c>
      <c r="D149" s="19" t="n">
        <f aca="false">$C$19*($C$24-$C$21*$C$149)/($C$24-$C$21)</f>
        <v>3877714.28571429</v>
      </c>
      <c r="E149" s="19" t="n">
        <f aca="false">$C$20*($C$24-$C$21*$C$149)/($C$24-$C$21)</f>
        <v>2187428.57142857</v>
      </c>
      <c r="F149" s="19" t="n">
        <f aca="false">$C$21*$C$149</f>
        <v>3696000</v>
      </c>
      <c r="G149" s="19" t="n">
        <f aca="false">$C$22*($C$24-$C$21*$C$149)/($C$24-$C$21)</f>
        <v>1778666.66666667</v>
      </c>
      <c r="H149" s="19" t="n">
        <f aca="false">$C$23*($C$24-$C$21*$C$149)/($C$24-$C$21)</f>
        <v>1900190.47619048</v>
      </c>
      <c r="I149" s="19" t="n">
        <f aca="false">SUM(D149:H149)</f>
        <v>13440000</v>
      </c>
      <c r="J149" s="20" t="n">
        <f aca="false">$C$25</f>
        <v>31.4</v>
      </c>
      <c r="K149" s="19" t="n">
        <f aca="false">$F$8</f>
        <v>19500</v>
      </c>
      <c r="L149" s="19" t="n">
        <f aca="false">$C$8*$C$11+$D$8*$D$11+$E$8*$E$11+$K$149*$F$11</f>
        <v>152940</v>
      </c>
      <c r="M149" s="19" t="n">
        <f aca="false">$C$8*$C$12+$D$8*$D$12+$E$8*$E$12+$K$149*$F$12</f>
        <v>150650</v>
      </c>
      <c r="N149" s="11" t="n">
        <f aca="false">I149/L149</f>
        <v>87.8775990584543</v>
      </c>
      <c r="O149" s="11" t="n">
        <f aca="false">D149/$G$32</f>
        <v>994.285714285714</v>
      </c>
      <c r="P149" s="11" t="n">
        <f aca="false">E149/$G$33</f>
        <v>410.39935674082</v>
      </c>
      <c r="Q149" s="11" t="n">
        <f aca="false">F149/M149</f>
        <v>24.5336873547959</v>
      </c>
      <c r="R149" s="11" t="n">
        <f aca="false">G149/$G$34</f>
        <v>1814.96598639456</v>
      </c>
      <c r="S149" s="11" t="n">
        <f aca="false">H149/$G$35</f>
        <v>114.057051391985</v>
      </c>
      <c r="T149" s="20" t="n">
        <f aca="false">$C$10+$C$11*$J$149+$C$11*$N$149</f>
        <v>6.52832797175363</v>
      </c>
      <c r="U149" s="19" t="n">
        <f aca="false">$C$13*$O$149+$C$14*$P$149+$C$8*$C$12*$Q$149+$C$15*$R$149+$C$16*$S$149</f>
        <v>1625875.36195969</v>
      </c>
      <c r="V149" s="20" t="n">
        <f aca="false">$C$10+$C$11*$J$149+U149/$C$8</f>
        <v>4.77085154700524</v>
      </c>
      <c r="W149" s="19" t="n">
        <f aca="false">(T149-V149)*$C$8</f>
        <v>3251331.38578452</v>
      </c>
      <c r="X149" s="41" t="n">
        <f aca="false">(V149-T149)/T149</f>
        <v>-0.269207740841534</v>
      </c>
      <c r="Y149" s="20" t="n">
        <f aca="false">$D$10+$D$11*$J$149+$D$11*$N$149</f>
        <v>15.4952111416242</v>
      </c>
      <c r="Z149" s="19" t="n">
        <f aca="false">$D$13*$O$149+$D$14*$P$149+$D$8*$D$12*$Q$149+$D$15*$R$149+$D$16*$S$149</f>
        <v>2409543.21255323</v>
      </c>
      <c r="AA149" s="20" t="n">
        <f aca="false">$D$10+$D$11*$J$149+Z149/$D$8</f>
        <v>13.8117112696144</v>
      </c>
      <c r="AB149" s="19" t="n">
        <f aca="false">(Y149-AA149)*$D$8</f>
        <v>1077439.91808624</v>
      </c>
      <c r="AC149" s="41" t="n">
        <f aca="false">(AA149-Y149)/Y149</f>
        <v>-0.108646462227767</v>
      </c>
      <c r="AD149" s="20" t="n">
        <f aca="false">$E$10+$E$11*$J$149+$E$11*$N$149</f>
        <v>54.5302357787368</v>
      </c>
      <c r="AE149" s="19" t="n">
        <f aca="false">$E$13*$O$149+$E$14*$P$149+$E$8*$E$12*$Q$149+$E$15*$R$149+$E$16*$S$149</f>
        <v>3635418.28313021</v>
      </c>
      <c r="AF149" s="20" t="n">
        <f aca="false">$E$10+$E$11*$J$149+AE149/$E$8</f>
        <v>64.6876295180526</v>
      </c>
      <c r="AG149" s="19" t="n">
        <f aca="false">(AD149-AF149)*$E$8</f>
        <v>-1198572.46123927</v>
      </c>
      <c r="AH149" s="41" t="n">
        <f aca="false">(AF149-AD149)/AD149</f>
        <v>0.186270856787246</v>
      </c>
      <c r="AI149" s="20" t="n">
        <f aca="false">$F$10+$F$11*$J$149+$F$11*$N$149</f>
        <v>287.68750255002</v>
      </c>
      <c r="AJ149" s="19" t="n">
        <f aca="false">$F$13*$O$149+$F$14*$P$149+$K$149*$F$12*$Q$149+$F$15*$R$149+$F$16*$S$149</f>
        <v>5769163.14235687</v>
      </c>
      <c r="AK149" s="20" t="n">
        <f aca="false">$F$10+$F$11*$J$149+AJ149/$K$149</f>
        <v>448.210520120865</v>
      </c>
      <c r="AL149" s="19" t="n">
        <f aca="false">(AI149-AK149)*$K$149</f>
        <v>-3130198.84263149</v>
      </c>
      <c r="AM149" s="41" t="n">
        <f aca="false">(AK149-AI149)/AI149</f>
        <v>0.557977027670626</v>
      </c>
      <c r="AN149" s="19" t="n">
        <f aca="false">-(MIN(0,W149)+MIN(0,AB149)+MIN(0,AG149)+MIN(0,AL149))</f>
        <v>4328771.30387076</v>
      </c>
      <c r="AO149" s="19" t="n">
        <f aca="false">($C$8*$C$9+$D$8*$D$9+$E$8*$E$9+$K$149*$F$9)-($C$8*$C$10+$D$8*$D$10+$E$8*$E$10+$K$149*$F$10)-L149*J149-I149-$C$26</f>
        <v>7291184</v>
      </c>
      <c r="AP149" s="26" t="n">
        <f aca="false">AN149/AO149</f>
        <v>0.593699364036179</v>
      </c>
      <c r="AQ149" s="41" t="n">
        <f aca="false">MAX(ABS(X149),ABS(AC149),ABS(AH149),ABS(AM149))</f>
        <v>0.557977027670626</v>
      </c>
      <c r="AR149" s="3" t="str">
        <f aca="false">IF(ABS(X149)=AQ149,$C$7,IF(ABS(AC149)=AQ149,$D$7,IF(ABS(AH149)=AQ149,$E$7,$F$7)))</f>
        <v>Aerospace brackets</v>
      </c>
      <c r="AS149" s="41" t="n">
        <f aca="false">IF(ABS(X149)=AQ149,X149,IF(ABS(AC149)=AQ149,AC149,IF(ABS(AH149)=AQ149,AH149,AM149)))</f>
        <v>0.557977027670626</v>
      </c>
    </row>
    <row r="150" customFormat="false" ht="15" hidden="false" customHeight="false" outlineLevel="0" collapsed="false">
      <c r="B150" s="4" t="s">
        <v>213</v>
      </c>
      <c r="C150" s="20" t="n">
        <f aca="false">$B$76</f>
        <v>1</v>
      </c>
      <c r="D150" s="19" t="n">
        <f aca="false">$C$19*($C$24-$C$21*$C$150)/($C$24-$C$21)</f>
        <v>3510000</v>
      </c>
      <c r="E150" s="19" t="n">
        <f aca="false">$C$20*($C$24-$C$21*$C$150)/($C$24-$C$21)</f>
        <v>1980000</v>
      </c>
      <c r="F150" s="19" t="n">
        <f aca="false">$C$21*$C$150</f>
        <v>4620000</v>
      </c>
      <c r="G150" s="19" t="n">
        <f aca="false">$C$22*($C$24-$C$21*$C$150)/($C$24-$C$21)</f>
        <v>1610000</v>
      </c>
      <c r="H150" s="19" t="n">
        <f aca="false">$C$23*($C$24-$C$21*$C$150)/($C$24-$C$21)</f>
        <v>1720000</v>
      </c>
      <c r="I150" s="19" t="n">
        <f aca="false">SUM(D150:H150)</f>
        <v>13440000</v>
      </c>
      <c r="J150" s="20" t="n">
        <f aca="false">$C$25</f>
        <v>31.4</v>
      </c>
      <c r="K150" s="19" t="n">
        <f aca="false">$F$8</f>
        <v>19500</v>
      </c>
      <c r="L150" s="19" t="n">
        <f aca="false">$C$8*$C$11+$D$8*$D$11+$E$8*$E$11+$K$150*$F$11</f>
        <v>152940</v>
      </c>
      <c r="M150" s="19" t="n">
        <f aca="false">$C$8*$C$12+$D$8*$D$12+$E$8*$E$12+$K$150*$F$12</f>
        <v>150650</v>
      </c>
      <c r="N150" s="11" t="n">
        <f aca="false">I150/L150</f>
        <v>87.8775990584543</v>
      </c>
      <c r="O150" s="11" t="n">
        <f aca="false">D150/$G$32</f>
        <v>900</v>
      </c>
      <c r="P150" s="11" t="n">
        <f aca="false">E150/$G$33</f>
        <v>371.482176360225</v>
      </c>
      <c r="Q150" s="11" t="n">
        <f aca="false">F150/M150</f>
        <v>30.6671091934949</v>
      </c>
      <c r="R150" s="11" t="n">
        <f aca="false">G150/$G$34</f>
        <v>1642.85714285714</v>
      </c>
      <c r="S150" s="11" t="n">
        <f aca="false">H150/$G$35</f>
        <v>103.241296518607</v>
      </c>
      <c r="T150" s="20" t="n">
        <f aca="false">$C$10+$C$11*$J$150+$C$11*$N$150</f>
        <v>6.52832797175363</v>
      </c>
      <c r="U150" s="19" t="n">
        <f aca="false">$C$13*$O$150+$C$14*$P$150+$C$8*$C$12*$Q$150+$C$15*$R$150+$C$16*$S$150</f>
        <v>1816015.13809806</v>
      </c>
      <c r="V150" s="20" t="n">
        <f aca="false">$C$10+$C$11*$J$150+U150/$C$8</f>
        <v>4.87362980437733</v>
      </c>
      <c r="W150" s="19" t="n">
        <f aca="false">(T150-V150)*$C$8</f>
        <v>3061191.60964615</v>
      </c>
      <c r="X150" s="41" t="n">
        <f aca="false">(V150-T150)/T150</f>
        <v>-0.253464313456025</v>
      </c>
      <c r="Y150" s="20" t="n">
        <f aca="false">$D$10+$D$11*$J$150+$D$11*$N$150</f>
        <v>15.4952111416242</v>
      </c>
      <c r="Z150" s="19" t="n">
        <f aca="false">$D$13*$O$150+$D$14*$P$150+$D$8*$D$12*$Q$150+$D$15*$R$150+$D$16*$S$150</f>
        <v>2495083.24398698</v>
      </c>
      <c r="AA150" s="20" t="n">
        <f aca="false">$D$10+$D$11*$J$150+Z150/$D$8</f>
        <v>13.9453675687297</v>
      </c>
      <c r="AB150" s="19" t="n">
        <f aca="false">(Y150-AA150)*$D$8</f>
        <v>991899.886652482</v>
      </c>
      <c r="AC150" s="41" t="n">
        <f aca="false">(AA150-Y150)/Y150</f>
        <v>-0.100020810218663</v>
      </c>
      <c r="AD150" s="20" t="n">
        <f aca="false">$E$10+$E$11*$J$150+$E$11*$N$150</f>
        <v>54.5302357787368</v>
      </c>
      <c r="AE150" s="19" t="n">
        <f aca="false">$E$13*$O$150+$E$14*$P$150+$E$8*$E$12*$Q$150+$E$15*$R$150+$E$16*$S$150</f>
        <v>3580177.85327514</v>
      </c>
      <c r="AF150" s="20" t="n">
        <f aca="false">$E$10+$E$11*$J$150+AE150/$E$8</f>
        <v>64.2194902819927</v>
      </c>
      <c r="AG150" s="19" t="n">
        <f aca="false">(AD150-AF150)*$E$8</f>
        <v>-1143332.0313842</v>
      </c>
      <c r="AH150" s="41" t="n">
        <f aca="false">(AF150-AD150)/AD150</f>
        <v>0.177685908833611</v>
      </c>
      <c r="AI150" s="20" t="n">
        <f aca="false">$F$10+$F$11*$J$150+$F$11*$N$150</f>
        <v>287.68750255002</v>
      </c>
      <c r="AJ150" s="19" t="n">
        <f aca="false">$F$13*$O$150+$F$14*$P$150+$K$150*$F$12*$Q$150+$F$15*$R$150+$F$16*$S$150</f>
        <v>5548723.76463981</v>
      </c>
      <c r="AK150" s="20" t="n">
        <f aca="false">$F$10+$F$11*$J$150+AJ150/$K$150</f>
        <v>436.905936648196</v>
      </c>
      <c r="AL150" s="19" t="n">
        <f aca="false">(AI150-AK150)*$K$150</f>
        <v>-2909759.46491443</v>
      </c>
      <c r="AM150" s="41" t="n">
        <f aca="false">(AK150-AI150)/AI150</f>
        <v>0.518682364633589</v>
      </c>
      <c r="AN150" s="19" t="n">
        <f aca="false">-(MIN(0,W150)+MIN(0,AB150)+MIN(0,AG150)+MIN(0,AL150))</f>
        <v>4053091.49629863</v>
      </c>
      <c r="AO150" s="19" t="n">
        <f aca="false">($C$8*$C$9+$D$8*$D$9+$E$8*$E$9+$K$150*$F$9)-($C$8*$C$10+$D$8*$D$10+$E$8*$E$10+$K$150*$F$10)-L150*J150-I150-$C$26</f>
        <v>7291184</v>
      </c>
      <c r="AP150" s="26" t="n">
        <f aca="false">AN150/AO150</f>
        <v>0.555889344761925</v>
      </c>
      <c r="AQ150" s="41" t="n">
        <f aca="false">MAX(ABS(X150),ABS(AC150),ABS(AH150),ABS(AM150))</f>
        <v>0.518682364633589</v>
      </c>
      <c r="AR150" s="3" t="str">
        <f aca="false">IF(ABS(X150)=AQ150,$C$7,IF(ABS(AC150)=AQ150,$D$7,IF(ABS(AH150)=AQ150,$E$7,$F$7)))</f>
        <v>Aerospace brackets</v>
      </c>
      <c r="AS150" s="41" t="n">
        <f aca="false">IF(ABS(X150)=AQ150,X150,IF(ABS(AC150)=AQ150,AC150,IF(ABS(AH150)=AQ150,AH150,AM150)))</f>
        <v>0.518682364633589</v>
      </c>
    </row>
    <row r="151" customFormat="false" ht="15" hidden="false" customHeight="false" outlineLevel="0" collapsed="false">
      <c r="B151" s="4" t="s">
        <v>213</v>
      </c>
      <c r="C151" s="20" t="n">
        <f aca="false">$B$77</f>
        <v>1.3</v>
      </c>
      <c r="D151" s="19" t="n">
        <f aca="false">$C$19*($C$24-$C$21*$C$151)/($C$24-$C$21)</f>
        <v>2958428.57142857</v>
      </c>
      <c r="E151" s="19" t="n">
        <f aca="false">$C$20*($C$24-$C$21*$C$151)/($C$24-$C$21)</f>
        <v>1668857.14285714</v>
      </c>
      <c r="F151" s="19" t="n">
        <f aca="false">$C$21*$C$151</f>
        <v>6006000</v>
      </c>
      <c r="G151" s="19" t="n">
        <f aca="false">$C$22*($C$24-$C$21*$C$151)/($C$24-$C$21)</f>
        <v>1357000</v>
      </c>
      <c r="H151" s="19" t="n">
        <f aca="false">$C$23*($C$24-$C$21*$C$151)/($C$24-$C$21)</f>
        <v>1449714.28571429</v>
      </c>
      <c r="I151" s="19" t="n">
        <f aca="false">SUM(D151:H151)</f>
        <v>13440000</v>
      </c>
      <c r="J151" s="20" t="n">
        <f aca="false">$C$25</f>
        <v>31.4</v>
      </c>
      <c r="K151" s="19" t="n">
        <f aca="false">$F$8</f>
        <v>19500</v>
      </c>
      <c r="L151" s="19" t="n">
        <f aca="false">$C$8*$C$11+$D$8*$D$11+$E$8*$E$11+$K$151*$F$11</f>
        <v>152940</v>
      </c>
      <c r="M151" s="19" t="n">
        <f aca="false">$C$8*$C$12+$D$8*$D$12+$E$8*$E$12+$K$151*$F$12</f>
        <v>150650</v>
      </c>
      <c r="N151" s="11" t="n">
        <f aca="false">I151/L151</f>
        <v>87.8775990584543</v>
      </c>
      <c r="O151" s="11" t="n">
        <f aca="false">D151/$G$32</f>
        <v>758.571428571429</v>
      </c>
      <c r="P151" s="11" t="n">
        <f aca="false">E151/$G$33</f>
        <v>313.106405789333</v>
      </c>
      <c r="Q151" s="11" t="n">
        <f aca="false">F151/M151</f>
        <v>39.8672419515433</v>
      </c>
      <c r="R151" s="11" t="n">
        <f aca="false">G151/$G$34</f>
        <v>1384.69387755102</v>
      </c>
      <c r="S151" s="11" t="n">
        <f aca="false">H151/$G$35</f>
        <v>87.0176642085406</v>
      </c>
      <c r="T151" s="20" t="n">
        <f aca="false">$C$10+$C$11*$J$151+$C$11*$N$151</f>
        <v>6.52832797175363</v>
      </c>
      <c r="U151" s="19" t="n">
        <f aca="false">$C$13*$O$151+$C$14*$P$151+$C$8*$C$12*$Q$151+$C$15*$R$151+$C$16*$S$151</f>
        <v>2101224.80230562</v>
      </c>
      <c r="V151" s="20" t="n">
        <f aca="false">$C$10+$C$11*$J$151+U151/$C$8</f>
        <v>5.02779719043547</v>
      </c>
      <c r="W151" s="19" t="n">
        <f aca="false">(T151-V151)*$C$8</f>
        <v>2775981.94543859</v>
      </c>
      <c r="X151" s="41" t="n">
        <f aca="false">(V151-T151)/T151</f>
        <v>-0.229849172377761</v>
      </c>
      <c r="Y151" s="20" t="n">
        <f aca="false">$D$10+$D$11*$J$151+$D$11*$N$151</f>
        <v>15.4952111416242</v>
      </c>
      <c r="Z151" s="19" t="n">
        <f aca="false">$D$13*$O$151+$D$14*$P$151+$D$8*$D$12*$Q$151+$D$15*$R$151+$D$16*$S$151</f>
        <v>2623393.29113761</v>
      </c>
      <c r="AA151" s="20" t="n">
        <f aca="false">$D$10+$D$11*$J$151+Z151/$D$8</f>
        <v>14.1458520174025</v>
      </c>
      <c r="AB151" s="19" t="n">
        <f aca="false">(Y151-AA151)*$D$8</f>
        <v>863589.839501851</v>
      </c>
      <c r="AC151" s="41" t="n">
        <f aca="false">(AA151-Y151)/Y151</f>
        <v>-0.0870823322050071</v>
      </c>
      <c r="AD151" s="20" t="n">
        <f aca="false">$E$10+$E$11*$J$151+$E$11*$N$151</f>
        <v>54.5302357787368</v>
      </c>
      <c r="AE151" s="19" t="n">
        <f aca="false">$E$13*$O$151+$E$14*$P$151+$E$8*$E$12*$Q$151+$E$15*$R$151+$E$16*$S$151</f>
        <v>3497317.20849254</v>
      </c>
      <c r="AF151" s="20" t="n">
        <f aca="false">$E$10+$E$11*$J$151+AE151/$E$8</f>
        <v>63.5172814279029</v>
      </c>
      <c r="AG151" s="19" t="n">
        <f aca="false">(AD151-AF151)*$E$8</f>
        <v>-1060471.3866016</v>
      </c>
      <c r="AH151" s="41" t="n">
        <f aca="false">(AF151-AD151)/AD151</f>
        <v>0.16480848690316</v>
      </c>
      <c r="AI151" s="20" t="n">
        <f aca="false">$F$10+$F$11*$J$151+$F$11*$N$151</f>
        <v>287.68750255002</v>
      </c>
      <c r="AJ151" s="19" t="n">
        <f aca="false">$F$13*$O$151+$F$14*$P$151+$K$151*$F$12*$Q$151+$F$15*$R$151+$F$16*$S$151</f>
        <v>5218064.69806422</v>
      </c>
      <c r="AK151" s="20" t="n">
        <f aca="false">$F$10+$F$11*$J$151+AJ151/$K$151</f>
        <v>419.949061439191</v>
      </c>
      <c r="AL151" s="19" t="n">
        <f aca="false">(AI151-AK151)*$K$151</f>
        <v>-2579100.39833884</v>
      </c>
      <c r="AM151" s="41" t="n">
        <f aca="false">(AK151-AI151)/AI151</f>
        <v>0.459740370078034</v>
      </c>
      <c r="AN151" s="19" t="n">
        <f aca="false">-(MIN(0,W151)+MIN(0,AB151)+MIN(0,AG151)+MIN(0,AL151))</f>
        <v>3639571.78494045</v>
      </c>
      <c r="AO151" s="19" t="n">
        <f aca="false">($C$8*$C$9+$D$8*$D$9+$E$8*$E$9+$K$151*$F$9)-($C$8*$C$10+$D$8*$D$10+$E$8*$E$10+$K$151*$F$10)-L151*J151-I151-$C$26</f>
        <v>7291184</v>
      </c>
      <c r="AP151" s="26" t="n">
        <f aca="false">AN151/AO151</f>
        <v>0.499174315850546</v>
      </c>
      <c r="AQ151" s="41" t="n">
        <f aca="false">MAX(ABS(X151),ABS(AC151),ABS(AH151),ABS(AM151))</f>
        <v>0.459740370078034</v>
      </c>
      <c r="AR151" s="3" t="str">
        <f aca="false">IF(ABS(X151)=AQ151,$C$7,IF(ABS(AC151)=AQ151,$D$7,IF(ABS(AH151)=AQ151,$E$7,$F$7)))</f>
        <v>Aerospace brackets</v>
      </c>
      <c r="AS151" s="41" t="n">
        <f aca="false">IF(ABS(X151)=AQ151,X151,IF(ABS(AC151)=AQ151,AC151,IF(ABS(AH151)=AQ151,AH151,AM151)))</f>
        <v>0.459740370078034</v>
      </c>
    </row>
    <row r="152" customFormat="false" ht="15" hidden="false" customHeight="false" outlineLevel="0" collapsed="false">
      <c r="B152" s="4" t="s">
        <v>213</v>
      </c>
      <c r="C152" s="20" t="n">
        <f aca="false">$B$78</f>
        <v>1.6</v>
      </c>
      <c r="D152" s="19" t="n">
        <f aca="false">$C$19*($C$24-$C$21*$C$152)/($C$24-$C$21)</f>
        <v>2406857.14285714</v>
      </c>
      <c r="E152" s="19" t="n">
        <f aca="false">$C$20*($C$24-$C$21*$C$152)/($C$24-$C$21)</f>
        <v>1357714.28571429</v>
      </c>
      <c r="F152" s="19" t="n">
        <f aca="false">$C$21*$C$152</f>
        <v>7392000</v>
      </c>
      <c r="G152" s="19" t="n">
        <f aca="false">$C$22*($C$24-$C$21*$C$152)/($C$24-$C$21)</f>
        <v>1104000</v>
      </c>
      <c r="H152" s="19" t="n">
        <f aca="false">$C$23*($C$24-$C$21*$C$152)/($C$24-$C$21)</f>
        <v>1179428.57142857</v>
      </c>
      <c r="I152" s="19" t="n">
        <f aca="false">SUM(D152:H152)</f>
        <v>13440000</v>
      </c>
      <c r="J152" s="20" t="n">
        <f aca="false">$C$25</f>
        <v>31.4</v>
      </c>
      <c r="K152" s="19" t="n">
        <f aca="false">$F$8</f>
        <v>19500</v>
      </c>
      <c r="L152" s="19" t="n">
        <f aca="false">$C$8*$C$11+$D$8*$D$11+$E$8*$E$11+$K$152*$F$11</f>
        <v>152940</v>
      </c>
      <c r="M152" s="19" t="n">
        <f aca="false">$C$8*$C$12+$D$8*$D$12+$E$8*$E$12+$K$152*$F$12</f>
        <v>150650</v>
      </c>
      <c r="N152" s="11" t="n">
        <f aca="false">I152/L152</f>
        <v>87.8775990584543</v>
      </c>
      <c r="O152" s="11" t="n">
        <f aca="false">D152/$G$32</f>
        <v>617.142857142857</v>
      </c>
      <c r="P152" s="11" t="n">
        <f aca="false">E152/$G$33</f>
        <v>254.73063521844</v>
      </c>
      <c r="Q152" s="11" t="n">
        <f aca="false">F152/M152</f>
        <v>49.0673747095918</v>
      </c>
      <c r="R152" s="11" t="n">
        <f aca="false">G152/$G$34</f>
        <v>1126.5306122449</v>
      </c>
      <c r="S152" s="11" t="n">
        <f aca="false">H152/$G$35</f>
        <v>70.7940318984737</v>
      </c>
      <c r="T152" s="20" t="n">
        <f aca="false">$C$10+$C$11*$J$152+$C$11*$N$152</f>
        <v>6.52832797175363</v>
      </c>
      <c r="U152" s="19" t="n">
        <f aca="false">$C$13*$O$152+$C$14*$P$152+$C$8*$C$12*$Q$152+$C$15*$R$152+$C$16*$S$152</f>
        <v>2386434.46651318</v>
      </c>
      <c r="V152" s="20" t="n">
        <f aca="false">$C$10+$C$11*$J$152+U152/$C$8</f>
        <v>5.18196457649361</v>
      </c>
      <c r="W152" s="19" t="n">
        <f aca="false">(T152-V152)*$C$8</f>
        <v>2490772.28123104</v>
      </c>
      <c r="X152" s="41" t="n">
        <f aca="false">(V152-T152)/T152</f>
        <v>-0.206234031299497</v>
      </c>
      <c r="Y152" s="20" t="n">
        <f aca="false">$D$10+$D$11*$J$152+$D$11*$N$152</f>
        <v>15.4952111416242</v>
      </c>
      <c r="Z152" s="19" t="n">
        <f aca="false">$D$13*$O$152+$D$14*$P$152+$D$8*$D$12*$Q$152+$D$15*$R$152+$D$16*$S$152</f>
        <v>2751703.33828824</v>
      </c>
      <c r="AA152" s="20" t="n">
        <f aca="false">$D$10+$D$11*$J$152+Z152/$D$8</f>
        <v>14.3463364660754</v>
      </c>
      <c r="AB152" s="19" t="n">
        <f aca="false">(Y152-AA152)*$D$8</f>
        <v>735279.792351222</v>
      </c>
      <c r="AC152" s="41" t="n">
        <f aca="false">(AA152-Y152)/Y152</f>
        <v>-0.0741438541913513</v>
      </c>
      <c r="AD152" s="20" t="n">
        <f aca="false">$E$10+$E$11*$J$152+$E$11*$N$152</f>
        <v>54.5302357787368</v>
      </c>
      <c r="AE152" s="19" t="n">
        <f aca="false">$E$13*$O$152+$E$14*$P$152+$E$8*$E$12*$Q$152+$E$15*$R$152+$E$16*$S$152</f>
        <v>3414456.56370994</v>
      </c>
      <c r="AF152" s="20" t="n">
        <f aca="false">$E$10+$E$11*$J$152+AE152/$E$8</f>
        <v>62.8150725738131</v>
      </c>
      <c r="AG152" s="19" t="n">
        <f aca="false">(AD152-AF152)*$E$8</f>
        <v>-977610.741819005</v>
      </c>
      <c r="AH152" s="41" t="n">
        <f aca="false">(AF152-AD152)/AD152</f>
        <v>0.151931064972707</v>
      </c>
      <c r="AI152" s="20" t="n">
        <f aca="false">$F$10+$F$11*$J$152+$F$11*$N$152</f>
        <v>287.68750255002</v>
      </c>
      <c r="AJ152" s="19" t="n">
        <f aca="false">$F$13*$O$152+$F$14*$P$152+$K$152*$F$12*$Q$152+$F$15*$R$152+$F$16*$S$152</f>
        <v>4887405.63148864</v>
      </c>
      <c r="AK152" s="20" t="n">
        <f aca="false">$F$10+$F$11*$J$152+AJ152/$K$152</f>
        <v>402.992186230186</v>
      </c>
      <c r="AL152" s="19" t="n">
        <f aca="false">(AI152-AK152)*$K$152</f>
        <v>-2248441.33176325</v>
      </c>
      <c r="AM152" s="41" t="n">
        <f aca="false">(AK152-AI152)/AI152</f>
        <v>0.400798375522479</v>
      </c>
      <c r="AN152" s="19" t="n">
        <f aca="false">-(MIN(0,W152)+MIN(0,AB152)+MIN(0,AG152)+MIN(0,AL152))</f>
        <v>3226052.07358226</v>
      </c>
      <c r="AO152" s="19" t="n">
        <f aca="false">($C$8*$C$9+$D$8*$D$9+$E$8*$E$9+$K$152*$F$9)-($C$8*$C$10+$D$8*$D$10+$E$8*$E$10+$K$152*$F$10)-L152*J152-I152-$C$26</f>
        <v>7291184</v>
      </c>
      <c r="AP152" s="26" t="n">
        <f aca="false">AN152/AO152</f>
        <v>0.442459286939166</v>
      </c>
      <c r="AQ152" s="41" t="n">
        <f aca="false">MAX(ABS(X152),ABS(AC152),ABS(AH152),ABS(AM152))</f>
        <v>0.400798375522479</v>
      </c>
      <c r="AR152" s="3" t="str">
        <f aca="false">IF(ABS(X152)=AQ152,$C$7,IF(ABS(AC152)=AQ152,$D$7,IF(ABS(AH152)=AQ152,$E$7,$F$7)))</f>
        <v>Aerospace brackets</v>
      </c>
      <c r="AS152" s="41" t="n">
        <f aca="false">IF(ABS(X152)=AQ152,X152,IF(ABS(AC152)=AQ152,AC152,IF(ABS(AH152)=AQ152,AH152,AM152)))</f>
        <v>0.400798375522479</v>
      </c>
    </row>
    <row r="153" customFormat="false" ht="15" hidden="false" customHeight="false" outlineLevel="0" collapsed="false">
      <c r="B153" s="4" t="s">
        <v>215</v>
      </c>
      <c r="C153" s="20" t="n">
        <f aca="false">$B$84</f>
        <v>0.6</v>
      </c>
      <c r="D153" s="19" t="n">
        <f aca="false">$C$19*($C$24-$C$22*$C$153)/($C$24-$C$22)</f>
        <v>3701076.92307692</v>
      </c>
      <c r="E153" s="19" t="n">
        <f aca="false">$C$20*($C$24-$C$22*$C$153)/($C$24-$C$22)</f>
        <v>2087786.98224852</v>
      </c>
      <c r="F153" s="19" t="n">
        <f aca="false">$C$21*($C$24-$C$22*$C$153)/($C$24-$C$22)</f>
        <v>4871502.95857988</v>
      </c>
      <c r="G153" s="19" t="n">
        <f aca="false">$C$22*$C$153</f>
        <v>966000</v>
      </c>
      <c r="H153" s="19" t="n">
        <f aca="false">$C$23*($C$24-$C$22*$C$153)/($C$24-$C$22)</f>
        <v>1813633.13609467</v>
      </c>
      <c r="I153" s="19" t="n">
        <f aca="false">SUM(D153:H153)</f>
        <v>13440000</v>
      </c>
      <c r="J153" s="20" t="n">
        <f aca="false">$C$25</f>
        <v>31.4</v>
      </c>
      <c r="K153" s="19" t="n">
        <f aca="false">$F$8</f>
        <v>19500</v>
      </c>
      <c r="L153" s="19" t="n">
        <f aca="false">$C$8*$C$11+$D$8*$D$11+$E$8*$E$11+$K$153*$F$11</f>
        <v>152940</v>
      </c>
      <c r="M153" s="19" t="n">
        <f aca="false">$C$8*$C$12+$D$8*$D$12+$E$8*$E$12+$K$153*$F$12</f>
        <v>150650</v>
      </c>
      <c r="N153" s="11" t="n">
        <f aca="false">I153/L153</f>
        <v>87.8775990584543</v>
      </c>
      <c r="O153" s="11" t="n">
        <f aca="false">D153/$G$32</f>
        <v>948.994082840237</v>
      </c>
      <c r="P153" s="11" t="n">
        <f aca="false">E153/$G$33</f>
        <v>391.704874718297</v>
      </c>
      <c r="Q153" s="11" t="n">
        <f aca="false">F153/M153</f>
        <v>32.3365612916023</v>
      </c>
      <c r="R153" s="11" t="n">
        <f aca="false">G153/$G$34</f>
        <v>985.714285714286</v>
      </c>
      <c r="S153" s="11" t="n">
        <f aca="false">H153/$G$35</f>
        <v>108.861532778792</v>
      </c>
      <c r="T153" s="20" t="n">
        <f aca="false">$C$10+$C$11*$J$153+$C$11*$N$153</f>
        <v>6.52832797175363</v>
      </c>
      <c r="U153" s="19" t="n">
        <f aca="false">$C$13*$O$153+$C$14*$P$153+$C$8*$C$12*$Q$153+$C$15*$R$153+$C$16*$S$153</f>
        <v>1904423.06277559</v>
      </c>
      <c r="V153" s="20" t="n">
        <f aca="false">$C$10+$C$11*$J$153+U153/$C$8</f>
        <v>4.92141787177059</v>
      </c>
      <c r="W153" s="19" t="n">
        <f aca="false">(T153-V153)*$C$8</f>
        <v>2972783.68496862</v>
      </c>
      <c r="X153" s="41" t="n">
        <f aca="false">(V153-T153)/T153</f>
        <v>-0.246144205213911</v>
      </c>
      <c r="Y153" s="20" t="n">
        <f aca="false">$D$10+$D$11*$J$153+$D$11*$N$153</f>
        <v>15.4952111416242</v>
      </c>
      <c r="Z153" s="19" t="n">
        <f aca="false">$D$13*$O$153+$D$14*$P$153+$D$8*$D$12*$Q$153+$D$15*$R$153+$D$16*$S$153</f>
        <v>2584622.51779321</v>
      </c>
      <c r="AA153" s="20" t="n">
        <f aca="false">$D$10+$D$11*$J$153+Z153/$D$8</f>
        <v>14.0852726840519</v>
      </c>
      <c r="AB153" s="19" t="n">
        <f aca="false">(Y153-AA153)*$D$8</f>
        <v>902360.612846258</v>
      </c>
      <c r="AC153" s="41" t="n">
        <f aca="false">(AA153-Y153)/Y153</f>
        <v>-0.0909918841818693</v>
      </c>
      <c r="AD153" s="20" t="n">
        <f aca="false">$E$10+$E$11*$J$153+$E$11*$N$153</f>
        <v>54.5302357787368</v>
      </c>
      <c r="AE153" s="19" t="n">
        <f aca="false">$E$13*$O$153+$E$14*$P$153+$E$8*$E$12*$Q$153+$E$15*$R$153+$E$16*$S$153</f>
        <v>3615307.73810263</v>
      </c>
      <c r="AF153" s="20" t="n">
        <f aca="false">$E$10+$E$11*$J$153+AE153/$E$8</f>
        <v>64.5172011703613</v>
      </c>
      <c r="AG153" s="19" t="n">
        <f aca="false">(AD153-AF153)*$E$8</f>
        <v>-1178461.91621169</v>
      </c>
      <c r="AH153" s="41" t="n">
        <f aca="false">(AF153-AD153)/AD153</f>
        <v>0.183145465061766</v>
      </c>
      <c r="AI153" s="20" t="n">
        <f aca="false">$F$10+$F$11*$J$153+$F$11*$N$153</f>
        <v>287.68750255002</v>
      </c>
      <c r="AJ153" s="19" t="n">
        <f aca="false">$F$13*$O$153+$F$14*$P$153+$K$153*$F$12*$Q$153+$F$15*$R$153+$F$16*$S$153</f>
        <v>5335646.68132857</v>
      </c>
      <c r="AK153" s="20" t="n">
        <f aca="false">$F$10+$F$11*$J$153+AJ153/$K$153</f>
        <v>425.978906734799</v>
      </c>
      <c r="AL153" s="19" t="n">
        <f aca="false">(AI153-AK153)*$K$153</f>
        <v>-2696682.38160319</v>
      </c>
      <c r="AM153" s="41" t="n">
        <f aca="false">(AK153-AI153)/AI153</f>
        <v>0.480700075460297</v>
      </c>
      <c r="AN153" s="19" t="n">
        <f aca="false">-(MIN(0,W153)+MIN(0,AB153)+MIN(0,AG153)+MIN(0,AL153))</f>
        <v>3875144.29781488</v>
      </c>
      <c r="AO153" s="19" t="n">
        <f aca="false">($C$8*$C$9+$D$8*$D$9+$E$8*$E$9+$K$153*$F$9)-($C$8*$C$10+$D$8*$D$10+$E$8*$E$10+$K$153*$F$10)-L153*J153-I153-$C$26</f>
        <v>7291184</v>
      </c>
      <c r="AP153" s="26" t="n">
        <f aca="false">AN153/AO153</f>
        <v>0.531483542016616</v>
      </c>
      <c r="AQ153" s="41" t="n">
        <f aca="false">MAX(ABS(X153),ABS(AC153),ABS(AH153),ABS(AM153))</f>
        <v>0.480700075460297</v>
      </c>
      <c r="AR153" s="3" t="str">
        <f aca="false">IF(ABS(X153)=AQ153,$C$7,IF(ABS(AC153)=AQ153,$D$7,IF(ABS(AH153)=AQ153,$E$7,$F$7)))</f>
        <v>Aerospace brackets</v>
      </c>
      <c r="AS153" s="41" t="n">
        <f aca="false">IF(ABS(X153)=AQ153,X153,IF(ABS(AC153)=AQ153,AC153,IF(ABS(AH153)=AQ153,AH153,AM153)))</f>
        <v>0.480700075460297</v>
      </c>
    </row>
    <row r="154" customFormat="false" ht="15" hidden="false" customHeight="false" outlineLevel="0" collapsed="false">
      <c r="B154" s="4" t="s">
        <v>215</v>
      </c>
      <c r="C154" s="20" t="n">
        <f aca="false">$B$85</f>
        <v>0.8</v>
      </c>
      <c r="D154" s="19" t="n">
        <f aca="false">$C$19*($C$24-$C$22*$C$154)/($C$24-$C$22)</f>
        <v>3605538.46153846</v>
      </c>
      <c r="E154" s="19" t="n">
        <f aca="false">$C$20*($C$24-$C$22*$C$154)/($C$24-$C$22)</f>
        <v>2033893.49112426</v>
      </c>
      <c r="F154" s="19" t="n">
        <f aca="false">$C$21*($C$24-$C$22*$C$154)/($C$24-$C$22)</f>
        <v>4745751.47928994</v>
      </c>
      <c r="G154" s="19" t="n">
        <f aca="false">$C$22*$C$154</f>
        <v>1288000</v>
      </c>
      <c r="H154" s="19" t="n">
        <f aca="false">$C$23*($C$24-$C$22*$C$154)/($C$24-$C$22)</f>
        <v>1766816.56804734</v>
      </c>
      <c r="I154" s="19" t="n">
        <f aca="false">SUM(D154:H154)</f>
        <v>13440000</v>
      </c>
      <c r="J154" s="20" t="n">
        <f aca="false">$C$25</f>
        <v>31.4</v>
      </c>
      <c r="K154" s="19" t="n">
        <f aca="false">$F$8</f>
        <v>19500</v>
      </c>
      <c r="L154" s="19" t="n">
        <f aca="false">$C$8*$C$11+$D$8*$D$11+$E$8*$E$11+$K$154*$F$11</f>
        <v>152940</v>
      </c>
      <c r="M154" s="19" t="n">
        <f aca="false">$C$8*$C$12+$D$8*$D$12+$E$8*$E$12+$K$154*$F$12</f>
        <v>150650</v>
      </c>
      <c r="N154" s="11" t="n">
        <f aca="false">I154/L154</f>
        <v>87.8775990584543</v>
      </c>
      <c r="O154" s="11" t="n">
        <f aca="false">D154/$G$32</f>
        <v>924.497041420118</v>
      </c>
      <c r="P154" s="11" t="n">
        <f aca="false">E154/$G$33</f>
        <v>381.593525539261</v>
      </c>
      <c r="Q154" s="11" t="n">
        <f aca="false">F154/M154</f>
        <v>31.5018352425486</v>
      </c>
      <c r="R154" s="11" t="n">
        <f aca="false">G154/$G$34</f>
        <v>1314.28571428571</v>
      </c>
      <c r="S154" s="11" t="n">
        <f aca="false">H154/$G$35</f>
        <v>106.0514146487</v>
      </c>
      <c r="T154" s="20" t="n">
        <f aca="false">$C$10+$C$11*$J$154+$C$11*$N$154</f>
        <v>6.52832797175363</v>
      </c>
      <c r="U154" s="19" t="n">
        <f aca="false">$C$13*$O$154+$C$14*$P$154+$C$8*$C$12*$Q$154+$C$15*$R$154+$C$16*$S$154</f>
        <v>1860219.10043683</v>
      </c>
      <c r="V154" s="20" t="n">
        <f aca="false">$C$10+$C$11*$J$154+U154/$C$8</f>
        <v>4.89752383807396</v>
      </c>
      <c r="W154" s="19" t="n">
        <f aca="false">(T154-V154)*$C$8</f>
        <v>3016987.64730739</v>
      </c>
      <c r="X154" s="41" t="n">
        <f aca="false">(V154-T154)/T154</f>
        <v>-0.249804259334968</v>
      </c>
      <c r="Y154" s="20" t="n">
        <f aca="false">$D$10+$D$11*$J$154+$D$11*$N$154</f>
        <v>15.4952111416242</v>
      </c>
      <c r="Z154" s="19" t="n">
        <f aca="false">$D$13*$O$154+$D$14*$P$154+$D$8*$D$12*$Q$154+$D$15*$R$154+$D$16*$S$154</f>
        <v>2539852.8808901</v>
      </c>
      <c r="AA154" s="20" t="n">
        <f aca="false">$D$10+$D$11*$J$154+Z154/$D$8</f>
        <v>14.0153201263908</v>
      </c>
      <c r="AB154" s="19" t="n">
        <f aca="false">(Y154-AA154)*$D$8</f>
        <v>947130.249749371</v>
      </c>
      <c r="AC154" s="41" t="n">
        <f aca="false">(AA154-Y154)/Y154</f>
        <v>-0.0955063472002663</v>
      </c>
      <c r="AD154" s="20" t="n">
        <f aca="false">$E$10+$E$11*$J$154+$E$11*$N$154</f>
        <v>54.5302357787368</v>
      </c>
      <c r="AE154" s="19" t="n">
        <f aca="false">$E$13*$O$154+$E$14*$P$154+$E$8*$E$12*$Q$154+$E$15*$R$154+$E$16*$S$154</f>
        <v>3597742.79568888</v>
      </c>
      <c r="AF154" s="20" t="n">
        <f aca="false">$E$10+$E$11*$J$154+AE154/$E$8</f>
        <v>64.368345726177</v>
      </c>
      <c r="AG154" s="19" t="n">
        <f aca="false">(AD154-AF154)*$E$8</f>
        <v>-1160896.97379795</v>
      </c>
      <c r="AH154" s="41" t="n">
        <f aca="false">(AF154-AD154)/AD154</f>
        <v>0.180415686947689</v>
      </c>
      <c r="AI154" s="20" t="n">
        <f aca="false">$F$10+$F$11*$J$154+$F$11*$N$154</f>
        <v>287.68750255002</v>
      </c>
      <c r="AJ154" s="19" t="n">
        <f aca="false">$F$13*$O$154+$F$14*$P$154+$K$154*$F$12*$Q$154+$F$15*$R$154+$F$16*$S$154</f>
        <v>5442185.22298419</v>
      </c>
      <c r="AK154" s="20" t="n">
        <f aca="false">$F$10+$F$11*$J$154+AJ154/$K$154</f>
        <v>431.442421691497</v>
      </c>
      <c r="AL154" s="19" t="n">
        <f aca="false">(AI154-AK154)*$K$154</f>
        <v>-2803220.92325881</v>
      </c>
      <c r="AM154" s="41" t="n">
        <f aca="false">(AK154-AI154)/AI154</f>
        <v>0.499691220046943</v>
      </c>
      <c r="AN154" s="19" t="n">
        <f aca="false">-(MIN(0,W154)+MIN(0,AB154)+MIN(0,AG154)+MIN(0,AL154))</f>
        <v>3964117.89705676</v>
      </c>
      <c r="AO154" s="19" t="n">
        <f aca="false">($C$8*$C$9+$D$8*$D$9+$E$8*$E$9+$K$154*$F$9)-($C$8*$C$10+$D$8*$D$10+$E$8*$E$10+$K$154*$F$10)-L154*J154-I154-$C$26</f>
        <v>7291184</v>
      </c>
      <c r="AP154" s="26" t="n">
        <f aca="false">AN154/AO154</f>
        <v>0.543686443389271</v>
      </c>
      <c r="AQ154" s="41" t="n">
        <f aca="false">MAX(ABS(X154),ABS(AC154),ABS(AH154),ABS(AM154))</f>
        <v>0.499691220046943</v>
      </c>
      <c r="AR154" s="3" t="str">
        <f aca="false">IF(ABS(X154)=AQ154,$C$7,IF(ABS(AC154)=AQ154,$D$7,IF(ABS(AH154)=AQ154,$E$7,$F$7)))</f>
        <v>Aerospace brackets</v>
      </c>
      <c r="AS154" s="41" t="n">
        <f aca="false">IF(ABS(X154)=AQ154,X154,IF(ABS(AC154)=AQ154,AC154,IF(ABS(AH154)=AQ154,AH154,AM154)))</f>
        <v>0.499691220046943</v>
      </c>
    </row>
    <row r="155" customFormat="false" ht="15" hidden="false" customHeight="false" outlineLevel="0" collapsed="false">
      <c r="B155" s="4" t="s">
        <v>215</v>
      </c>
      <c r="C155" s="20" t="n">
        <f aca="false">$B$86</f>
        <v>1</v>
      </c>
      <c r="D155" s="19" t="n">
        <f aca="false">$C$19*($C$24-$C$22*$C$155)/($C$24-$C$22)</f>
        <v>3510000</v>
      </c>
      <c r="E155" s="19" t="n">
        <f aca="false">$C$20*($C$24-$C$22*$C$155)/($C$24-$C$22)</f>
        <v>1980000</v>
      </c>
      <c r="F155" s="19" t="n">
        <f aca="false">$C$21*($C$24-$C$22*$C$155)/($C$24-$C$22)</f>
        <v>4620000</v>
      </c>
      <c r="G155" s="19" t="n">
        <f aca="false">$C$22*$C$155</f>
        <v>1610000</v>
      </c>
      <c r="H155" s="19" t="n">
        <f aca="false">$C$23*($C$24-$C$22*$C$155)/($C$24-$C$22)</f>
        <v>1720000</v>
      </c>
      <c r="I155" s="19" t="n">
        <f aca="false">SUM(D155:H155)</f>
        <v>13440000</v>
      </c>
      <c r="J155" s="20" t="n">
        <f aca="false">$C$25</f>
        <v>31.4</v>
      </c>
      <c r="K155" s="19" t="n">
        <f aca="false">$F$8</f>
        <v>19500</v>
      </c>
      <c r="L155" s="19" t="n">
        <f aca="false">$C$8*$C$11+$D$8*$D$11+$E$8*$E$11+$K$155*$F$11</f>
        <v>152940</v>
      </c>
      <c r="M155" s="19" t="n">
        <f aca="false">$C$8*$C$12+$D$8*$D$12+$E$8*$E$12+$K$155*$F$12</f>
        <v>150650</v>
      </c>
      <c r="N155" s="11" t="n">
        <f aca="false">I155/L155</f>
        <v>87.8775990584543</v>
      </c>
      <c r="O155" s="11" t="n">
        <f aca="false">D155/$G$32</f>
        <v>900</v>
      </c>
      <c r="P155" s="11" t="n">
        <f aca="false">E155/$G$33</f>
        <v>371.482176360225</v>
      </c>
      <c r="Q155" s="11" t="n">
        <f aca="false">F155/M155</f>
        <v>30.6671091934949</v>
      </c>
      <c r="R155" s="11" t="n">
        <f aca="false">G155/$G$34</f>
        <v>1642.85714285714</v>
      </c>
      <c r="S155" s="11" t="n">
        <f aca="false">H155/$G$35</f>
        <v>103.241296518607</v>
      </c>
      <c r="T155" s="20" t="n">
        <f aca="false">$C$10+$C$11*$J$155+$C$11*$N$155</f>
        <v>6.52832797175363</v>
      </c>
      <c r="U155" s="19" t="n">
        <f aca="false">$C$13*$O$155+$C$14*$P$155+$C$8*$C$12*$Q$155+$C$15*$R$155+$C$16*$S$155</f>
        <v>1816015.13809806</v>
      </c>
      <c r="V155" s="20" t="n">
        <f aca="false">$C$10+$C$11*$J$155+U155/$C$8</f>
        <v>4.87362980437733</v>
      </c>
      <c r="W155" s="19" t="n">
        <f aca="false">(T155-V155)*$C$8</f>
        <v>3061191.60964615</v>
      </c>
      <c r="X155" s="41" t="n">
        <f aca="false">(V155-T155)/T155</f>
        <v>-0.253464313456025</v>
      </c>
      <c r="Y155" s="20" t="n">
        <f aca="false">$D$10+$D$11*$J$155+$D$11*$N$155</f>
        <v>15.4952111416242</v>
      </c>
      <c r="Z155" s="19" t="n">
        <f aca="false">$D$13*$O$155+$D$14*$P$155+$D$8*$D$12*$Q$155+$D$15*$R$155+$D$16*$S$155</f>
        <v>2495083.24398698</v>
      </c>
      <c r="AA155" s="20" t="n">
        <f aca="false">$D$10+$D$11*$J$155+Z155/$D$8</f>
        <v>13.9453675687297</v>
      </c>
      <c r="AB155" s="19" t="n">
        <f aca="false">(Y155-AA155)*$D$8</f>
        <v>991899.886652482</v>
      </c>
      <c r="AC155" s="41" t="n">
        <f aca="false">(AA155-Y155)/Y155</f>
        <v>-0.100020810218663</v>
      </c>
      <c r="AD155" s="20" t="n">
        <f aca="false">$E$10+$E$11*$J$155+$E$11*$N$155</f>
        <v>54.5302357787368</v>
      </c>
      <c r="AE155" s="19" t="n">
        <f aca="false">$E$13*$O$155+$E$14*$P$155+$E$8*$E$12*$Q$155+$E$15*$R$155+$E$16*$S$155</f>
        <v>3580177.85327514</v>
      </c>
      <c r="AF155" s="20" t="n">
        <f aca="false">$E$10+$E$11*$J$155+AE155/$E$8</f>
        <v>64.2194902819927</v>
      </c>
      <c r="AG155" s="19" t="n">
        <f aca="false">(AD155-AF155)*$E$8</f>
        <v>-1143332.0313842</v>
      </c>
      <c r="AH155" s="41" t="n">
        <f aca="false">(AF155-AD155)/AD155</f>
        <v>0.177685908833611</v>
      </c>
      <c r="AI155" s="20" t="n">
        <f aca="false">$F$10+$F$11*$J$155+$F$11*$N$155</f>
        <v>287.68750255002</v>
      </c>
      <c r="AJ155" s="19" t="n">
        <f aca="false">$F$13*$O$155+$F$14*$P$155+$K$155*$F$12*$Q$155+$F$15*$R$155+$F$16*$S$155</f>
        <v>5548723.76463981</v>
      </c>
      <c r="AK155" s="20" t="n">
        <f aca="false">$F$10+$F$11*$J$155+AJ155/$K$155</f>
        <v>436.905936648196</v>
      </c>
      <c r="AL155" s="19" t="n">
        <f aca="false">(AI155-AK155)*$K$155</f>
        <v>-2909759.46491443</v>
      </c>
      <c r="AM155" s="41" t="n">
        <f aca="false">(AK155-AI155)/AI155</f>
        <v>0.518682364633589</v>
      </c>
      <c r="AN155" s="19" t="n">
        <f aca="false">-(MIN(0,W155)+MIN(0,AB155)+MIN(0,AG155)+MIN(0,AL155))</f>
        <v>4053091.49629863</v>
      </c>
      <c r="AO155" s="19" t="n">
        <f aca="false">($C$8*$C$9+$D$8*$D$9+$E$8*$E$9+$K$155*$F$9)-($C$8*$C$10+$D$8*$D$10+$E$8*$E$10+$K$155*$F$10)-L155*J155-I155-$C$26</f>
        <v>7291184</v>
      </c>
      <c r="AP155" s="26" t="n">
        <f aca="false">AN155/AO155</f>
        <v>0.555889344761925</v>
      </c>
      <c r="AQ155" s="41" t="n">
        <f aca="false">MAX(ABS(X155),ABS(AC155),ABS(AH155),ABS(AM155))</f>
        <v>0.518682364633589</v>
      </c>
      <c r="AR155" s="3" t="str">
        <f aca="false">IF(ABS(X155)=AQ155,$C$7,IF(ABS(AC155)=AQ155,$D$7,IF(ABS(AH155)=AQ155,$E$7,$F$7)))</f>
        <v>Aerospace brackets</v>
      </c>
      <c r="AS155" s="41" t="n">
        <f aca="false">IF(ABS(X155)=AQ155,X155,IF(ABS(AC155)=AQ155,AC155,IF(ABS(AH155)=AQ155,AH155,AM155)))</f>
        <v>0.518682364633589</v>
      </c>
    </row>
    <row r="156" customFormat="false" ht="15" hidden="false" customHeight="false" outlineLevel="0" collapsed="false">
      <c r="B156" s="4" t="s">
        <v>215</v>
      </c>
      <c r="C156" s="20" t="n">
        <f aca="false">$B$87</f>
        <v>1.3</v>
      </c>
      <c r="D156" s="19" t="n">
        <f aca="false">$C$19*($C$24-$C$22*$C$156)/($C$24-$C$22)</f>
        <v>3366692.30769231</v>
      </c>
      <c r="E156" s="19" t="n">
        <f aca="false">$C$20*($C$24-$C$22*$C$156)/($C$24-$C$22)</f>
        <v>1899159.76331361</v>
      </c>
      <c r="F156" s="19" t="n">
        <f aca="false">$C$21*($C$24-$C$22*$C$156)/($C$24-$C$22)</f>
        <v>4431372.78106509</v>
      </c>
      <c r="G156" s="19" t="n">
        <f aca="false">$C$22*$C$156</f>
        <v>2093000</v>
      </c>
      <c r="H156" s="19" t="n">
        <f aca="false">$C$23*($C$24-$C$22*$C$156)/($C$24-$C$22)</f>
        <v>1649775.14792899</v>
      </c>
      <c r="I156" s="19" t="n">
        <f aca="false">SUM(D156:H156)</f>
        <v>13440000</v>
      </c>
      <c r="J156" s="20" t="n">
        <f aca="false">$C$25</f>
        <v>31.4</v>
      </c>
      <c r="K156" s="19" t="n">
        <f aca="false">$F$8</f>
        <v>19500</v>
      </c>
      <c r="L156" s="19" t="n">
        <f aca="false">$C$8*$C$11+$D$8*$D$11+$E$8*$E$11+$K$156*$F$11</f>
        <v>152940</v>
      </c>
      <c r="M156" s="19" t="n">
        <f aca="false">$C$8*$C$12+$D$8*$D$12+$E$8*$E$12+$K$156*$F$12</f>
        <v>150650</v>
      </c>
      <c r="N156" s="11" t="n">
        <f aca="false">I156/L156</f>
        <v>87.8775990584543</v>
      </c>
      <c r="O156" s="11" t="n">
        <f aca="false">D156/$G$32</f>
        <v>863.254437869823</v>
      </c>
      <c r="P156" s="11" t="n">
        <f aca="false">E156/$G$33</f>
        <v>356.315152591672</v>
      </c>
      <c r="Q156" s="11" t="n">
        <f aca="false">F156/M156</f>
        <v>29.4150201199143</v>
      </c>
      <c r="R156" s="11" t="n">
        <f aca="false">G156/$G$34</f>
        <v>2135.71428571429</v>
      </c>
      <c r="S156" s="11" t="n">
        <f aca="false">H156/$G$35</f>
        <v>99.026119323469</v>
      </c>
      <c r="T156" s="20" t="n">
        <f aca="false">$C$10+$C$11*$J$156+$C$11*$N$156</f>
        <v>6.52832797175363</v>
      </c>
      <c r="U156" s="19" t="n">
        <f aca="false">$C$13*$O$156+$C$14*$P$156+$C$8*$C$12*$Q$156+$C$15*$R$156+$C$16*$S$156</f>
        <v>1749709.19458992</v>
      </c>
      <c r="V156" s="20" t="n">
        <f aca="false">$C$10+$C$11*$J$156+U156/$C$8</f>
        <v>4.83778875383239</v>
      </c>
      <c r="W156" s="19" t="n">
        <f aca="false">(T156-V156)*$C$8</f>
        <v>3127497.5531543</v>
      </c>
      <c r="X156" s="41" t="n">
        <f aca="false">(V156-T156)/T156</f>
        <v>-0.258954394637611</v>
      </c>
      <c r="Y156" s="20" t="n">
        <f aca="false">$D$10+$D$11*$J$156+$D$11*$N$156</f>
        <v>15.4952111416242</v>
      </c>
      <c r="Z156" s="19" t="n">
        <f aca="false">$D$13*$O$156+$D$14*$P$156+$D$8*$D$12*$Q$156+$D$15*$R$156+$D$16*$S$156</f>
        <v>2427928.78863232</v>
      </c>
      <c r="AA156" s="20" t="n">
        <f aca="false">$D$10+$D$11*$J$156+Z156/$D$8</f>
        <v>13.840438732238</v>
      </c>
      <c r="AB156" s="19" t="n">
        <f aca="false">(Y156-AA156)*$D$8</f>
        <v>1059054.34200715</v>
      </c>
      <c r="AC156" s="41" t="n">
        <f aca="false">(AA156-Y156)/Y156</f>
        <v>-0.106792504746258</v>
      </c>
      <c r="AD156" s="20" t="n">
        <f aca="false">$E$10+$E$11*$J$156+$E$11*$N$156</f>
        <v>54.5302357787368</v>
      </c>
      <c r="AE156" s="19" t="n">
        <f aca="false">$E$13*$O$156+$E$14*$P$156+$E$8*$E$12*$Q$156+$E$15*$R$156+$E$16*$S$156</f>
        <v>3553830.43965452</v>
      </c>
      <c r="AF156" s="20" t="n">
        <f aca="false">$E$10+$E$11*$J$156+AE156/$E$8</f>
        <v>63.9962071157163</v>
      </c>
      <c r="AG156" s="19" t="n">
        <f aca="false">(AD156-AF156)*$E$8</f>
        <v>-1116984.61776359</v>
      </c>
      <c r="AH156" s="41" t="n">
        <f aca="false">(AF156-AD156)/AD156</f>
        <v>0.173591241662495</v>
      </c>
      <c r="AI156" s="20" t="n">
        <f aca="false">$F$10+$F$11*$J$156+$F$11*$N$156</f>
        <v>287.68750255002</v>
      </c>
      <c r="AJ156" s="19" t="n">
        <f aca="false">$F$13*$O$156+$F$14*$P$156+$K$156*$F$12*$Q$156+$F$15*$R$156+$F$16*$S$156</f>
        <v>5708531.57712324</v>
      </c>
      <c r="AK156" s="20" t="n">
        <f aca="false">$F$10+$F$11*$J$156+AJ156/$K$156</f>
        <v>445.101209083243</v>
      </c>
      <c r="AL156" s="19" t="n">
        <f aca="false">(AI156-AK156)*$K$156</f>
        <v>-3069567.27739786</v>
      </c>
      <c r="AM156" s="41" t="n">
        <f aca="false">(AK156-AI156)/AI156</f>
        <v>0.547169081513558</v>
      </c>
      <c r="AN156" s="19" t="n">
        <f aca="false">-(MIN(0,W156)+MIN(0,AB156)+MIN(0,AG156)+MIN(0,AL156))</f>
        <v>4186551.89516145</v>
      </c>
      <c r="AO156" s="19" t="n">
        <f aca="false">($C$8*$C$9+$D$8*$D$9+$E$8*$E$9+$K$156*$F$9)-($C$8*$C$10+$D$8*$D$10+$E$8*$E$10+$K$156*$F$10)-L156*J156-I156-$C$26</f>
        <v>7291184</v>
      </c>
      <c r="AP156" s="26" t="n">
        <f aca="false">AN156/AO156</f>
        <v>0.574193696820907</v>
      </c>
      <c r="AQ156" s="41" t="n">
        <f aca="false">MAX(ABS(X156),ABS(AC156),ABS(AH156),ABS(AM156))</f>
        <v>0.547169081513558</v>
      </c>
      <c r="AR156" s="3" t="str">
        <f aca="false">IF(ABS(X156)=AQ156,$C$7,IF(ABS(AC156)=AQ156,$D$7,IF(ABS(AH156)=AQ156,$E$7,$F$7)))</f>
        <v>Aerospace brackets</v>
      </c>
      <c r="AS156" s="41" t="n">
        <f aca="false">IF(ABS(X156)=AQ156,X156,IF(ABS(AC156)=AQ156,AC156,IF(ABS(AH156)=AQ156,AH156,AM156)))</f>
        <v>0.547169081513558</v>
      </c>
    </row>
    <row r="157" customFormat="false" ht="15" hidden="false" customHeight="false" outlineLevel="0" collapsed="false">
      <c r="B157" s="4" t="s">
        <v>215</v>
      </c>
      <c r="C157" s="20" t="n">
        <f aca="false">$B$88</f>
        <v>1.6</v>
      </c>
      <c r="D157" s="19" t="n">
        <f aca="false">$C$19*($C$24-$C$22*$C$157)/($C$24-$C$22)</f>
        <v>3223384.61538462</v>
      </c>
      <c r="E157" s="19" t="n">
        <f aca="false">$C$20*($C$24-$C$22*$C$157)/($C$24-$C$22)</f>
        <v>1818319.52662722</v>
      </c>
      <c r="F157" s="19" t="n">
        <f aca="false">$C$21*($C$24-$C$22*$C$157)/($C$24-$C$22)</f>
        <v>4242745.56213018</v>
      </c>
      <c r="G157" s="19" t="n">
        <f aca="false">$C$22*$C$157</f>
        <v>2576000</v>
      </c>
      <c r="H157" s="19" t="n">
        <f aca="false">$C$23*($C$24-$C$22*$C$157)/($C$24-$C$22)</f>
        <v>1579550.29585799</v>
      </c>
      <c r="I157" s="19" t="n">
        <f aca="false">SUM(D157:H157)</f>
        <v>13440000</v>
      </c>
      <c r="J157" s="20" t="n">
        <f aca="false">$C$25</f>
        <v>31.4</v>
      </c>
      <c r="K157" s="19" t="n">
        <f aca="false">$F$8</f>
        <v>19500</v>
      </c>
      <c r="L157" s="19" t="n">
        <f aca="false">$C$8*$C$11+$D$8*$D$11+$E$8*$E$11+$K$157*$F$11</f>
        <v>152940</v>
      </c>
      <c r="M157" s="19" t="n">
        <f aca="false">$C$8*$C$12+$D$8*$D$12+$E$8*$E$12+$K$157*$F$12</f>
        <v>150650</v>
      </c>
      <c r="N157" s="11" t="n">
        <f aca="false">I157/L157</f>
        <v>87.8775990584543</v>
      </c>
      <c r="O157" s="11" t="n">
        <f aca="false">D157/$G$32</f>
        <v>826.508875739645</v>
      </c>
      <c r="P157" s="11" t="n">
        <f aca="false">E157/$G$33</f>
        <v>341.148128823118</v>
      </c>
      <c r="Q157" s="11" t="n">
        <f aca="false">F157/M157</f>
        <v>28.1629310463337</v>
      </c>
      <c r="R157" s="11" t="n">
        <f aca="false">G157/$G$34</f>
        <v>2628.57142857143</v>
      </c>
      <c r="S157" s="11" t="n">
        <f aca="false">H157/$G$35</f>
        <v>94.8109421283306</v>
      </c>
      <c r="T157" s="20" t="n">
        <f aca="false">$C$10+$C$11*$J$157+$C$11*$N$157</f>
        <v>6.52832797175363</v>
      </c>
      <c r="U157" s="19" t="n">
        <f aca="false">$C$13*$O$157+$C$14*$P$157+$C$8*$C$12*$Q$157+$C$15*$R$157+$C$16*$S$157</f>
        <v>1683403.25108177</v>
      </c>
      <c r="V157" s="20" t="n">
        <f aca="false">$C$10+$C$11*$J$157+U157/$C$8</f>
        <v>4.80194770328744</v>
      </c>
      <c r="W157" s="19" t="n">
        <f aca="false">(T157-V157)*$C$8</f>
        <v>3193803.49666244</v>
      </c>
      <c r="X157" s="41" t="n">
        <f aca="false">(V157-T157)/T157</f>
        <v>-0.264444475819196</v>
      </c>
      <c r="Y157" s="20" t="n">
        <f aca="false">$D$10+$D$11*$J$157+$D$11*$N$157</f>
        <v>15.4952111416242</v>
      </c>
      <c r="Z157" s="19" t="n">
        <f aca="false">$D$13*$O$157+$D$14*$P$157+$D$8*$D$12*$Q$157+$D$15*$R$157+$D$16*$S$157</f>
        <v>2360774.33327765</v>
      </c>
      <c r="AA157" s="20" t="n">
        <f aca="false">$D$10+$D$11*$J$157+Z157/$D$8</f>
        <v>13.7355098957463</v>
      </c>
      <c r="AB157" s="19" t="n">
        <f aca="false">(Y157-AA157)*$D$8</f>
        <v>1126208.79736182</v>
      </c>
      <c r="AC157" s="41" t="n">
        <f aca="false">(AA157-Y157)/Y157</f>
        <v>-0.113564199273853</v>
      </c>
      <c r="AD157" s="20" t="n">
        <f aca="false">$E$10+$E$11*$J$157+$E$11*$N$157</f>
        <v>54.5302357787368</v>
      </c>
      <c r="AE157" s="19" t="n">
        <f aca="false">$E$13*$O$157+$E$14*$P$157+$E$8*$E$12*$Q$157+$E$15*$R$157+$E$16*$S$157</f>
        <v>3527483.02603391</v>
      </c>
      <c r="AF157" s="20" t="n">
        <f aca="false">$E$10+$E$11*$J$157+AE157/$E$8</f>
        <v>63.7729239494399</v>
      </c>
      <c r="AG157" s="19" t="n">
        <f aca="false">(AD157-AF157)*$E$8</f>
        <v>-1090637.20414297</v>
      </c>
      <c r="AH157" s="41" t="n">
        <f aca="false">(AF157-AD157)/AD157</f>
        <v>0.169496574491379</v>
      </c>
      <c r="AI157" s="20" t="n">
        <f aca="false">$F$10+$F$11*$J$157+$F$11*$N$157</f>
        <v>287.68750255002</v>
      </c>
      <c r="AJ157" s="19" t="n">
        <f aca="false">$F$13*$O$157+$F$14*$P$157+$K$157*$F$12*$Q$157+$F$15*$R$157+$F$16*$S$157</f>
        <v>5868339.38960667</v>
      </c>
      <c r="AK157" s="20" t="n">
        <f aca="false">$F$10+$F$11*$J$157+AJ157/$K$157</f>
        <v>453.296481518291</v>
      </c>
      <c r="AL157" s="19" t="n">
        <f aca="false">(AI157-AK157)*$K$157</f>
        <v>-3229375.08988129</v>
      </c>
      <c r="AM157" s="41" t="n">
        <f aca="false">(AK157-AI157)/AI157</f>
        <v>0.575655798393526</v>
      </c>
      <c r="AN157" s="19" t="n">
        <f aca="false">-(MIN(0,W157)+MIN(0,AB157)+MIN(0,AG157)+MIN(0,AL157))</f>
        <v>4320012.29402426</v>
      </c>
      <c r="AO157" s="19" t="n">
        <f aca="false">($C$8*$C$9+$D$8*$D$9+$E$8*$E$9+$K$157*$F$9)-($C$8*$C$10+$D$8*$D$10+$E$8*$E$10+$K$157*$F$10)-L157*J157-I157-$C$26</f>
        <v>7291184</v>
      </c>
      <c r="AP157" s="26" t="n">
        <f aca="false">AN157/AO157</f>
        <v>0.592498048879888</v>
      </c>
      <c r="AQ157" s="41" t="n">
        <f aca="false">MAX(ABS(X157),ABS(AC157),ABS(AH157),ABS(AM157))</f>
        <v>0.575655798393526</v>
      </c>
      <c r="AR157" s="3" t="str">
        <f aca="false">IF(ABS(X157)=AQ157,$C$7,IF(ABS(AC157)=AQ157,$D$7,IF(ABS(AH157)=AQ157,$E$7,$F$7)))</f>
        <v>Aerospace brackets</v>
      </c>
      <c r="AS157" s="41" t="n">
        <f aca="false">IF(ABS(X157)=AQ157,X157,IF(ABS(AC157)=AQ157,AC157,IF(ABS(AH157)=AQ157,AH157,AM157)))</f>
        <v>0.575655798393526</v>
      </c>
    </row>
    <row r="158" customFormat="false" ht="15" hidden="false" customHeight="false" outlineLevel="0" collapsed="false">
      <c r="B158" s="4" t="s">
        <v>217</v>
      </c>
      <c r="C158" s="20" t="n">
        <f aca="false">$B$94</f>
        <v>24</v>
      </c>
      <c r="D158" s="19" t="n">
        <f aca="false">$C$19</f>
        <v>3510000</v>
      </c>
      <c r="E158" s="19" t="n">
        <f aca="false">$C$20</f>
        <v>1980000</v>
      </c>
      <c r="F158" s="19" t="n">
        <f aca="false">$C$21</f>
        <v>4620000</v>
      </c>
      <c r="G158" s="19" t="n">
        <f aca="false">$C$22</f>
        <v>1610000</v>
      </c>
      <c r="H158" s="19" t="n">
        <f aca="false">$C$23</f>
        <v>1720000</v>
      </c>
      <c r="I158" s="19" t="n">
        <f aca="false">SUM(D158:H158)</f>
        <v>13440000</v>
      </c>
      <c r="J158" s="20" t="n">
        <f aca="false">$C$158</f>
        <v>24</v>
      </c>
      <c r="K158" s="19" t="n">
        <f aca="false">$F$8</f>
        <v>19500</v>
      </c>
      <c r="L158" s="19" t="n">
        <f aca="false">$C$8*$C$11+$D$8*$D$11+$E$8*$E$11+$K$158*$F$11</f>
        <v>152940</v>
      </c>
      <c r="M158" s="19" t="n">
        <f aca="false">$C$8*$C$12+$D$8*$D$12+$E$8*$E$12+$K$158*$F$12</f>
        <v>150650</v>
      </c>
      <c r="N158" s="11" t="n">
        <f aca="false">I158/L158</f>
        <v>87.8775990584543</v>
      </c>
      <c r="O158" s="11" t="n">
        <f aca="false">D158/$G$32</f>
        <v>900</v>
      </c>
      <c r="P158" s="11" t="n">
        <f aca="false">E158/$G$33</f>
        <v>371.482176360225</v>
      </c>
      <c r="Q158" s="11" t="n">
        <f aca="false">F158/M158</f>
        <v>30.6671091934949</v>
      </c>
      <c r="R158" s="11" t="n">
        <f aca="false">G158/$G$34</f>
        <v>1642.85714285714</v>
      </c>
      <c r="S158" s="11" t="n">
        <f aca="false">H158/$G$35</f>
        <v>103.241296518607</v>
      </c>
      <c r="T158" s="20" t="n">
        <f aca="false">$C$10+$C$11*$J$158+$C$11*$N$158</f>
        <v>6.30632797175363</v>
      </c>
      <c r="U158" s="19" t="n">
        <f aca="false">$C$13*$O$158+$C$14*$P$158+$C$8*$C$12*$Q$158+$C$15*$R$158+$C$16*$S$158</f>
        <v>1816015.13809806</v>
      </c>
      <c r="V158" s="20" t="n">
        <f aca="false">$C$10+$C$11*$J$158+U158/$C$8</f>
        <v>4.65162980437733</v>
      </c>
      <c r="W158" s="19" t="n">
        <f aca="false">(T158-V158)*$C$8</f>
        <v>3061191.60964615</v>
      </c>
      <c r="X158" s="41" t="n">
        <f aca="false">(V158-T158)/T158</f>
        <v>-0.262386950819522</v>
      </c>
      <c r="Y158" s="20" t="n">
        <f aca="false">$D$10+$D$11*$J$158+$D$11*$N$158</f>
        <v>15.0364111416242</v>
      </c>
      <c r="Z158" s="19" t="n">
        <f aca="false">$D$13*$O$158+$D$14*$P$158+$D$8*$D$12*$Q$158+$D$15*$R$158+$D$16*$S$158</f>
        <v>2495083.24398698</v>
      </c>
      <c r="AA158" s="20" t="n">
        <f aca="false">$D$10+$D$11*$J$158+Z158/$D$8</f>
        <v>13.4865675687297</v>
      </c>
      <c r="AB158" s="19" t="n">
        <f aca="false">(Y158-AA158)*$D$8</f>
        <v>991899.886652482</v>
      </c>
      <c r="AC158" s="41" t="n">
        <f aca="false">(AA158-Y158)/Y158</f>
        <v>-0.103072705201854</v>
      </c>
      <c r="AD158" s="20" t="n">
        <f aca="false">$E$10+$E$11*$J$158+$E$11*$N$158</f>
        <v>52.7912357787368</v>
      </c>
      <c r="AE158" s="19" t="n">
        <f aca="false">$E$13*$O$158+$E$14*$P$158+$E$8*$E$12*$Q$158+$E$15*$R$158+$E$16*$S$158</f>
        <v>3580177.85327514</v>
      </c>
      <c r="AF158" s="20" t="n">
        <f aca="false">$E$10+$E$11*$J$158+AE158/$E$8</f>
        <v>62.4804902819927</v>
      </c>
      <c r="AG158" s="19" t="n">
        <f aca="false">(AD158-AF158)*$E$8</f>
        <v>-1143332.0313842</v>
      </c>
      <c r="AH158" s="41" t="n">
        <f aca="false">(AF158-AD158)/AD158</f>
        <v>0.183539073490653</v>
      </c>
      <c r="AI158" s="20" t="n">
        <f aca="false">$F$10+$F$11*$J$158+$F$11*$N$158</f>
        <v>276.29150255002</v>
      </c>
      <c r="AJ158" s="19" t="n">
        <f aca="false">$F$13*$O$158+$F$14*$P$158+$K$158*$F$12*$Q$158+$F$15*$R$158+$F$16*$S$158</f>
        <v>5548723.76463981</v>
      </c>
      <c r="AK158" s="20" t="n">
        <f aca="false">$F$10+$F$11*$J$158+AJ158/$K$158</f>
        <v>425.509936648196</v>
      </c>
      <c r="AL158" s="19" t="n">
        <f aca="false">(AI158-AK158)*$K$158</f>
        <v>-2909759.46491443</v>
      </c>
      <c r="AM158" s="41" t="n">
        <f aca="false">(AK158-AI158)/AI158</f>
        <v>0.540076088916855</v>
      </c>
      <c r="AN158" s="19" t="n">
        <f aca="false">-(MIN(0,W158)+MIN(0,AB158)+MIN(0,AG158)+MIN(0,AL158))</f>
        <v>4053091.49629863</v>
      </c>
      <c r="AO158" s="19" t="n">
        <f aca="false">($C$8*$C$9+$D$8*$D$9+$E$8*$E$9+$K$158*$F$9)-($C$8*$C$10+$D$8*$D$10+$E$8*$E$10+$K$158*$F$10)-L158*J158-I158-$C$26</f>
        <v>8422940</v>
      </c>
      <c r="AP158" s="26" t="n">
        <f aca="false">AN158/AO158</f>
        <v>0.481196766960068</v>
      </c>
      <c r="AQ158" s="41" t="n">
        <f aca="false">MAX(ABS(X158),ABS(AC158),ABS(AH158),ABS(AM158))</f>
        <v>0.540076088916855</v>
      </c>
      <c r="AR158" s="3" t="str">
        <f aca="false">IF(ABS(X158)=AQ158,$C$7,IF(ABS(AC158)=AQ158,$D$7,IF(ABS(AH158)=AQ158,$E$7,$F$7)))</f>
        <v>Aerospace brackets</v>
      </c>
      <c r="AS158" s="41" t="n">
        <f aca="false">IF(ABS(X158)=AQ158,X158,IF(ABS(AC158)=AQ158,AC158,IF(ABS(AH158)=AQ158,AH158,AM158)))</f>
        <v>0.540076088916855</v>
      </c>
    </row>
    <row r="159" customFormat="false" ht="15" hidden="false" customHeight="false" outlineLevel="0" collapsed="false">
      <c r="B159" s="4" t="s">
        <v>217</v>
      </c>
      <c r="C159" s="20" t="n">
        <f aca="false">$B$95</f>
        <v>28</v>
      </c>
      <c r="D159" s="19" t="n">
        <f aca="false">$C$19</f>
        <v>3510000</v>
      </c>
      <c r="E159" s="19" t="n">
        <f aca="false">$C$20</f>
        <v>1980000</v>
      </c>
      <c r="F159" s="19" t="n">
        <f aca="false">$C$21</f>
        <v>4620000</v>
      </c>
      <c r="G159" s="19" t="n">
        <f aca="false">$C$22</f>
        <v>1610000</v>
      </c>
      <c r="H159" s="19" t="n">
        <f aca="false">$C$23</f>
        <v>1720000</v>
      </c>
      <c r="I159" s="19" t="n">
        <f aca="false">SUM(D159:H159)</f>
        <v>13440000</v>
      </c>
      <c r="J159" s="20" t="n">
        <f aca="false">$C$159</f>
        <v>28</v>
      </c>
      <c r="K159" s="19" t="n">
        <f aca="false">$F$8</f>
        <v>19500</v>
      </c>
      <c r="L159" s="19" t="n">
        <f aca="false">$C$8*$C$11+$D$8*$D$11+$E$8*$E$11+$K$159*$F$11</f>
        <v>152940</v>
      </c>
      <c r="M159" s="19" t="n">
        <f aca="false">$C$8*$C$12+$D$8*$D$12+$E$8*$E$12+$K$159*$F$12</f>
        <v>150650</v>
      </c>
      <c r="N159" s="11" t="n">
        <f aca="false">I159/L159</f>
        <v>87.8775990584543</v>
      </c>
      <c r="O159" s="11" t="n">
        <f aca="false">D159/$G$32</f>
        <v>900</v>
      </c>
      <c r="P159" s="11" t="n">
        <f aca="false">E159/$G$33</f>
        <v>371.482176360225</v>
      </c>
      <c r="Q159" s="11" t="n">
        <f aca="false">F159/M159</f>
        <v>30.6671091934949</v>
      </c>
      <c r="R159" s="11" t="n">
        <f aca="false">G159/$G$34</f>
        <v>1642.85714285714</v>
      </c>
      <c r="S159" s="11" t="n">
        <f aca="false">H159/$G$35</f>
        <v>103.241296518607</v>
      </c>
      <c r="T159" s="20" t="n">
        <f aca="false">$C$10+$C$11*$J$159+$C$11*$N$159</f>
        <v>6.42632797175363</v>
      </c>
      <c r="U159" s="19" t="n">
        <f aca="false">$C$13*$O$159+$C$14*$P$159+$C$8*$C$12*$Q$159+$C$15*$R$159+$C$16*$S$159</f>
        <v>1816015.13809806</v>
      </c>
      <c r="V159" s="20" t="n">
        <f aca="false">$C$10+$C$11*$J$159+U159/$C$8</f>
        <v>4.77162980437733</v>
      </c>
      <c r="W159" s="19" t="n">
        <f aca="false">(T159-V159)*$C$8</f>
        <v>3061191.60964615</v>
      </c>
      <c r="X159" s="41" t="n">
        <f aca="false">(V159-T159)/T159</f>
        <v>-0.257487351197975</v>
      </c>
      <c r="Y159" s="20" t="n">
        <f aca="false">$D$10+$D$11*$J$159+$D$11*$N$159</f>
        <v>15.2844111416242</v>
      </c>
      <c r="Z159" s="19" t="n">
        <f aca="false">$D$13*$O$159+$D$14*$P$159+$D$8*$D$12*$Q$159+$D$15*$R$159+$D$16*$S$159</f>
        <v>2495083.24398698</v>
      </c>
      <c r="AA159" s="20" t="n">
        <f aca="false">$D$10+$D$11*$J$159+Z159/$D$8</f>
        <v>13.7345675687297</v>
      </c>
      <c r="AB159" s="19" t="n">
        <f aca="false">(Y159-AA159)*$D$8</f>
        <v>991899.886652482</v>
      </c>
      <c r="AC159" s="41" t="n">
        <f aca="false">(AA159-Y159)/Y159</f>
        <v>-0.101400280228906</v>
      </c>
      <c r="AD159" s="20" t="n">
        <f aca="false">$E$10+$E$11*$J$159+$E$11*$N$159</f>
        <v>53.7312357787368</v>
      </c>
      <c r="AE159" s="19" t="n">
        <f aca="false">$E$13*$O$159+$E$14*$P$159+$E$8*$E$12*$Q$159+$E$15*$R$159+$E$16*$S$159</f>
        <v>3580177.85327514</v>
      </c>
      <c r="AF159" s="20" t="n">
        <f aca="false">$E$10+$E$11*$J$159+AE159/$E$8</f>
        <v>63.4204902819927</v>
      </c>
      <c r="AG159" s="19" t="n">
        <f aca="false">(AD159-AF159)*$E$8</f>
        <v>-1143332.0313842</v>
      </c>
      <c r="AH159" s="41" t="n">
        <f aca="false">(AF159-AD159)/AD159</f>
        <v>0.180328152941725</v>
      </c>
      <c r="AI159" s="20" t="n">
        <f aca="false">$F$10+$F$11*$J$159+$F$11*$N$159</f>
        <v>282.45150255002</v>
      </c>
      <c r="AJ159" s="19" t="n">
        <f aca="false">$F$13*$O$159+$F$14*$P$159+$K$159*$F$12*$Q$159+$F$15*$R$159+$F$16*$S$159</f>
        <v>5548723.76463981</v>
      </c>
      <c r="AK159" s="20" t="n">
        <f aca="false">$F$10+$F$11*$J$159+AJ159/$K$159</f>
        <v>431.669936648196</v>
      </c>
      <c r="AL159" s="19" t="n">
        <f aca="false">(AI159-AK159)*$K$159</f>
        <v>-2909759.46491443</v>
      </c>
      <c r="AM159" s="41" t="n">
        <f aca="false">(AK159-AI159)/AI159</f>
        <v>0.528297540466263</v>
      </c>
      <c r="AN159" s="19" t="n">
        <f aca="false">-(MIN(0,W159)+MIN(0,AB159)+MIN(0,AG159)+MIN(0,AL159))</f>
        <v>4053091.49629863</v>
      </c>
      <c r="AO159" s="19" t="n">
        <f aca="false">($C$8*$C$9+$D$8*$D$9+$E$8*$E$9+$K$159*$F$9)-($C$8*$C$10+$D$8*$D$10+$E$8*$E$10+$K$159*$F$10)-L159*J159-I159-$C$26</f>
        <v>7811180</v>
      </c>
      <c r="AP159" s="26" t="n">
        <f aca="false">AN159/AO159</f>
        <v>0.518883382062458</v>
      </c>
      <c r="AQ159" s="41" t="n">
        <f aca="false">MAX(ABS(X159),ABS(AC159),ABS(AH159),ABS(AM159))</f>
        <v>0.528297540466263</v>
      </c>
      <c r="AR159" s="3" t="str">
        <f aca="false">IF(ABS(X159)=AQ159,$C$7,IF(ABS(AC159)=AQ159,$D$7,IF(ABS(AH159)=AQ159,$E$7,$F$7)))</f>
        <v>Aerospace brackets</v>
      </c>
      <c r="AS159" s="41" t="n">
        <f aca="false">IF(ABS(X159)=AQ159,X159,IF(ABS(AC159)=AQ159,AC159,IF(ABS(AH159)=AQ159,AH159,AM159)))</f>
        <v>0.528297540466263</v>
      </c>
    </row>
    <row r="160" customFormat="false" ht="15" hidden="false" customHeight="false" outlineLevel="0" collapsed="false">
      <c r="B160" s="4" t="s">
        <v>217</v>
      </c>
      <c r="C160" s="20" t="n">
        <f aca="false">$B$96</f>
        <v>31.4</v>
      </c>
      <c r="D160" s="19" t="n">
        <f aca="false">$C$19</f>
        <v>3510000</v>
      </c>
      <c r="E160" s="19" t="n">
        <f aca="false">$C$20</f>
        <v>1980000</v>
      </c>
      <c r="F160" s="19" t="n">
        <f aca="false">$C$21</f>
        <v>4620000</v>
      </c>
      <c r="G160" s="19" t="n">
        <f aca="false">$C$22</f>
        <v>1610000</v>
      </c>
      <c r="H160" s="19" t="n">
        <f aca="false">$C$23</f>
        <v>1720000</v>
      </c>
      <c r="I160" s="19" t="n">
        <f aca="false">SUM(D160:H160)</f>
        <v>13440000</v>
      </c>
      <c r="J160" s="20" t="n">
        <f aca="false">$C$160</f>
        <v>31.4</v>
      </c>
      <c r="K160" s="19" t="n">
        <f aca="false">$F$8</f>
        <v>19500</v>
      </c>
      <c r="L160" s="19" t="n">
        <f aca="false">$C$8*$C$11+$D$8*$D$11+$E$8*$E$11+$K$160*$F$11</f>
        <v>152940</v>
      </c>
      <c r="M160" s="19" t="n">
        <f aca="false">$C$8*$C$12+$D$8*$D$12+$E$8*$E$12+$K$160*$F$12</f>
        <v>150650</v>
      </c>
      <c r="N160" s="11" t="n">
        <f aca="false">I160/L160</f>
        <v>87.8775990584543</v>
      </c>
      <c r="O160" s="11" t="n">
        <f aca="false">D160/$G$32</f>
        <v>900</v>
      </c>
      <c r="P160" s="11" t="n">
        <f aca="false">E160/$G$33</f>
        <v>371.482176360225</v>
      </c>
      <c r="Q160" s="11" t="n">
        <f aca="false">F160/M160</f>
        <v>30.6671091934949</v>
      </c>
      <c r="R160" s="11" t="n">
        <f aca="false">G160/$G$34</f>
        <v>1642.85714285714</v>
      </c>
      <c r="S160" s="11" t="n">
        <f aca="false">H160/$G$35</f>
        <v>103.241296518607</v>
      </c>
      <c r="T160" s="20" t="n">
        <f aca="false">$C$10+$C$11*$J$160+$C$11*$N$160</f>
        <v>6.52832797175363</v>
      </c>
      <c r="U160" s="19" t="n">
        <f aca="false">$C$13*$O$160+$C$14*$P$160+$C$8*$C$12*$Q$160+$C$15*$R$160+$C$16*$S$160</f>
        <v>1816015.13809806</v>
      </c>
      <c r="V160" s="20" t="n">
        <f aca="false">$C$10+$C$11*$J$160+U160/$C$8</f>
        <v>4.87362980437733</v>
      </c>
      <c r="W160" s="19" t="n">
        <f aca="false">(T160-V160)*$C$8</f>
        <v>3061191.60964615</v>
      </c>
      <c r="X160" s="41" t="n">
        <f aca="false">(V160-T160)/T160</f>
        <v>-0.253464313456025</v>
      </c>
      <c r="Y160" s="20" t="n">
        <f aca="false">$D$10+$D$11*$J$160+$D$11*$N$160</f>
        <v>15.4952111416242</v>
      </c>
      <c r="Z160" s="19" t="n">
        <f aca="false">$D$13*$O$160+$D$14*$P$160+$D$8*$D$12*$Q$160+$D$15*$R$160+$D$16*$S$160</f>
        <v>2495083.24398698</v>
      </c>
      <c r="AA160" s="20" t="n">
        <f aca="false">$D$10+$D$11*$J$160+Z160/$D$8</f>
        <v>13.9453675687297</v>
      </c>
      <c r="AB160" s="19" t="n">
        <f aca="false">(Y160-AA160)*$D$8</f>
        <v>991899.886652482</v>
      </c>
      <c r="AC160" s="41" t="n">
        <f aca="false">(AA160-Y160)/Y160</f>
        <v>-0.100020810218663</v>
      </c>
      <c r="AD160" s="20" t="n">
        <f aca="false">$E$10+$E$11*$J$160+$E$11*$N$160</f>
        <v>54.5302357787368</v>
      </c>
      <c r="AE160" s="19" t="n">
        <f aca="false">$E$13*$O$160+$E$14*$P$160+$E$8*$E$12*$Q$160+$E$15*$R$160+$E$16*$S$160</f>
        <v>3580177.85327514</v>
      </c>
      <c r="AF160" s="20" t="n">
        <f aca="false">$E$10+$E$11*$J$160+AE160/$E$8</f>
        <v>64.2194902819927</v>
      </c>
      <c r="AG160" s="19" t="n">
        <f aca="false">(AD160-AF160)*$E$8</f>
        <v>-1143332.0313842</v>
      </c>
      <c r="AH160" s="41" t="n">
        <f aca="false">(AF160-AD160)/AD160</f>
        <v>0.177685908833611</v>
      </c>
      <c r="AI160" s="20" t="n">
        <f aca="false">$F$10+$F$11*$J$160+$F$11*$N$160</f>
        <v>287.68750255002</v>
      </c>
      <c r="AJ160" s="19" t="n">
        <f aca="false">$F$13*$O$160+$F$14*$P$160+$K$160*$F$12*$Q$160+$F$15*$R$160+$F$16*$S$160</f>
        <v>5548723.76463981</v>
      </c>
      <c r="AK160" s="20" t="n">
        <f aca="false">$F$10+$F$11*$J$160+AJ160/$K$160</f>
        <v>436.905936648196</v>
      </c>
      <c r="AL160" s="19" t="n">
        <f aca="false">(AI160-AK160)*$K$160</f>
        <v>-2909759.46491443</v>
      </c>
      <c r="AM160" s="41" t="n">
        <f aca="false">(AK160-AI160)/AI160</f>
        <v>0.518682364633589</v>
      </c>
      <c r="AN160" s="19" t="n">
        <f aca="false">-(MIN(0,W160)+MIN(0,AB160)+MIN(0,AG160)+MIN(0,AL160))</f>
        <v>4053091.49629863</v>
      </c>
      <c r="AO160" s="19" t="n">
        <f aca="false">($C$8*$C$9+$D$8*$D$9+$E$8*$E$9+$K$160*$F$9)-($C$8*$C$10+$D$8*$D$10+$E$8*$E$10+$K$160*$F$10)-L160*J160-I160-$C$26</f>
        <v>7291184</v>
      </c>
      <c r="AP160" s="26" t="n">
        <f aca="false">AN160/AO160</f>
        <v>0.555889344761925</v>
      </c>
      <c r="AQ160" s="41" t="n">
        <f aca="false">MAX(ABS(X160),ABS(AC160),ABS(AH160),ABS(AM160))</f>
        <v>0.518682364633589</v>
      </c>
      <c r="AR160" s="3" t="str">
        <f aca="false">IF(ABS(X160)=AQ160,$C$7,IF(ABS(AC160)=AQ160,$D$7,IF(ABS(AH160)=AQ160,$E$7,$F$7)))</f>
        <v>Aerospace brackets</v>
      </c>
      <c r="AS160" s="41" t="n">
        <f aca="false">IF(ABS(X160)=AQ160,X160,IF(ABS(AC160)=AQ160,AC160,IF(ABS(AH160)=AQ160,AH160,AM160)))</f>
        <v>0.518682364633589</v>
      </c>
    </row>
    <row r="161" customFormat="false" ht="15" hidden="false" customHeight="false" outlineLevel="0" collapsed="false">
      <c r="B161" s="4" t="s">
        <v>217</v>
      </c>
      <c r="C161" s="20" t="n">
        <f aca="false">$B$97</f>
        <v>36</v>
      </c>
      <c r="D161" s="19" t="n">
        <f aca="false">$C$19</f>
        <v>3510000</v>
      </c>
      <c r="E161" s="19" t="n">
        <f aca="false">$C$20</f>
        <v>1980000</v>
      </c>
      <c r="F161" s="19" t="n">
        <f aca="false">$C$21</f>
        <v>4620000</v>
      </c>
      <c r="G161" s="19" t="n">
        <f aca="false">$C$22</f>
        <v>1610000</v>
      </c>
      <c r="H161" s="19" t="n">
        <f aca="false">$C$23</f>
        <v>1720000</v>
      </c>
      <c r="I161" s="19" t="n">
        <f aca="false">SUM(D161:H161)</f>
        <v>13440000</v>
      </c>
      <c r="J161" s="20" t="n">
        <f aca="false">$C$161</f>
        <v>36</v>
      </c>
      <c r="K161" s="19" t="n">
        <f aca="false">$F$8</f>
        <v>19500</v>
      </c>
      <c r="L161" s="19" t="n">
        <f aca="false">$C$8*$C$11+$D$8*$D$11+$E$8*$E$11+$K$161*$F$11</f>
        <v>152940</v>
      </c>
      <c r="M161" s="19" t="n">
        <f aca="false">$C$8*$C$12+$D$8*$D$12+$E$8*$E$12+$K$161*$F$12</f>
        <v>150650</v>
      </c>
      <c r="N161" s="11" t="n">
        <f aca="false">I161/L161</f>
        <v>87.8775990584543</v>
      </c>
      <c r="O161" s="11" t="n">
        <f aca="false">D161/$G$32</f>
        <v>900</v>
      </c>
      <c r="P161" s="11" t="n">
        <f aca="false">E161/$G$33</f>
        <v>371.482176360225</v>
      </c>
      <c r="Q161" s="11" t="n">
        <f aca="false">F161/M161</f>
        <v>30.6671091934949</v>
      </c>
      <c r="R161" s="11" t="n">
        <f aca="false">G161/$G$34</f>
        <v>1642.85714285714</v>
      </c>
      <c r="S161" s="11" t="n">
        <f aca="false">H161/$G$35</f>
        <v>103.241296518607</v>
      </c>
      <c r="T161" s="20" t="n">
        <f aca="false">$C$10+$C$11*$J$161+$C$11*$N$161</f>
        <v>6.66632797175363</v>
      </c>
      <c r="U161" s="19" t="n">
        <f aca="false">$C$13*$O$161+$C$14*$P$161+$C$8*$C$12*$Q$161+$C$15*$R$161+$C$16*$S$161</f>
        <v>1816015.13809806</v>
      </c>
      <c r="V161" s="20" t="n">
        <f aca="false">$C$10+$C$11*$J$161+U161/$C$8</f>
        <v>5.01162980437733</v>
      </c>
      <c r="W161" s="19" t="n">
        <f aca="false">(T161-V161)*$C$8</f>
        <v>3061191.60964615</v>
      </c>
      <c r="X161" s="41" t="n">
        <f aca="false">(V161-T161)/T161</f>
        <v>-0.248217335598779</v>
      </c>
      <c r="Y161" s="20" t="n">
        <f aca="false">$D$10+$D$11*$J$161+$D$11*$N$161</f>
        <v>15.7804111416242</v>
      </c>
      <c r="Z161" s="19" t="n">
        <f aca="false">$D$13*$O$161+$D$14*$P$161+$D$8*$D$12*$Q$161+$D$15*$R$161+$D$16*$S$161</f>
        <v>2495083.24398698</v>
      </c>
      <c r="AA161" s="20" t="n">
        <f aca="false">$D$10+$D$11*$J$161+Z161/$D$8</f>
        <v>14.2305675687297</v>
      </c>
      <c r="AB161" s="19" t="n">
        <f aca="false">(Y161-AA161)*$D$8</f>
        <v>991899.886652483</v>
      </c>
      <c r="AC161" s="41" t="n">
        <f aca="false">(AA161-Y161)/Y161</f>
        <v>-0.0982131301260247</v>
      </c>
      <c r="AD161" s="20" t="n">
        <f aca="false">$E$10+$E$11*$J$161+$E$11*$N$161</f>
        <v>55.6112357787368</v>
      </c>
      <c r="AE161" s="19" t="n">
        <f aca="false">$E$13*$O$161+$E$14*$P$161+$E$8*$E$12*$Q$161+$E$15*$R$161+$E$16*$S$161</f>
        <v>3580177.85327514</v>
      </c>
      <c r="AF161" s="20" t="n">
        <f aca="false">$E$10+$E$11*$J$161+AE161/$E$8</f>
        <v>65.3004902819927</v>
      </c>
      <c r="AG161" s="19" t="n">
        <f aca="false">(AD161-AF161)*$E$8</f>
        <v>-1143332.0313842</v>
      </c>
      <c r="AH161" s="41" t="n">
        <f aca="false">(AF161-AD161)/AD161</f>
        <v>0.174231958120965</v>
      </c>
      <c r="AI161" s="20" t="n">
        <f aca="false">$F$10+$F$11*$J$161+$F$11*$N$161</f>
        <v>294.77150255002</v>
      </c>
      <c r="AJ161" s="19" t="n">
        <f aca="false">$F$13*$O$161+$F$14*$P$161+$K$161*$F$12*$Q$161+$F$15*$R$161+$F$16*$S$161</f>
        <v>5548723.76463981</v>
      </c>
      <c r="AK161" s="20" t="n">
        <f aca="false">$F$10+$F$11*$J$161+AJ161/$K$161</f>
        <v>443.989936648196</v>
      </c>
      <c r="AL161" s="19" t="n">
        <f aca="false">(AI161-AK161)*$K$161</f>
        <v>-2909759.46491443</v>
      </c>
      <c r="AM161" s="41" t="n">
        <f aca="false">(AK161-AI161)/AI161</f>
        <v>0.50621729986553</v>
      </c>
      <c r="AN161" s="19" t="n">
        <f aca="false">-(MIN(0,W161)+MIN(0,AB161)+MIN(0,AG161)+MIN(0,AL161))</f>
        <v>4053091.49629864</v>
      </c>
      <c r="AO161" s="19" t="n">
        <f aca="false">($C$8*$C$9+$D$8*$D$9+$E$8*$E$9+$K$161*$F$9)-($C$8*$C$10+$D$8*$D$10+$E$8*$E$10+$K$161*$F$10)-L161*J161-I161-$C$26</f>
        <v>6587660</v>
      </c>
      <c r="AP161" s="26" t="n">
        <f aca="false">AN161/AO161</f>
        <v>0.615255112786427</v>
      </c>
      <c r="AQ161" s="41" t="n">
        <f aca="false">MAX(ABS(X161),ABS(AC161),ABS(AH161),ABS(AM161))</f>
        <v>0.50621729986553</v>
      </c>
      <c r="AR161" s="3" t="str">
        <f aca="false">IF(ABS(X161)=AQ161,$C$7,IF(ABS(AC161)=AQ161,$D$7,IF(ABS(AH161)=AQ161,$E$7,$F$7)))</f>
        <v>Aerospace brackets</v>
      </c>
      <c r="AS161" s="41" t="n">
        <f aca="false">IF(ABS(X161)=AQ161,X161,IF(ABS(AC161)=AQ161,AC161,IF(ABS(AH161)=AQ161,AH161,AM161)))</f>
        <v>0.50621729986553</v>
      </c>
    </row>
    <row r="162" customFormat="false" ht="15" hidden="false" customHeight="false" outlineLevel="0" collapsed="false">
      <c r="B162" s="4" t="s">
        <v>217</v>
      </c>
      <c r="C162" s="20" t="n">
        <f aca="false">$B$98</f>
        <v>42</v>
      </c>
      <c r="D162" s="19" t="n">
        <f aca="false">$C$19</f>
        <v>3510000</v>
      </c>
      <c r="E162" s="19" t="n">
        <f aca="false">$C$20</f>
        <v>1980000</v>
      </c>
      <c r="F162" s="19" t="n">
        <f aca="false">$C$21</f>
        <v>4620000</v>
      </c>
      <c r="G162" s="19" t="n">
        <f aca="false">$C$22</f>
        <v>1610000</v>
      </c>
      <c r="H162" s="19" t="n">
        <f aca="false">$C$23</f>
        <v>1720000</v>
      </c>
      <c r="I162" s="19" t="n">
        <f aca="false">SUM(D162:H162)</f>
        <v>13440000</v>
      </c>
      <c r="J162" s="20" t="n">
        <f aca="false">$C$162</f>
        <v>42</v>
      </c>
      <c r="K162" s="19" t="n">
        <f aca="false">$F$8</f>
        <v>19500</v>
      </c>
      <c r="L162" s="19" t="n">
        <f aca="false">$C$8*$C$11+$D$8*$D$11+$E$8*$E$11+$K$162*$F$11</f>
        <v>152940</v>
      </c>
      <c r="M162" s="19" t="n">
        <f aca="false">$C$8*$C$12+$D$8*$D$12+$E$8*$E$12+$K$162*$F$12</f>
        <v>150650</v>
      </c>
      <c r="N162" s="11" t="n">
        <f aca="false">I162/L162</f>
        <v>87.8775990584543</v>
      </c>
      <c r="O162" s="11" t="n">
        <f aca="false">D162/$G$32</f>
        <v>900</v>
      </c>
      <c r="P162" s="11" t="n">
        <f aca="false">E162/$G$33</f>
        <v>371.482176360225</v>
      </c>
      <c r="Q162" s="11" t="n">
        <f aca="false">F162/M162</f>
        <v>30.6671091934949</v>
      </c>
      <c r="R162" s="11" t="n">
        <f aca="false">G162/$G$34</f>
        <v>1642.85714285714</v>
      </c>
      <c r="S162" s="11" t="n">
        <f aca="false">H162/$G$35</f>
        <v>103.241296518607</v>
      </c>
      <c r="T162" s="20" t="n">
        <f aca="false">$C$10+$C$11*$J$162+$C$11*$N$162</f>
        <v>6.84632797175363</v>
      </c>
      <c r="U162" s="19" t="n">
        <f aca="false">$C$13*$O$162+$C$14*$P$162+$C$8*$C$12*$Q$162+$C$15*$R$162+$C$16*$S$162</f>
        <v>1816015.13809806</v>
      </c>
      <c r="V162" s="20" t="n">
        <f aca="false">$C$10+$C$11*$J$162+U162/$C$8</f>
        <v>5.19162980437733</v>
      </c>
      <c r="W162" s="19" t="n">
        <f aca="false">(T162-V162)*$C$8</f>
        <v>3061191.60964615</v>
      </c>
      <c r="X162" s="41" t="n">
        <f aca="false">(V162-T162)/T162</f>
        <v>-0.241691337926433</v>
      </c>
      <c r="Y162" s="20" t="n">
        <f aca="false">$D$10+$D$11*$J$162+$D$11*$N$162</f>
        <v>16.1524111416242</v>
      </c>
      <c r="Z162" s="19" t="n">
        <f aca="false">$D$13*$O$162+$D$14*$P$162+$D$8*$D$12*$Q$162+$D$15*$R$162+$D$16*$S$162</f>
        <v>2495083.24398698</v>
      </c>
      <c r="AA162" s="20" t="n">
        <f aca="false">$D$10+$D$11*$J$162+Z162/$D$8</f>
        <v>14.6025675687297</v>
      </c>
      <c r="AB162" s="19" t="n">
        <f aca="false">(Y162-AA162)*$D$8</f>
        <v>991899.886652483</v>
      </c>
      <c r="AC162" s="41" t="n">
        <f aca="false">(AA162-Y162)/Y162</f>
        <v>-0.0959512211090649</v>
      </c>
      <c r="AD162" s="20" t="n">
        <f aca="false">$E$10+$E$11*$J$162+$E$11*$N$162</f>
        <v>57.0212357787368</v>
      </c>
      <c r="AE162" s="19" t="n">
        <f aca="false">$E$13*$O$162+$E$14*$P$162+$E$8*$E$12*$Q$162+$E$15*$R$162+$E$16*$S$162</f>
        <v>3580177.85327514</v>
      </c>
      <c r="AF162" s="20" t="n">
        <f aca="false">$E$10+$E$11*$J$162+AE162/$E$8</f>
        <v>66.7104902819927</v>
      </c>
      <c r="AG162" s="19" t="n">
        <f aca="false">(AD162-AF162)*$E$8</f>
        <v>-1143332.0313842</v>
      </c>
      <c r="AH162" s="41" t="n">
        <f aca="false">(AF162-AD162)/AD162</f>
        <v>0.16992361478895</v>
      </c>
      <c r="AI162" s="20" t="n">
        <f aca="false">$F$10+$F$11*$J$162+$F$11*$N$162</f>
        <v>304.01150255002</v>
      </c>
      <c r="AJ162" s="19" t="n">
        <f aca="false">$F$13*$O$162+$F$14*$P$162+$K$162*$F$12*$Q$162+$F$15*$R$162+$F$16*$S$162</f>
        <v>5548723.76463981</v>
      </c>
      <c r="AK162" s="20" t="n">
        <f aca="false">$F$10+$F$11*$J$162+AJ162/$K$162</f>
        <v>453.229936648196</v>
      </c>
      <c r="AL162" s="19" t="n">
        <f aca="false">(AI162-AK162)*$K$162</f>
        <v>-2909759.46491443</v>
      </c>
      <c r="AM162" s="41" t="n">
        <f aca="false">(AK162-AI162)/AI162</f>
        <v>0.49083154040734</v>
      </c>
      <c r="AN162" s="19" t="n">
        <f aca="false">-(MIN(0,W162)+MIN(0,AB162)+MIN(0,AG162)+MIN(0,AL162))</f>
        <v>4053091.49629864</v>
      </c>
      <c r="AO162" s="19" t="n">
        <f aca="false">($C$8*$C$9+$D$8*$D$9+$E$8*$E$9+$K$162*$F$9)-($C$8*$C$10+$D$8*$D$10+$E$8*$E$10+$K$162*$F$10)-L162*J162-I162-$C$26</f>
        <v>5670020</v>
      </c>
      <c r="AP162" s="26" t="n">
        <f aca="false">AN162/AO162</f>
        <v>0.714828430287483</v>
      </c>
      <c r="AQ162" s="41" t="n">
        <f aca="false">MAX(ABS(X162),ABS(AC162),ABS(AH162),ABS(AM162))</f>
        <v>0.49083154040734</v>
      </c>
      <c r="AR162" s="3" t="str">
        <f aca="false">IF(ABS(X162)=AQ162,$C$7,IF(ABS(AC162)=AQ162,$D$7,IF(ABS(AH162)=AQ162,$E$7,$F$7)))</f>
        <v>Aerospace brackets</v>
      </c>
      <c r="AS162" s="41" t="n">
        <f aca="false">IF(ABS(X162)=AQ162,X162,IF(ABS(AC162)=AQ162,AC162,IF(ABS(AH162)=AQ162,AH162,AM162)))</f>
        <v>0.49083154040734</v>
      </c>
    </row>
    <row r="163" customFormat="false" ht="15" hidden="false" customHeight="false" outlineLevel="0" collapsed="false">
      <c r="B163" s="4" t="s">
        <v>222</v>
      </c>
      <c r="C163" s="20" t="n">
        <f aca="false">$B$108</f>
        <v>0.75</v>
      </c>
      <c r="D163" s="19" t="n">
        <f aca="false">$C$19*$C$163</f>
        <v>2632500</v>
      </c>
      <c r="E163" s="19" t="n">
        <f aca="false">$C$20*$C$163</f>
        <v>1485000</v>
      </c>
      <c r="F163" s="19" t="n">
        <f aca="false">$C$21*$C$163</f>
        <v>3465000</v>
      </c>
      <c r="G163" s="19" t="n">
        <f aca="false">$C$22*$C$163</f>
        <v>1207500</v>
      </c>
      <c r="H163" s="19" t="n">
        <f aca="false">$C$23*$C$163</f>
        <v>1290000</v>
      </c>
      <c r="I163" s="19" t="n">
        <f aca="false">SUM(D163:H163)</f>
        <v>10080000</v>
      </c>
      <c r="J163" s="20" t="n">
        <f aca="false">$C$25</f>
        <v>31.4</v>
      </c>
      <c r="K163" s="19" t="n">
        <f aca="false">$F$8</f>
        <v>19500</v>
      </c>
      <c r="L163" s="19" t="n">
        <f aca="false">$C$8*$C$11+$D$8*$D$11+$E$8*$E$11+$K$163*$F$11</f>
        <v>152940</v>
      </c>
      <c r="M163" s="19" t="n">
        <f aca="false">$C$8*$C$12+$D$8*$D$12+$E$8*$E$12+$K$163*$F$12</f>
        <v>150650</v>
      </c>
      <c r="N163" s="11" t="n">
        <f aca="false">I163/L163</f>
        <v>65.9081992938407</v>
      </c>
      <c r="O163" s="11" t="n">
        <f aca="false">D163/$G$32</f>
        <v>675</v>
      </c>
      <c r="P163" s="11" t="n">
        <f aca="false">E163/$G$33</f>
        <v>278.611632270169</v>
      </c>
      <c r="Q163" s="11" t="n">
        <f aca="false">F163/M163</f>
        <v>23.0003318951211</v>
      </c>
      <c r="R163" s="11" t="n">
        <f aca="false">G163/$G$34</f>
        <v>1232.14285714286</v>
      </c>
      <c r="S163" s="11" t="n">
        <f aca="false">H163/$G$35</f>
        <v>77.4309723889556</v>
      </c>
      <c r="T163" s="20" t="n">
        <f aca="false">$C$10+$C$11*$J$163+$C$11*$N$163</f>
        <v>5.86924597881522</v>
      </c>
      <c r="U163" s="19" t="n">
        <f aca="false">$C$13*$O$163+$C$14*$P$163+$C$8*$C$12*$Q$163+$C$15*$R$163+$C$16*$S$163</f>
        <v>1362011.35357355</v>
      </c>
      <c r="V163" s="20" t="n">
        <f aca="false">$C$10+$C$11*$J$163+U163/$C$8</f>
        <v>4.628222353283</v>
      </c>
      <c r="W163" s="19" t="n">
        <f aca="false">(T163-V163)*$C$8</f>
        <v>2295893.70723461</v>
      </c>
      <c r="X163" s="41" t="n">
        <f aca="false">(V163-T163)/T163</f>
        <v>-0.211445154967374</v>
      </c>
      <c r="Y163" s="20" t="n">
        <f aca="false">$D$10+$D$11*$J$163+$D$11*$N$163</f>
        <v>14.1331083562181</v>
      </c>
      <c r="Z163" s="19" t="n">
        <f aca="false">$D$13*$O$163+$D$14*$P$163+$D$8*$D$12*$Q$163+$D$15*$R$163+$D$16*$S$163</f>
        <v>1871312.43299024</v>
      </c>
      <c r="AA163" s="20" t="n">
        <f aca="false">$D$10+$D$11*$J$163+Z163/$D$8</f>
        <v>12.9707256765472</v>
      </c>
      <c r="AB163" s="19" t="n">
        <f aca="false">(Y163-AA163)*$D$8</f>
        <v>743924.914989361</v>
      </c>
      <c r="AC163" s="41" t="n">
        <f aca="false">(AA163-Y163)/Y163</f>
        <v>-0.0822453667214308</v>
      </c>
      <c r="AD163" s="20" t="n">
        <f aca="false">$E$10+$E$11*$J$163+$E$11*$N$163</f>
        <v>49.3674268340526</v>
      </c>
      <c r="AE163" s="19" t="n">
        <f aca="false">$E$13*$O$163+$E$14*$P$163+$E$8*$E$12*$Q$163+$E$15*$R$163+$E$16*$S$163</f>
        <v>2685133.38995636</v>
      </c>
      <c r="AF163" s="20" t="n">
        <f aca="false">$E$10+$E$11*$J$163+AE163/$E$8</f>
        <v>56.6343677114945</v>
      </c>
      <c r="AG163" s="19" t="n">
        <f aca="false">(AD163-AF163)*$E$8</f>
        <v>-857499.023538152</v>
      </c>
      <c r="AH163" s="41" t="n">
        <f aca="false">(AF163-AD163)/AD163</f>
        <v>0.147201127210248</v>
      </c>
      <c r="AI163" s="20" t="n">
        <f aca="false">$F$10+$F$11*$J$163+$F$11*$N$163</f>
        <v>253.854626912515</v>
      </c>
      <c r="AJ163" s="19" t="n">
        <f aca="false">$F$13*$O$163+$F$14*$P$163+$K$163*$F$12*$Q$163+$F$15*$R$163+$F$16*$S$163</f>
        <v>4161542.82347986</v>
      </c>
      <c r="AK163" s="20" t="n">
        <f aca="false">$F$10+$F$11*$J$163+AJ163/$K$163</f>
        <v>365.768452486147</v>
      </c>
      <c r="AL163" s="19" t="n">
        <f aca="false">(AI163-AK163)*$K$163</f>
        <v>-2182319.59868582</v>
      </c>
      <c r="AM163" s="41" t="n">
        <f aca="false">(AK163-AI163)/AI163</f>
        <v>0.440857930914139</v>
      </c>
      <c r="AN163" s="19" t="n">
        <f aca="false">-(MIN(0,W163)+MIN(0,AB163)+MIN(0,AG163)+MIN(0,AL163))</f>
        <v>3039818.62222397</v>
      </c>
      <c r="AO163" s="19" t="n">
        <f aca="false">($C$8*$C$9+$D$8*$D$9+$E$8*$E$9+$K$163*$F$9)-($C$8*$C$10+$D$8*$D$10+$E$8*$E$10+$K$163*$F$10)-L163*J163-I163-$C$26</f>
        <v>10651184</v>
      </c>
      <c r="AP163" s="26" t="n">
        <f aca="false">AN163/AO163</f>
        <v>0.285397249941788</v>
      </c>
      <c r="AQ163" s="41" t="n">
        <f aca="false">MAX(ABS(X163),ABS(AC163),ABS(AH163),ABS(AM163))</f>
        <v>0.440857930914139</v>
      </c>
      <c r="AR163" s="3" t="str">
        <f aca="false">IF(ABS(X163)=AQ163,$C$7,IF(ABS(AC163)=AQ163,$D$7,IF(ABS(AH163)=AQ163,$E$7,$F$7)))</f>
        <v>Aerospace brackets</v>
      </c>
      <c r="AS163" s="41" t="n">
        <f aca="false">IF(ABS(X163)=AQ163,X163,IF(ABS(AC163)=AQ163,AC163,IF(ABS(AH163)=AQ163,AH163,AM163)))</f>
        <v>0.440857930914139</v>
      </c>
    </row>
    <row r="164" customFormat="false" ht="15" hidden="false" customHeight="false" outlineLevel="0" collapsed="false">
      <c r="B164" s="4" t="s">
        <v>222</v>
      </c>
      <c r="C164" s="20" t="n">
        <f aca="false">$B$109</f>
        <v>0.9</v>
      </c>
      <c r="D164" s="19" t="n">
        <f aca="false">$C$19*$C$164</f>
        <v>3159000</v>
      </c>
      <c r="E164" s="19" t="n">
        <f aca="false">$C$20*$C$164</f>
        <v>1782000</v>
      </c>
      <c r="F164" s="19" t="n">
        <f aca="false">$C$21*$C$164</f>
        <v>4158000</v>
      </c>
      <c r="G164" s="19" t="n">
        <f aca="false">$C$22*$C$164</f>
        <v>1449000</v>
      </c>
      <c r="H164" s="19" t="n">
        <f aca="false">$C$23*$C$164</f>
        <v>1548000</v>
      </c>
      <c r="I164" s="19" t="n">
        <f aca="false">SUM(D164:H164)</f>
        <v>12096000</v>
      </c>
      <c r="J164" s="20" t="n">
        <f aca="false">$C$25</f>
        <v>31.4</v>
      </c>
      <c r="K164" s="19" t="n">
        <f aca="false">$F$8</f>
        <v>19500</v>
      </c>
      <c r="L164" s="19" t="n">
        <f aca="false">$C$8*$C$11+$D$8*$D$11+$E$8*$E$11+$K$164*$F$11</f>
        <v>152940</v>
      </c>
      <c r="M164" s="19" t="n">
        <f aca="false">$C$8*$C$12+$D$8*$D$12+$E$8*$E$12+$K$164*$F$12</f>
        <v>150650</v>
      </c>
      <c r="N164" s="11" t="n">
        <f aca="false">I164/L164</f>
        <v>79.0898391526089</v>
      </c>
      <c r="O164" s="11" t="n">
        <f aca="false">D164/$G$32</f>
        <v>810</v>
      </c>
      <c r="P164" s="11" t="n">
        <f aca="false">E164/$G$33</f>
        <v>334.333958724203</v>
      </c>
      <c r="Q164" s="11" t="n">
        <f aca="false">F164/M164</f>
        <v>27.6003982741454</v>
      </c>
      <c r="R164" s="11" t="n">
        <f aca="false">G164/$G$34</f>
        <v>1478.57142857143</v>
      </c>
      <c r="S164" s="11" t="n">
        <f aca="false">H164/$G$35</f>
        <v>92.9171668667467</v>
      </c>
      <c r="T164" s="20" t="n">
        <f aca="false">$C$10+$C$11*$J$164+$C$11*$N$164</f>
        <v>6.26469517457827</v>
      </c>
      <c r="U164" s="19" t="n">
        <f aca="false">$C$13*$O$164+$C$14*$P$164+$C$8*$C$12*$Q$164+$C$15*$R$164+$C$16*$S$164</f>
        <v>1634413.62428826</v>
      </c>
      <c r="V164" s="20" t="n">
        <f aca="false">$C$10+$C$11*$J$164+U164/$C$8</f>
        <v>4.7754668239396</v>
      </c>
      <c r="W164" s="19" t="n">
        <f aca="false">(T164-V164)*$C$8</f>
        <v>2755072.44868153</v>
      </c>
      <c r="X164" s="41" t="n">
        <f aca="false">(V164-T164)/T164</f>
        <v>-0.237717607822622</v>
      </c>
      <c r="Y164" s="20" t="n">
        <f aca="false">$D$10+$D$11*$J$164+$D$11*$N$164</f>
        <v>14.9503700274617</v>
      </c>
      <c r="Z164" s="19" t="n">
        <f aca="false">$D$13*$O$164+$D$14*$P$164+$D$8*$D$12*$Q$164+$D$15*$R$164+$D$16*$S$164</f>
        <v>2245574.91958829</v>
      </c>
      <c r="AA164" s="20" t="n">
        <f aca="false">$D$10+$D$11*$J$164+Z164/$D$8</f>
        <v>13.5555108118567</v>
      </c>
      <c r="AB164" s="19" t="n">
        <f aca="false">(Y164-AA164)*$D$8</f>
        <v>892709.897987234</v>
      </c>
      <c r="AC164" s="41" t="n">
        <f aca="false">(AA164-Y164)/Y164</f>
        <v>-0.0932993105216052</v>
      </c>
      <c r="AD164" s="20" t="n">
        <f aca="false">$E$10+$E$11*$J$164+$E$11*$N$164</f>
        <v>52.4651122008631</v>
      </c>
      <c r="AE164" s="19" t="n">
        <f aca="false">$E$13*$O$164+$E$14*$P$164+$E$8*$E$12*$Q$164+$E$15*$R$164+$E$16*$S$164</f>
        <v>3222160.06794763</v>
      </c>
      <c r="AF164" s="20" t="n">
        <f aca="false">$E$10+$E$11*$J$164+AE164/$E$8</f>
        <v>61.1854412537934</v>
      </c>
      <c r="AG164" s="19" t="n">
        <f aca="false">(AD164-AF164)*$E$8</f>
        <v>-1028998.82824578</v>
      </c>
      <c r="AH164" s="41" t="n">
        <f aca="false">(AF164-AD164)/AD164</f>
        <v>0.166211958521017</v>
      </c>
      <c r="AI164" s="20" t="n">
        <f aca="false">$F$10+$F$11*$J$164+$F$11*$N$164</f>
        <v>274.154352295018</v>
      </c>
      <c r="AJ164" s="19" t="n">
        <f aca="false">$F$13*$O$164+$F$14*$P$164+$K$164*$F$12*$Q$164+$F$15*$R$164+$F$16*$S$164</f>
        <v>4993851.38817583</v>
      </c>
      <c r="AK164" s="20" t="n">
        <f aca="false">$F$10+$F$11*$J$164+AJ164/$K$164</f>
        <v>408.450942983376</v>
      </c>
      <c r="AL164" s="19" t="n">
        <f aca="false">(AI164-AK164)*$K$164</f>
        <v>-2618783.51842299</v>
      </c>
      <c r="AM164" s="41" t="n">
        <f aca="false">(AK164-AI164)/AI164</f>
        <v>0.48985759140472</v>
      </c>
      <c r="AN164" s="19" t="n">
        <f aca="false">-(MIN(0,W164)+MIN(0,AB164)+MIN(0,AG164)+MIN(0,AL164))</f>
        <v>3647782.34666877</v>
      </c>
      <c r="AO164" s="19" t="n">
        <f aca="false">($C$8*$C$9+$D$8*$D$9+$E$8*$E$9+$K$164*$F$9)-($C$8*$C$10+$D$8*$D$10+$E$8*$E$10+$K$164*$F$10)-L164*J164-I164-$C$26</f>
        <v>8635184</v>
      </c>
      <c r="AP164" s="26" t="n">
        <f aca="false">AN164/AO164</f>
        <v>0.422432497867882</v>
      </c>
      <c r="AQ164" s="41" t="n">
        <f aca="false">MAX(ABS(X164),ABS(AC164),ABS(AH164),ABS(AM164))</f>
        <v>0.48985759140472</v>
      </c>
      <c r="AR164" s="3" t="str">
        <f aca="false">IF(ABS(X164)=AQ164,$C$7,IF(ABS(AC164)=AQ164,$D$7,IF(ABS(AH164)=AQ164,$E$7,$F$7)))</f>
        <v>Aerospace brackets</v>
      </c>
      <c r="AS164" s="41" t="n">
        <f aca="false">IF(ABS(X164)=AQ164,X164,IF(ABS(AC164)=AQ164,AC164,IF(ABS(AH164)=AQ164,AH164,AM164)))</f>
        <v>0.48985759140472</v>
      </c>
    </row>
    <row r="165" customFormat="false" ht="15" hidden="false" customHeight="false" outlineLevel="0" collapsed="false">
      <c r="B165" s="4" t="s">
        <v>222</v>
      </c>
      <c r="C165" s="20" t="n">
        <f aca="false">$B$110</f>
        <v>1</v>
      </c>
      <c r="D165" s="19" t="n">
        <f aca="false">$C$19*$C$165</f>
        <v>3510000</v>
      </c>
      <c r="E165" s="19" t="n">
        <f aca="false">$C$20*$C$165</f>
        <v>1980000</v>
      </c>
      <c r="F165" s="19" t="n">
        <f aca="false">$C$21*$C$165</f>
        <v>4620000</v>
      </c>
      <c r="G165" s="19" t="n">
        <f aca="false">$C$22*$C$165</f>
        <v>1610000</v>
      </c>
      <c r="H165" s="19" t="n">
        <f aca="false">$C$23*$C$165</f>
        <v>1720000</v>
      </c>
      <c r="I165" s="19" t="n">
        <f aca="false">SUM(D165:H165)</f>
        <v>13440000</v>
      </c>
      <c r="J165" s="20" t="n">
        <f aca="false">$C$25</f>
        <v>31.4</v>
      </c>
      <c r="K165" s="19" t="n">
        <f aca="false">$F$8</f>
        <v>19500</v>
      </c>
      <c r="L165" s="19" t="n">
        <f aca="false">$C$8*$C$11+$D$8*$D$11+$E$8*$E$11+$K$165*$F$11</f>
        <v>152940</v>
      </c>
      <c r="M165" s="19" t="n">
        <f aca="false">$C$8*$C$12+$D$8*$D$12+$E$8*$E$12+$K$165*$F$12</f>
        <v>150650</v>
      </c>
      <c r="N165" s="11" t="n">
        <f aca="false">I165/L165</f>
        <v>87.8775990584543</v>
      </c>
      <c r="O165" s="11" t="n">
        <f aca="false">D165/$G$32</f>
        <v>900</v>
      </c>
      <c r="P165" s="11" t="n">
        <f aca="false">E165/$G$33</f>
        <v>371.482176360225</v>
      </c>
      <c r="Q165" s="11" t="n">
        <f aca="false">F165/M165</f>
        <v>30.6671091934949</v>
      </c>
      <c r="R165" s="11" t="n">
        <f aca="false">G165/$G$34</f>
        <v>1642.85714285714</v>
      </c>
      <c r="S165" s="11" t="n">
        <f aca="false">H165/$G$35</f>
        <v>103.241296518607</v>
      </c>
      <c r="T165" s="20" t="n">
        <f aca="false">$C$10+$C$11*$J$165+$C$11*$N$165</f>
        <v>6.52832797175363</v>
      </c>
      <c r="U165" s="19" t="n">
        <f aca="false">$C$13*$O$165+$C$14*$P$165+$C$8*$C$12*$Q$165+$C$15*$R$165+$C$16*$S$165</f>
        <v>1816015.13809806</v>
      </c>
      <c r="V165" s="20" t="n">
        <f aca="false">$C$10+$C$11*$J$165+U165/$C$8</f>
        <v>4.87362980437733</v>
      </c>
      <c r="W165" s="19" t="n">
        <f aca="false">(T165-V165)*$C$8</f>
        <v>3061191.60964615</v>
      </c>
      <c r="X165" s="41" t="n">
        <f aca="false">(V165-T165)/T165</f>
        <v>-0.253464313456025</v>
      </c>
      <c r="Y165" s="20" t="n">
        <f aca="false">$D$10+$D$11*$J$165+$D$11*$N$165</f>
        <v>15.4952111416242</v>
      </c>
      <c r="Z165" s="19" t="n">
        <f aca="false">$D$13*$O$165+$D$14*$P$165+$D$8*$D$12*$Q$165+$D$15*$R$165+$D$16*$S$165</f>
        <v>2495083.24398698</v>
      </c>
      <c r="AA165" s="20" t="n">
        <f aca="false">$D$10+$D$11*$J$165+Z165/$D$8</f>
        <v>13.9453675687297</v>
      </c>
      <c r="AB165" s="19" t="n">
        <f aca="false">(Y165-AA165)*$D$8</f>
        <v>991899.886652482</v>
      </c>
      <c r="AC165" s="41" t="n">
        <f aca="false">(AA165-Y165)/Y165</f>
        <v>-0.100020810218663</v>
      </c>
      <c r="AD165" s="20" t="n">
        <f aca="false">$E$10+$E$11*$J$165+$E$11*$N$165</f>
        <v>54.5302357787368</v>
      </c>
      <c r="AE165" s="19" t="n">
        <f aca="false">$E$13*$O$165+$E$14*$P$165+$E$8*$E$12*$Q$165+$E$15*$R$165+$E$16*$S$165</f>
        <v>3580177.85327514</v>
      </c>
      <c r="AF165" s="20" t="n">
        <f aca="false">$E$10+$E$11*$J$165+AE165/$E$8</f>
        <v>64.2194902819927</v>
      </c>
      <c r="AG165" s="19" t="n">
        <f aca="false">(AD165-AF165)*$E$8</f>
        <v>-1143332.0313842</v>
      </c>
      <c r="AH165" s="41" t="n">
        <f aca="false">(AF165-AD165)/AD165</f>
        <v>0.177685908833611</v>
      </c>
      <c r="AI165" s="20" t="n">
        <f aca="false">$F$10+$F$11*$J$165+$F$11*$N$165</f>
        <v>287.68750255002</v>
      </c>
      <c r="AJ165" s="19" t="n">
        <f aca="false">$F$13*$O$165+$F$14*$P$165+$K$165*$F$12*$Q$165+$F$15*$R$165+$F$16*$S$165</f>
        <v>5548723.76463981</v>
      </c>
      <c r="AK165" s="20" t="n">
        <f aca="false">$F$10+$F$11*$J$165+AJ165/$K$165</f>
        <v>436.905936648196</v>
      </c>
      <c r="AL165" s="19" t="n">
        <f aca="false">(AI165-AK165)*$K$165</f>
        <v>-2909759.46491443</v>
      </c>
      <c r="AM165" s="41" t="n">
        <f aca="false">(AK165-AI165)/AI165</f>
        <v>0.518682364633589</v>
      </c>
      <c r="AN165" s="19" t="n">
        <f aca="false">-(MIN(0,W165)+MIN(0,AB165)+MIN(0,AG165)+MIN(0,AL165))</f>
        <v>4053091.49629863</v>
      </c>
      <c r="AO165" s="19" t="n">
        <f aca="false">($C$8*$C$9+$D$8*$D$9+$E$8*$E$9+$K$165*$F$9)-($C$8*$C$10+$D$8*$D$10+$E$8*$E$10+$K$165*$F$10)-L165*J165-I165-$C$26</f>
        <v>7291184</v>
      </c>
      <c r="AP165" s="26" t="n">
        <f aca="false">AN165/AO165</f>
        <v>0.555889344761925</v>
      </c>
      <c r="AQ165" s="41" t="n">
        <f aca="false">MAX(ABS(X165),ABS(AC165),ABS(AH165),ABS(AM165))</f>
        <v>0.518682364633589</v>
      </c>
      <c r="AR165" s="3" t="str">
        <f aca="false">IF(ABS(X165)=AQ165,$C$7,IF(ABS(AC165)=AQ165,$D$7,IF(ABS(AH165)=AQ165,$E$7,$F$7)))</f>
        <v>Aerospace brackets</v>
      </c>
      <c r="AS165" s="41" t="n">
        <f aca="false">IF(ABS(X165)=AQ165,X165,IF(ABS(AC165)=AQ165,AC165,IF(ABS(AH165)=AQ165,AH165,AM165)))</f>
        <v>0.518682364633589</v>
      </c>
    </row>
    <row r="166" customFormat="false" ht="15" hidden="false" customHeight="false" outlineLevel="0" collapsed="false">
      <c r="B166" s="4" t="s">
        <v>222</v>
      </c>
      <c r="C166" s="20" t="n">
        <f aca="false">$B$111</f>
        <v>1.15</v>
      </c>
      <c r="D166" s="19" t="n">
        <f aca="false">$C$19*$C$166</f>
        <v>4036500</v>
      </c>
      <c r="E166" s="19" t="n">
        <f aca="false">$C$20*$C$166</f>
        <v>2277000</v>
      </c>
      <c r="F166" s="19" t="n">
        <f aca="false">$C$21*$C$166</f>
        <v>5313000</v>
      </c>
      <c r="G166" s="19" t="n">
        <f aca="false">$C$22*$C$166</f>
        <v>1851500</v>
      </c>
      <c r="H166" s="19" t="n">
        <f aca="false">$C$23*$C$166</f>
        <v>1978000</v>
      </c>
      <c r="I166" s="19" t="n">
        <f aca="false">SUM(D166:H166)</f>
        <v>15456000</v>
      </c>
      <c r="J166" s="20" t="n">
        <f aca="false">$C$25</f>
        <v>31.4</v>
      </c>
      <c r="K166" s="19" t="n">
        <f aca="false">$F$8</f>
        <v>19500</v>
      </c>
      <c r="L166" s="19" t="n">
        <f aca="false">$C$8*$C$11+$D$8*$D$11+$E$8*$E$11+$K$166*$F$11</f>
        <v>152940</v>
      </c>
      <c r="M166" s="19" t="n">
        <f aca="false">$C$8*$C$12+$D$8*$D$12+$E$8*$E$12+$K$166*$F$12</f>
        <v>150650</v>
      </c>
      <c r="N166" s="11" t="n">
        <f aca="false">I166/L166</f>
        <v>101.059238917222</v>
      </c>
      <c r="O166" s="11" t="n">
        <f aca="false">D166/$G$32</f>
        <v>1035</v>
      </c>
      <c r="P166" s="11" t="n">
        <f aca="false">E166/$G$33</f>
        <v>427.204502814259</v>
      </c>
      <c r="Q166" s="11" t="n">
        <f aca="false">F166/M166</f>
        <v>35.2671755725191</v>
      </c>
      <c r="R166" s="11" t="n">
        <f aca="false">G166/$G$34</f>
        <v>1889.28571428571</v>
      </c>
      <c r="S166" s="11" t="n">
        <f aca="false">H166/$G$35</f>
        <v>118.727490996399</v>
      </c>
      <c r="T166" s="20" t="n">
        <f aca="false">$C$10+$C$11*$J$166+$C$11*$N$166</f>
        <v>6.92377716751667</v>
      </c>
      <c r="U166" s="19" t="n">
        <f aca="false">$C$13*$O$166+$C$14*$P$166+$C$8*$C$12*$Q$166+$C$15*$R$166+$C$16*$S$166</f>
        <v>2088417.40881277</v>
      </c>
      <c r="V166" s="20" t="n">
        <f aca="false">$C$10+$C$11*$J$166+U166/$C$8</f>
        <v>5.02087427503393</v>
      </c>
      <c r="W166" s="19" t="n">
        <f aca="false">(T166-V166)*$C$8</f>
        <v>3520370.35109307</v>
      </c>
      <c r="X166" s="41" t="n">
        <f aca="false">(V166-T166)/T166</f>
        <v>-0.274835952463971</v>
      </c>
      <c r="Y166" s="20" t="n">
        <f aca="false">$D$10+$D$11*$J$166+$D$11*$N$166</f>
        <v>16.3124728128678</v>
      </c>
      <c r="Z166" s="19" t="n">
        <f aca="false">$D$13*$O$166+$D$14*$P$166+$D$8*$D$12*$Q$166+$D$15*$R$166+$D$16*$S$166</f>
        <v>2869345.73058503</v>
      </c>
      <c r="AA166" s="20" t="n">
        <f aca="false">$D$10+$D$11*$J$166+Z166/$D$8</f>
        <v>14.5301527040391</v>
      </c>
      <c r="AB166" s="19" t="n">
        <f aca="false">(Y166-AA166)*$D$8</f>
        <v>1140684.86965035</v>
      </c>
      <c r="AC166" s="41" t="n">
        <f aca="false">(AA166-Y166)/Y166</f>
        <v>-0.109261184939584</v>
      </c>
      <c r="AD166" s="20" t="n">
        <f aca="false">$E$10+$E$11*$J$166+$E$11*$N$166</f>
        <v>57.6279211455473</v>
      </c>
      <c r="AE166" s="19" t="n">
        <f aca="false">$E$13*$O$166+$E$14*$P$166+$E$8*$E$12*$Q$166+$E$15*$R$166+$E$16*$S$166</f>
        <v>4117204.53126641</v>
      </c>
      <c r="AF166" s="20" t="n">
        <f aca="false">$E$10+$E$11*$J$166+AE166/$E$8</f>
        <v>68.7705638242916</v>
      </c>
      <c r="AG166" s="19" t="n">
        <f aca="false">(AD166-AF166)*$E$8</f>
        <v>-1314831.83609183</v>
      </c>
      <c r="AH166" s="41" t="n">
        <f aca="false">(AF166-AD166)/AD166</f>
        <v>0.19335493034014</v>
      </c>
      <c r="AI166" s="20" t="n">
        <f aca="false">$F$10+$F$11*$J$166+$F$11*$N$166</f>
        <v>307.987227932523</v>
      </c>
      <c r="AJ166" s="19" t="n">
        <f aca="false">$F$13*$O$166+$F$14*$P$166+$K$166*$F$12*$Q$166+$F$15*$R$166+$F$16*$S$166</f>
        <v>6381032.32933578</v>
      </c>
      <c r="AK166" s="20" t="n">
        <f aca="false">$F$10+$F$11*$J$166+AJ166/$K$166</f>
        <v>479.588427145425</v>
      </c>
      <c r="AL166" s="19" t="n">
        <f aca="false">(AI166-AK166)*$K$166</f>
        <v>-3346223.38465159</v>
      </c>
      <c r="AM166" s="41" t="n">
        <f aca="false">(AK166-AI166)/AI166</f>
        <v>0.557169855272371</v>
      </c>
      <c r="AN166" s="19" t="n">
        <f aca="false">-(MIN(0,W166)+MIN(0,AB166)+MIN(0,AG166)+MIN(0,AL166))</f>
        <v>4661055.22074343</v>
      </c>
      <c r="AO166" s="19" t="n">
        <f aca="false">($C$8*$C$9+$D$8*$D$9+$E$8*$E$9+$K$166*$F$9)-($C$8*$C$10+$D$8*$D$10+$E$8*$E$10+$K$166*$F$10)-L166*J166-I166-$C$26</f>
        <v>5275184</v>
      </c>
      <c r="AP166" s="26" t="n">
        <f aca="false">AN166/AO166</f>
        <v>0.883581543457712</v>
      </c>
      <c r="AQ166" s="41" t="n">
        <f aca="false">MAX(ABS(X166),ABS(AC166),ABS(AH166),ABS(AM166))</f>
        <v>0.557169855272371</v>
      </c>
      <c r="AR166" s="3" t="str">
        <f aca="false">IF(ABS(X166)=AQ166,$C$7,IF(ABS(AC166)=AQ166,$D$7,IF(ABS(AH166)=AQ166,$E$7,$F$7)))</f>
        <v>Aerospace brackets</v>
      </c>
      <c r="AS166" s="41" t="n">
        <f aca="false">IF(ABS(X166)=AQ166,X166,IF(ABS(AC166)=AQ166,AC166,IF(ABS(AH166)=AQ166,AH166,AM166)))</f>
        <v>0.557169855272371</v>
      </c>
    </row>
    <row r="167" customFormat="false" ht="15" hidden="false" customHeight="false" outlineLevel="0" collapsed="false">
      <c r="B167" s="4" t="s">
        <v>222</v>
      </c>
      <c r="C167" s="20" t="n">
        <f aca="false">$B$112</f>
        <v>1.35</v>
      </c>
      <c r="D167" s="19" t="n">
        <f aca="false">$C$19*$C$167</f>
        <v>4738500</v>
      </c>
      <c r="E167" s="19" t="n">
        <f aca="false">$C$20*$C$167</f>
        <v>2673000</v>
      </c>
      <c r="F167" s="19" t="n">
        <f aca="false">$C$21*$C$167</f>
        <v>6237000</v>
      </c>
      <c r="G167" s="19" t="n">
        <f aca="false">$C$22*$C$167</f>
        <v>2173500</v>
      </c>
      <c r="H167" s="19" t="n">
        <f aca="false">$C$23*$C$167</f>
        <v>2322000</v>
      </c>
      <c r="I167" s="19" t="n">
        <f aca="false">SUM(D167:H167)</f>
        <v>18144000</v>
      </c>
      <c r="J167" s="20" t="n">
        <f aca="false">$C$25</f>
        <v>31.4</v>
      </c>
      <c r="K167" s="19" t="n">
        <f aca="false">$F$8</f>
        <v>19500</v>
      </c>
      <c r="L167" s="19" t="n">
        <f aca="false">$C$8*$C$11+$D$8*$D$11+$E$8*$E$11+$K$167*$F$11</f>
        <v>152940</v>
      </c>
      <c r="M167" s="19" t="n">
        <f aca="false">$C$8*$C$12+$D$8*$D$12+$E$8*$E$12+$K$167*$F$12</f>
        <v>150650</v>
      </c>
      <c r="N167" s="11" t="n">
        <f aca="false">I167/L167</f>
        <v>118.634758728913</v>
      </c>
      <c r="O167" s="11" t="n">
        <f aca="false">D167/$G$32</f>
        <v>1215</v>
      </c>
      <c r="P167" s="11" t="n">
        <f aca="false">E167/$G$33</f>
        <v>501.500938086304</v>
      </c>
      <c r="Q167" s="11" t="n">
        <f aca="false">F167/M167</f>
        <v>41.4005974112181</v>
      </c>
      <c r="R167" s="11" t="n">
        <f aca="false">G167/$G$34</f>
        <v>2217.85714285714</v>
      </c>
      <c r="S167" s="11" t="n">
        <f aca="false">H167/$G$35</f>
        <v>139.37575030012</v>
      </c>
      <c r="T167" s="20" t="n">
        <f aca="false">$C$10+$C$11*$J$167+$C$11*$N$167</f>
        <v>7.4510427618674</v>
      </c>
      <c r="U167" s="19" t="n">
        <f aca="false">$C$13*$O$167+$C$14*$P$167+$C$8*$C$12*$Q$167+$C$15*$R$167+$C$16*$S$167</f>
        <v>2451620.43643239</v>
      </c>
      <c r="V167" s="20" t="n">
        <f aca="false">$C$10+$C$11*$J$167+U167/$C$8</f>
        <v>5.2172002359094</v>
      </c>
      <c r="W167" s="19" t="n">
        <f aca="false">(T167-V167)*$C$8</f>
        <v>4132608.6730223</v>
      </c>
      <c r="X167" s="41" t="n">
        <f aca="false">(V167-T167)/T167</f>
        <v>-0.299802671565684</v>
      </c>
      <c r="Y167" s="20" t="n">
        <f aca="false">$D$10+$D$11*$J$167+$D$11*$N$167</f>
        <v>17.4021550411926</v>
      </c>
      <c r="Z167" s="19" t="n">
        <f aca="false">$D$13*$O$167+$D$14*$P$167+$D$8*$D$12*$Q$167+$D$15*$R$167+$D$16*$S$167</f>
        <v>3368362.37938243</v>
      </c>
      <c r="AA167" s="20" t="n">
        <f aca="false">$D$10+$D$11*$J$167+Z167/$D$8</f>
        <v>15.309866217785</v>
      </c>
      <c r="AB167" s="19" t="n">
        <f aca="false">(Y167-AA167)*$D$8</f>
        <v>1339064.84698085</v>
      </c>
      <c r="AC167" s="41" t="n">
        <f aca="false">(AA167-Y167)/Y167</f>
        <v>-0.120231593067349</v>
      </c>
      <c r="AD167" s="20" t="n">
        <f aca="false">$E$10+$E$11*$J$167+$E$11*$N$167</f>
        <v>61.7581683012946</v>
      </c>
      <c r="AE167" s="19" t="n">
        <f aca="false">$E$13*$O$167+$E$14*$P$167+$E$8*$E$12*$Q$167+$E$15*$R$167+$E$16*$S$167</f>
        <v>4833240.10192144</v>
      </c>
      <c r="AF167" s="20" t="n">
        <f aca="false">$E$10+$E$11*$J$167+AE167/$E$8</f>
        <v>74.8386618806902</v>
      </c>
      <c r="AG167" s="19" t="n">
        <f aca="false">(AD167-AF167)*$E$8</f>
        <v>-1543498.24236868</v>
      </c>
      <c r="AH167" s="41" t="n">
        <f aca="false">(AF167-AD167)/AD167</f>
        <v>0.211801838350853</v>
      </c>
      <c r="AI167" s="20" t="n">
        <f aca="false">$F$10+$F$11*$J$167+$F$11*$N$167</f>
        <v>335.053528442527</v>
      </c>
      <c r="AJ167" s="19" t="n">
        <f aca="false">$F$13*$O$167+$F$14*$P$167+$K$167*$F$12*$Q$167+$F$15*$R$167+$F$16*$S$167</f>
        <v>7490777.08226375</v>
      </c>
      <c r="AK167" s="20" t="n">
        <f aca="false">$F$10+$F$11*$J$167+AJ167/$K$167</f>
        <v>536.498414475064</v>
      </c>
      <c r="AL167" s="19" t="n">
        <f aca="false">(AI167-AK167)*$K$167</f>
        <v>-3928175.27763448</v>
      </c>
      <c r="AM167" s="41" t="n">
        <f aca="false">(AK167-AI167)/AI167</f>
        <v>0.601231949321472</v>
      </c>
      <c r="AN167" s="19" t="n">
        <f aca="false">-(MIN(0,W167)+MIN(0,AB167)+MIN(0,AG167)+MIN(0,AL167))</f>
        <v>5471673.52000316</v>
      </c>
      <c r="AO167" s="19" t="n">
        <f aca="false">($C$8*$C$9+$D$8*$D$9+$E$8*$E$9+$K$167*$F$9)-($C$8*$C$10+$D$8*$D$10+$E$8*$E$10+$K$167*$F$10)-L167*J167-I167-$C$26</f>
        <v>2587184</v>
      </c>
      <c r="AP167" s="26" t="n">
        <f aca="false">AN167/AO167</f>
        <v>2.11491471808853</v>
      </c>
      <c r="AQ167" s="41" t="n">
        <f aca="false">MAX(ABS(X167),ABS(AC167),ABS(AH167),ABS(AM167))</f>
        <v>0.601231949321472</v>
      </c>
      <c r="AR167" s="3" t="str">
        <f aca="false">IF(ABS(X167)=AQ167,$C$7,IF(ABS(AC167)=AQ167,$D$7,IF(ABS(AH167)=AQ167,$E$7,$F$7)))</f>
        <v>Aerospace brackets</v>
      </c>
      <c r="AS167" s="41" t="n">
        <f aca="false">IF(ABS(X167)=AQ167,X167,IF(ABS(AC167)=AQ167,AC167,IF(ABS(AH167)=AQ167,AH167,AM167)))</f>
        <v>0.601231949321472</v>
      </c>
    </row>
    <row r="168" customFormat="false" ht="15" hidden="false" customHeight="false" outlineLevel="0" collapsed="false">
      <c r="B168" s="4" t="s">
        <v>224</v>
      </c>
      <c r="C168" s="20" t="n">
        <f aca="false">$B$118</f>
        <v>0.5</v>
      </c>
      <c r="D168" s="19" t="n">
        <f aca="false">$C$19</f>
        <v>3510000</v>
      </c>
      <c r="E168" s="19" t="n">
        <f aca="false">$C$20</f>
        <v>1980000</v>
      </c>
      <c r="F168" s="19" t="n">
        <f aca="false">$C$21</f>
        <v>4620000</v>
      </c>
      <c r="G168" s="19" t="n">
        <f aca="false">$C$22</f>
        <v>1610000</v>
      </c>
      <c r="H168" s="19" t="n">
        <f aca="false">$C$23</f>
        <v>1720000</v>
      </c>
      <c r="I168" s="19" t="n">
        <f aca="false">SUM(D168:H168)</f>
        <v>13440000</v>
      </c>
      <c r="J168" s="20" t="n">
        <f aca="false">$C$25</f>
        <v>31.4</v>
      </c>
      <c r="K168" s="19" t="n">
        <f aca="false">$F$8*$C$168</f>
        <v>9750</v>
      </c>
      <c r="L168" s="19" t="n">
        <f aca="false">$C$8*$C$11+$D$8*$D$11+$E$8*$E$11+$K$168*$F$11</f>
        <v>137925</v>
      </c>
      <c r="M168" s="19" t="n">
        <f aca="false">$C$8*$C$12+$D$8*$D$12+$E$8*$E$12+$K$168*$F$12</f>
        <v>131345</v>
      </c>
      <c r="N168" s="11" t="n">
        <f aca="false">I168/L168</f>
        <v>97.4442631865144</v>
      </c>
      <c r="O168" s="11" t="n">
        <f aca="false">D168/$G$32</f>
        <v>900</v>
      </c>
      <c r="P168" s="11" t="n">
        <f aca="false">E168/$G$33</f>
        <v>371.482176360225</v>
      </c>
      <c r="Q168" s="11" t="n">
        <f aca="false">F168/M168</f>
        <v>35.1745403327116</v>
      </c>
      <c r="R168" s="11" t="n">
        <f aca="false">G168/$G$34</f>
        <v>1642.85714285714</v>
      </c>
      <c r="S168" s="11" t="n">
        <f aca="false">H168/$G$35</f>
        <v>103.241296518607</v>
      </c>
      <c r="T168" s="20" t="n">
        <f aca="false">$C$10+$C$11*$J$168+$C$11*$N$168</f>
        <v>6.81532789559543</v>
      </c>
      <c r="U168" s="19" t="n">
        <f aca="false">$C$13*$O$168+$C$14*$P$168+$C$8*$C$12*$Q$168+$C$15*$R$168+$C$16*$S$168</f>
        <v>1999467.58546418</v>
      </c>
      <c r="V168" s="20" t="n">
        <f aca="false">$C$10+$C$11*$J$168+U168/$C$8</f>
        <v>4.9727932894401</v>
      </c>
      <c r="W168" s="19" t="n">
        <f aca="false">(T168-V168)*$C$8</f>
        <v>3408689.02138737</v>
      </c>
      <c r="X168" s="41" t="n">
        <f aca="false">(V168-T168)/T168</f>
        <v>-0.27035157139631</v>
      </c>
      <c r="Y168" s="20" t="n">
        <f aca="false">$D$10+$D$11*$J$168+$D$11*$N$168</f>
        <v>16.0883443175639</v>
      </c>
      <c r="Z168" s="19" t="n">
        <f aca="false">$D$13*$O$168+$D$14*$P$168+$D$8*$D$12*$Q$168+$D$15*$R$168+$D$16*$S$168</f>
        <v>2662399.08787471</v>
      </c>
      <c r="AA168" s="20" t="n">
        <f aca="false">$D$10+$D$11*$J$168+Z168/$D$8</f>
        <v>14.2067985748042</v>
      </c>
      <c r="AB168" s="19" t="n">
        <f aca="false">(Y168-AA168)*$D$8</f>
        <v>1204189.27536619</v>
      </c>
      <c r="AC168" s="41" t="n">
        <f aca="false">(AA168-Y168)/Y168</f>
        <v>-0.116950862414447</v>
      </c>
      <c r="AD168" s="20" t="n">
        <f aca="false">$E$10+$E$11*$J$168+$E$11*$N$168</f>
        <v>56.7784018488309</v>
      </c>
      <c r="AE168" s="19" t="n">
        <f aca="false">$E$13*$O$168+$E$14*$P$168+$E$8*$E$12*$Q$168+$E$15*$R$168+$E$16*$S$168</f>
        <v>3734422.14685914</v>
      </c>
      <c r="AF168" s="20" t="n">
        <f aca="false">$E$10+$E$11*$J$168+AE168/$E$8</f>
        <v>65.5266453123656</v>
      </c>
      <c r="AG168" s="19" t="n">
        <f aca="false">(AD168-AF168)*$E$8</f>
        <v>-1032292.72869709</v>
      </c>
      <c r="AH168" s="41" t="n">
        <f aca="false">(AF168-AD168)/AD168</f>
        <v>0.154076958467876</v>
      </c>
      <c r="AI168" s="20" t="n">
        <f aca="false">$F$10+$F$11*$J$168+$F$11*$N$168</f>
        <v>302.420165307232</v>
      </c>
      <c r="AJ168" s="19" t="n">
        <f aca="false">$F$13*$O$168+$F$14*$P$168+$K$168*$F$12*$Q$168+$F$15*$R$168+$F$16*$S$168</f>
        <v>5043711.17980197</v>
      </c>
      <c r="AK168" s="20" t="n">
        <f aca="false">$F$10+$F$11*$J$168+AJ168/$K$168</f>
        <v>669.65971074892</v>
      </c>
      <c r="AL168" s="19" t="n">
        <f aca="false">(AI168-AK168)*$K$168</f>
        <v>-3580585.56805646</v>
      </c>
      <c r="AM168" s="41" t="n">
        <f aca="false">(AK168-AI168)/AI168</f>
        <v>1.21433550923631</v>
      </c>
      <c r="AN168" s="19" t="n">
        <f aca="false">-(MIN(0,W168)+MIN(0,AB168)+MIN(0,AG168)+MIN(0,AL168))</f>
        <v>4612878.29675355</v>
      </c>
      <c r="AO168" s="19" t="n">
        <f aca="false">($C$8*$C$9+$D$8*$D$9+$E$8*$E$9+$K$168*$F$9)-($C$8*$C$10+$D$8*$D$10+$E$8*$E$10+$K$168*$F$10)-L168*J168-I168-$C$26</f>
        <v>5383655</v>
      </c>
      <c r="AP168" s="26" t="n">
        <f aca="false">AN168/AO168</f>
        <v>0.856830219758427</v>
      </c>
      <c r="AQ168" s="41" t="n">
        <f aca="false">MAX(ABS(X168),ABS(AC168),ABS(AH168),ABS(AM168))</f>
        <v>1.21433550923631</v>
      </c>
      <c r="AR168" s="3" t="str">
        <f aca="false">IF(ABS(X168)=AQ168,$C$7,IF(ABS(AC168)=AQ168,$D$7,IF(ABS(AH168)=AQ168,$E$7,$F$7)))</f>
        <v>Aerospace brackets</v>
      </c>
      <c r="AS168" s="41" t="n">
        <f aca="false">IF(ABS(X168)=AQ168,X168,IF(ABS(AC168)=AQ168,AC168,IF(ABS(AH168)=AQ168,AH168,AM168)))</f>
        <v>1.21433550923631</v>
      </c>
    </row>
    <row r="169" customFormat="false" ht="15" hidden="false" customHeight="false" outlineLevel="0" collapsed="false">
      <c r="B169" s="4" t="s">
        <v>224</v>
      </c>
      <c r="C169" s="20" t="n">
        <f aca="false">$B$119</f>
        <v>0.75</v>
      </c>
      <c r="D169" s="19" t="n">
        <f aca="false">$C$19</f>
        <v>3510000</v>
      </c>
      <c r="E169" s="19" t="n">
        <f aca="false">$C$20</f>
        <v>1980000</v>
      </c>
      <c r="F169" s="19" t="n">
        <f aca="false">$C$21</f>
        <v>4620000</v>
      </c>
      <c r="G169" s="19" t="n">
        <f aca="false">$C$22</f>
        <v>1610000</v>
      </c>
      <c r="H169" s="19" t="n">
        <f aca="false">$C$23</f>
        <v>1720000</v>
      </c>
      <c r="I169" s="19" t="n">
        <f aca="false">SUM(D169:H169)</f>
        <v>13440000</v>
      </c>
      <c r="J169" s="20" t="n">
        <f aca="false">$C$25</f>
        <v>31.4</v>
      </c>
      <c r="K169" s="19" t="n">
        <f aca="false">$F$8*$C$169</f>
        <v>14625</v>
      </c>
      <c r="L169" s="19" t="n">
        <f aca="false">$C$8*$C$11+$D$8*$D$11+$E$8*$E$11+$K$169*$F$11</f>
        <v>145432.5</v>
      </c>
      <c r="M169" s="19" t="n">
        <f aca="false">$C$8*$C$12+$D$8*$D$12+$E$8*$E$12+$K$169*$F$12</f>
        <v>140997.5</v>
      </c>
      <c r="N169" s="11" t="n">
        <f aca="false">I169/L169</f>
        <v>92.4140064978598</v>
      </c>
      <c r="O169" s="11" t="n">
        <f aca="false">D169/$G$32</f>
        <v>900</v>
      </c>
      <c r="P169" s="11" t="n">
        <f aca="false">E169/$G$33</f>
        <v>371.482176360225</v>
      </c>
      <c r="Q169" s="11" t="n">
        <f aca="false">F169/M169</f>
        <v>32.7665384138017</v>
      </c>
      <c r="R169" s="11" t="n">
        <f aca="false">G169/$G$34</f>
        <v>1642.85714285714</v>
      </c>
      <c r="S169" s="11" t="n">
        <f aca="false">H169/$G$35</f>
        <v>103.241296518607</v>
      </c>
      <c r="T169" s="20" t="n">
        <f aca="false">$C$10+$C$11*$J$169+$C$11*$N$169</f>
        <v>6.6644201949358</v>
      </c>
      <c r="U169" s="19" t="n">
        <f aca="false">$C$13*$O$169+$C$14*$P$169+$C$8*$C$12*$Q$169+$C$15*$R$169+$C$16*$S$169</f>
        <v>1901461.90736455</v>
      </c>
      <c r="V169" s="20" t="n">
        <f aca="false">$C$10+$C$11*$J$169+U169/$C$8</f>
        <v>4.91981724722408</v>
      </c>
      <c r="W169" s="19" t="n">
        <f aca="false">(T169-V169)*$C$8</f>
        <v>3227515.45326667</v>
      </c>
      <c r="X169" s="41" t="n">
        <f aca="false">(V169-T169)/T169</f>
        <v>-0.26177865390862</v>
      </c>
      <c r="Y169" s="20" t="n">
        <f aca="false">$D$10+$D$11*$J$169+$D$11*$N$169</f>
        <v>15.7764684028673</v>
      </c>
      <c r="Z169" s="19" t="n">
        <f aca="false">$D$13*$O$169+$D$14*$P$169+$D$8*$D$12*$Q$169+$D$15*$R$169+$D$16*$S$169</f>
        <v>2573014.05664477</v>
      </c>
      <c r="AA169" s="20" t="n">
        <f aca="false">$D$10+$D$11*$J$169+Z169/$D$8</f>
        <v>14.0671344635075</v>
      </c>
      <c r="AB169" s="19" t="n">
        <f aca="false">(Y169-AA169)*$D$8</f>
        <v>1093973.72119031</v>
      </c>
      <c r="AC169" s="41" t="n">
        <f aca="false">(AA169-Y169)/Y169</f>
        <v>-0.10834705814447</v>
      </c>
      <c r="AD169" s="20" t="n">
        <f aca="false">$E$10+$E$11*$J$169+$E$11*$N$169</f>
        <v>55.5962915269971</v>
      </c>
      <c r="AE169" s="19" t="n">
        <f aca="false">$E$13*$O$169+$E$14*$P$169+$E$8*$E$12*$Q$169+$E$15*$R$169+$E$16*$S$169</f>
        <v>3652020.32119404</v>
      </c>
      <c r="AF169" s="20" t="n">
        <f aca="false">$E$10+$E$11*$J$169+AE169/$E$8</f>
        <v>64.8283247558817</v>
      </c>
      <c r="AG169" s="19" t="n">
        <f aca="false">(AD169-AF169)*$E$8</f>
        <v>-1089379.92100839</v>
      </c>
      <c r="AH169" s="41" t="n">
        <f aca="false">(AF169-AD169)/AD169</f>
        <v>0.166054838826824</v>
      </c>
      <c r="AI169" s="20" t="n">
        <f aca="false">$F$10+$F$11*$J$169+$F$11*$N$169</f>
        <v>294.673570006704</v>
      </c>
      <c r="AJ169" s="19" t="n">
        <f aca="false">$F$13*$O$169+$F$14*$P$169+$K$169*$F$12*$Q$169+$F$15*$R$169+$F$16*$S$169</f>
        <v>5313503.71479664</v>
      </c>
      <c r="AK169" s="20" t="n">
        <f aca="false">$F$10+$F$11*$J$169+AJ169/$K$169</f>
        <v>515.672493319428</v>
      </c>
      <c r="AL169" s="19" t="n">
        <f aca="false">(AI169-AK169)*$K$169</f>
        <v>-3232109.25344859</v>
      </c>
      <c r="AM169" s="41" t="n">
        <f aca="false">(AK169-AI169)/AI169</f>
        <v>0.749978775862715</v>
      </c>
      <c r="AN169" s="19" t="n">
        <f aca="false">-(MIN(0,W169)+MIN(0,AB169)+MIN(0,AG169)+MIN(0,AL169))</f>
        <v>4321489.17445697</v>
      </c>
      <c r="AO169" s="19" t="n">
        <f aca="false">($C$8*$C$9+$D$8*$D$9+$E$8*$E$9+$K$169*$F$9)-($C$8*$C$10+$D$8*$D$10+$E$8*$E$10+$K$169*$F$10)-L169*J169-I169-$C$26</f>
        <v>6337419.5</v>
      </c>
      <c r="AP169" s="26" t="n">
        <f aca="false">AN169/AO169</f>
        <v>0.681900444566905</v>
      </c>
      <c r="AQ169" s="41" t="n">
        <f aca="false">MAX(ABS(X169),ABS(AC169),ABS(AH169),ABS(AM169))</f>
        <v>0.749978775862715</v>
      </c>
      <c r="AR169" s="3" t="str">
        <f aca="false">IF(ABS(X169)=AQ169,$C$7,IF(ABS(AC169)=AQ169,$D$7,IF(ABS(AH169)=AQ169,$E$7,$F$7)))</f>
        <v>Aerospace brackets</v>
      </c>
      <c r="AS169" s="41" t="n">
        <f aca="false">IF(ABS(X169)=AQ169,X169,IF(ABS(AC169)=AQ169,AC169,IF(ABS(AH169)=AQ169,AH169,AM169)))</f>
        <v>0.749978775862715</v>
      </c>
    </row>
    <row r="170" customFormat="false" ht="15" hidden="false" customHeight="false" outlineLevel="0" collapsed="false">
      <c r="B170" s="4" t="s">
        <v>224</v>
      </c>
      <c r="C170" s="20" t="n">
        <f aca="false">$B$120</f>
        <v>1</v>
      </c>
      <c r="D170" s="19" t="n">
        <f aca="false">$C$19</f>
        <v>3510000</v>
      </c>
      <c r="E170" s="19" t="n">
        <f aca="false">$C$20</f>
        <v>1980000</v>
      </c>
      <c r="F170" s="19" t="n">
        <f aca="false">$C$21</f>
        <v>4620000</v>
      </c>
      <c r="G170" s="19" t="n">
        <f aca="false">$C$22</f>
        <v>1610000</v>
      </c>
      <c r="H170" s="19" t="n">
        <f aca="false">$C$23</f>
        <v>1720000</v>
      </c>
      <c r="I170" s="19" t="n">
        <f aca="false">SUM(D170:H170)</f>
        <v>13440000</v>
      </c>
      <c r="J170" s="20" t="n">
        <f aca="false">$C$25</f>
        <v>31.4</v>
      </c>
      <c r="K170" s="19" t="n">
        <f aca="false">$F$8*$C$170</f>
        <v>19500</v>
      </c>
      <c r="L170" s="19" t="n">
        <f aca="false">$C$8*$C$11+$D$8*$D$11+$E$8*$E$11+$K$170*$F$11</f>
        <v>152940</v>
      </c>
      <c r="M170" s="19" t="n">
        <f aca="false">$C$8*$C$12+$D$8*$D$12+$E$8*$E$12+$K$170*$F$12</f>
        <v>150650</v>
      </c>
      <c r="N170" s="11" t="n">
        <f aca="false">I170/L170</f>
        <v>87.8775990584543</v>
      </c>
      <c r="O170" s="11" t="n">
        <f aca="false">D170/$G$32</f>
        <v>900</v>
      </c>
      <c r="P170" s="11" t="n">
        <f aca="false">E170/$G$33</f>
        <v>371.482176360225</v>
      </c>
      <c r="Q170" s="11" t="n">
        <f aca="false">F170/M170</f>
        <v>30.6671091934949</v>
      </c>
      <c r="R170" s="11" t="n">
        <f aca="false">G170/$G$34</f>
        <v>1642.85714285714</v>
      </c>
      <c r="S170" s="11" t="n">
        <f aca="false">H170/$G$35</f>
        <v>103.241296518607</v>
      </c>
      <c r="T170" s="20" t="n">
        <f aca="false">$C$10+$C$11*$J$170+$C$11*$N$170</f>
        <v>6.52832797175363</v>
      </c>
      <c r="U170" s="19" t="n">
        <f aca="false">$C$13*$O$170+$C$14*$P$170+$C$8*$C$12*$Q$170+$C$15*$R$170+$C$16*$S$170</f>
        <v>1816015.13809806</v>
      </c>
      <c r="V170" s="20" t="n">
        <f aca="false">$C$10+$C$11*$J$170+U170/$C$8</f>
        <v>4.87362980437733</v>
      </c>
      <c r="W170" s="19" t="n">
        <f aca="false">(T170-V170)*$C$8</f>
        <v>3061191.60964615</v>
      </c>
      <c r="X170" s="41" t="n">
        <f aca="false">(V170-T170)/T170</f>
        <v>-0.253464313456025</v>
      </c>
      <c r="Y170" s="20" t="n">
        <f aca="false">$D$10+$D$11*$J$170+$D$11*$N$170</f>
        <v>15.4952111416242</v>
      </c>
      <c r="Z170" s="19" t="n">
        <f aca="false">$D$13*$O$170+$D$14*$P$170+$D$8*$D$12*$Q$170+$D$15*$R$170+$D$16*$S$170</f>
        <v>2495083.24398698</v>
      </c>
      <c r="AA170" s="20" t="n">
        <f aca="false">$D$10+$D$11*$J$170+Z170/$D$8</f>
        <v>13.9453675687297</v>
      </c>
      <c r="AB170" s="19" t="n">
        <f aca="false">(Y170-AA170)*$D$8</f>
        <v>991899.886652482</v>
      </c>
      <c r="AC170" s="41" t="n">
        <f aca="false">(AA170-Y170)/Y170</f>
        <v>-0.100020810218663</v>
      </c>
      <c r="AD170" s="20" t="n">
        <f aca="false">$E$10+$E$11*$J$170+$E$11*$N$170</f>
        <v>54.5302357787368</v>
      </c>
      <c r="AE170" s="19" t="n">
        <f aca="false">$E$13*$O$170+$E$14*$P$170+$E$8*$E$12*$Q$170+$E$15*$R$170+$E$16*$S$170</f>
        <v>3580177.85327514</v>
      </c>
      <c r="AF170" s="20" t="n">
        <f aca="false">$E$10+$E$11*$J$170+AE170/$E$8</f>
        <v>64.2194902819927</v>
      </c>
      <c r="AG170" s="19" t="n">
        <f aca="false">(AD170-AF170)*$E$8</f>
        <v>-1143332.0313842</v>
      </c>
      <c r="AH170" s="41" t="n">
        <f aca="false">(AF170-AD170)/AD170</f>
        <v>0.177685908833611</v>
      </c>
      <c r="AI170" s="20" t="n">
        <f aca="false">$F$10+$F$11*$J$170+$F$11*$N$170</f>
        <v>287.68750255002</v>
      </c>
      <c r="AJ170" s="19" t="n">
        <f aca="false">$F$13*$O$170+$F$14*$P$170+$K$170*$F$12*$Q$170+$F$15*$R$170+$F$16*$S$170</f>
        <v>5548723.76463981</v>
      </c>
      <c r="AK170" s="20" t="n">
        <f aca="false">$F$10+$F$11*$J$170+AJ170/$K$170</f>
        <v>436.905936648196</v>
      </c>
      <c r="AL170" s="19" t="n">
        <f aca="false">(AI170-AK170)*$K$170</f>
        <v>-2909759.46491443</v>
      </c>
      <c r="AM170" s="41" t="n">
        <f aca="false">(AK170-AI170)/AI170</f>
        <v>0.518682364633589</v>
      </c>
      <c r="AN170" s="19" t="n">
        <f aca="false">-(MIN(0,W170)+MIN(0,AB170)+MIN(0,AG170)+MIN(0,AL170))</f>
        <v>4053091.49629863</v>
      </c>
      <c r="AO170" s="19" t="n">
        <f aca="false">($C$8*$C$9+$D$8*$D$9+$E$8*$E$9+$K$170*$F$9)-($C$8*$C$10+$D$8*$D$10+$E$8*$E$10+$K$170*$F$10)-L170*J170-I170-$C$26</f>
        <v>7291184</v>
      </c>
      <c r="AP170" s="26" t="n">
        <f aca="false">AN170/AO170</f>
        <v>0.555889344761925</v>
      </c>
      <c r="AQ170" s="41" t="n">
        <f aca="false">MAX(ABS(X170),ABS(AC170),ABS(AH170),ABS(AM170))</f>
        <v>0.518682364633589</v>
      </c>
      <c r="AR170" s="3" t="str">
        <f aca="false">IF(ABS(X170)=AQ170,$C$7,IF(ABS(AC170)=AQ170,$D$7,IF(ABS(AH170)=AQ170,$E$7,$F$7)))</f>
        <v>Aerospace brackets</v>
      </c>
      <c r="AS170" s="41" t="n">
        <f aca="false">IF(ABS(X170)=AQ170,X170,IF(ABS(AC170)=AQ170,AC170,IF(ABS(AH170)=AQ170,AH170,AM170)))</f>
        <v>0.518682364633589</v>
      </c>
    </row>
    <row r="171" customFormat="false" ht="15" hidden="false" customHeight="false" outlineLevel="0" collapsed="false">
      <c r="B171" s="4" t="s">
        <v>224</v>
      </c>
      <c r="C171" s="20" t="n">
        <f aca="false">$B$121</f>
        <v>1.5</v>
      </c>
      <c r="D171" s="19" t="n">
        <f aca="false">$C$19</f>
        <v>3510000</v>
      </c>
      <c r="E171" s="19" t="n">
        <f aca="false">$C$20</f>
        <v>1980000</v>
      </c>
      <c r="F171" s="19" t="n">
        <f aca="false">$C$21</f>
        <v>4620000</v>
      </c>
      <c r="G171" s="19" t="n">
        <f aca="false">$C$22</f>
        <v>1610000</v>
      </c>
      <c r="H171" s="19" t="n">
        <f aca="false">$C$23</f>
        <v>1720000</v>
      </c>
      <c r="I171" s="19" t="n">
        <f aca="false">SUM(D171:H171)</f>
        <v>13440000</v>
      </c>
      <c r="J171" s="20" t="n">
        <f aca="false">$C$25</f>
        <v>31.4</v>
      </c>
      <c r="K171" s="19" t="n">
        <f aca="false">$F$8*$C$171</f>
        <v>29250</v>
      </c>
      <c r="L171" s="19" t="n">
        <f aca="false">$C$8*$C$11+$D$8*$D$11+$E$8*$E$11+$K$171*$F$11</f>
        <v>167955</v>
      </c>
      <c r="M171" s="19" t="n">
        <f aca="false">$C$8*$C$12+$D$8*$D$12+$E$8*$E$12+$K$171*$F$12</f>
        <v>169955</v>
      </c>
      <c r="N171" s="11" t="n">
        <f aca="false">I171/L171</f>
        <v>80.0214343127624</v>
      </c>
      <c r="O171" s="11" t="n">
        <f aca="false">D171/$G$32</f>
        <v>900</v>
      </c>
      <c r="P171" s="11" t="n">
        <f aca="false">E171/$G$33</f>
        <v>371.482176360225</v>
      </c>
      <c r="Q171" s="11" t="n">
        <f aca="false">F171/M171</f>
        <v>27.1836662645995</v>
      </c>
      <c r="R171" s="11" t="n">
        <f aca="false">G171/$G$34</f>
        <v>1642.85714285714</v>
      </c>
      <c r="S171" s="11" t="n">
        <f aca="false">H171/$G$35</f>
        <v>103.241296518607</v>
      </c>
      <c r="T171" s="20" t="n">
        <f aca="false">$C$10+$C$11*$J$171+$C$11*$N$171</f>
        <v>6.29264302938287</v>
      </c>
      <c r="U171" s="19" t="n">
        <f aca="false">$C$13*$O$171+$C$14*$P$171+$C$8*$C$12*$Q$171+$C$15*$R$171+$C$16*$S$171</f>
        <v>1674239.01089202</v>
      </c>
      <c r="V171" s="20" t="n">
        <f aca="false">$C$10+$C$11*$J$171+U171/$C$8</f>
        <v>4.79699405994163</v>
      </c>
      <c r="W171" s="19" t="n">
        <f aca="false">(T171-V171)*$C$8</f>
        <v>2766950.59346629</v>
      </c>
      <c r="X171" s="41" t="n">
        <f aca="false">(V171-T171)/T171</f>
        <v>-0.237682157156771</v>
      </c>
      <c r="Y171" s="20" t="n">
        <f aca="false">$D$10+$D$11*$J$171+$D$11*$N$171</f>
        <v>15.0081289273913</v>
      </c>
      <c r="Z171" s="19" t="n">
        <f aca="false">$D$13*$O$171+$D$14*$P$171+$D$8*$D$12*$Q$171+$D$15*$R$171+$D$16*$S$171</f>
        <v>2365777.84246639</v>
      </c>
      <c r="AA171" s="20" t="n">
        <f aca="false">$D$10+$D$11*$J$171+Z171/$D$8</f>
        <v>13.7433278788537</v>
      </c>
      <c r="AB171" s="19" t="n">
        <f aca="false">(Y171-AA171)*$D$8</f>
        <v>809472.671064024</v>
      </c>
      <c r="AC171" s="41" t="n">
        <f aca="false">(AA171-Y171)/Y171</f>
        <v>-0.0842743992043642</v>
      </c>
      <c r="AD171" s="20" t="n">
        <f aca="false">$E$10+$E$11*$J$171+$E$11*$N$171</f>
        <v>52.6840370634992</v>
      </c>
      <c r="AE171" s="19" t="n">
        <f aca="false">$E$13*$O$171+$E$14*$P$171+$E$8*$E$12*$Q$171+$E$15*$R$171+$E$16*$S$171</f>
        <v>3460974.43624834</v>
      </c>
      <c r="AF171" s="20" t="n">
        <f aca="false">$E$10+$E$11*$J$171+AE171/$E$8</f>
        <v>63.2092918326131</v>
      </c>
      <c r="AG171" s="19" t="n">
        <f aca="false">(AD171-AF171)*$E$8</f>
        <v>-1241980.06275544</v>
      </c>
      <c r="AH171" s="41" t="n">
        <f aca="false">(AF171-AD171)/AD171</f>
        <v>0.199780718330829</v>
      </c>
      <c r="AI171" s="20" t="n">
        <f aca="false">$F$10+$F$11*$J$171+$F$11*$N$171</f>
        <v>275.589008841654</v>
      </c>
      <c r="AJ171" s="19" t="n">
        <f aca="false">$F$13*$O$171+$F$14*$P$171+$K$171*$F$12*$Q$171+$F$15*$R$171+$F$16*$S$171</f>
        <v>5939008.71039325</v>
      </c>
      <c r="AK171" s="20" t="n">
        <f aca="false">$F$10+$F$11*$J$171+AJ171/$K$171</f>
        <v>355.399032833957</v>
      </c>
      <c r="AL171" s="19" t="n">
        <f aca="false">(AI171-AK171)*$K$171</f>
        <v>-2334443.20177487</v>
      </c>
      <c r="AM171" s="41" t="n">
        <f aca="false">(AK171-AI171)/AI171</f>
        <v>0.289597993504015</v>
      </c>
      <c r="AN171" s="19" t="n">
        <f aca="false">-(MIN(0,W171)+MIN(0,AB171)+MIN(0,AG171)+MIN(0,AL171))</f>
        <v>3576423.26453031</v>
      </c>
      <c r="AO171" s="19" t="n">
        <f aca="false">($C$8*$C$9+$D$8*$D$9+$E$8*$E$9+$K$171*$F$9)-($C$8*$C$10+$D$8*$D$10+$E$8*$E$10+$K$171*$F$10)-L171*J171-I171-$C$26</f>
        <v>9198713</v>
      </c>
      <c r="AP171" s="26" t="n">
        <f aca="false">AN171/AO171</f>
        <v>0.38879604837441</v>
      </c>
      <c r="AQ171" s="41" t="n">
        <f aca="false">MAX(ABS(X171),ABS(AC171),ABS(AH171),ABS(AM171))</f>
        <v>0.289597993504015</v>
      </c>
      <c r="AR171" s="3" t="str">
        <f aca="false">IF(ABS(X171)=AQ171,$C$7,IF(ABS(AC171)=AQ171,$D$7,IF(ABS(AH171)=AQ171,$E$7,$F$7)))</f>
        <v>Aerospace brackets</v>
      </c>
      <c r="AS171" s="41" t="n">
        <f aca="false">IF(ABS(X171)=AQ171,X171,IF(ABS(AC171)=AQ171,AC171,IF(ABS(AH171)=AQ171,AH171,AM171)))</f>
        <v>0.289597993504015</v>
      </c>
    </row>
    <row r="172" customFormat="false" ht="15" hidden="false" customHeight="false" outlineLevel="0" collapsed="false">
      <c r="B172" s="4" t="s">
        <v>224</v>
      </c>
      <c r="C172" s="20" t="n">
        <f aca="false">$B$122</f>
        <v>2</v>
      </c>
      <c r="D172" s="19" t="n">
        <f aca="false">$C$19</f>
        <v>3510000</v>
      </c>
      <c r="E172" s="19" t="n">
        <f aca="false">$C$20</f>
        <v>1980000</v>
      </c>
      <c r="F172" s="19" t="n">
        <f aca="false">$C$21</f>
        <v>4620000</v>
      </c>
      <c r="G172" s="19" t="n">
        <f aca="false">$C$22</f>
        <v>1610000</v>
      </c>
      <c r="H172" s="19" t="n">
        <f aca="false">$C$23</f>
        <v>1720000</v>
      </c>
      <c r="I172" s="19" t="n">
        <f aca="false">SUM(D172:H172)</f>
        <v>13440000</v>
      </c>
      <c r="J172" s="20" t="n">
        <f aca="false">$C$25</f>
        <v>31.4</v>
      </c>
      <c r="K172" s="19" t="n">
        <f aca="false">$F$8*$C$172</f>
        <v>39000</v>
      </c>
      <c r="L172" s="19" t="n">
        <f aca="false">$C$8*$C$11+$D$8*$D$11+$E$8*$E$11+$K$172*$F$11</f>
        <v>182970</v>
      </c>
      <c r="M172" s="19" t="n">
        <f aca="false">$C$8*$C$12+$D$8*$D$12+$E$8*$E$12+$K$172*$F$12</f>
        <v>189260</v>
      </c>
      <c r="N172" s="11" t="n">
        <f aca="false">I172/L172</f>
        <v>73.454664699131</v>
      </c>
      <c r="O172" s="11" t="n">
        <f aca="false">D172/$G$32</f>
        <v>900</v>
      </c>
      <c r="P172" s="11" t="n">
        <f aca="false">E172/$G$33</f>
        <v>371.482176360225</v>
      </c>
      <c r="Q172" s="11" t="n">
        <f aca="false">F172/M172</f>
        <v>24.41086336257</v>
      </c>
      <c r="R172" s="11" t="n">
        <f aca="false">G172/$G$34</f>
        <v>1642.85714285714</v>
      </c>
      <c r="S172" s="11" t="n">
        <f aca="false">H172/$G$35</f>
        <v>103.241296518607</v>
      </c>
      <c r="T172" s="20" t="n">
        <f aca="false">$C$10+$C$11*$J$172+$C$11*$N$172</f>
        <v>6.09563994097393</v>
      </c>
      <c r="U172" s="19" t="n">
        <f aca="false">$C$13*$O$172+$C$14*$P$172+$C$8*$C$12*$Q$172+$C$15*$R$172+$C$16*$S$172</f>
        <v>1561385.93277942</v>
      </c>
      <c r="V172" s="20" t="n">
        <f aca="false">$C$10+$C$11*$J$172+U172/$C$8</f>
        <v>4.73599239609699</v>
      </c>
      <c r="W172" s="19" t="n">
        <f aca="false">(T172-V172)*$C$8</f>
        <v>2515347.95802235</v>
      </c>
      <c r="X172" s="41" t="n">
        <f aca="false">(V172-T172)/T172</f>
        <v>-0.223052469969167</v>
      </c>
      <c r="Y172" s="20" t="n">
        <f aca="false">$D$10+$D$11*$J$172+$D$11*$N$172</f>
        <v>14.6009892113461</v>
      </c>
      <c r="Z172" s="19" t="n">
        <f aca="false">$D$13*$O$172+$D$14*$P$172+$D$8*$D$12*$Q$172+$D$15*$R$172+$D$16*$S$172</f>
        <v>2262851.39874305</v>
      </c>
      <c r="AA172" s="20" t="n">
        <f aca="false">$D$10+$D$11*$J$172+Z172/$D$8</f>
        <v>13.582505310536</v>
      </c>
      <c r="AB172" s="19" t="n">
        <f aca="false">(Y172-AA172)*$D$8</f>
        <v>651829.696518464</v>
      </c>
      <c r="AC172" s="41" t="n">
        <f aca="false">(AA172-Y172)/Y172</f>
        <v>-0.0697544451316119</v>
      </c>
      <c r="AD172" s="20" t="n">
        <f aca="false">$E$10+$E$11*$J$172+$E$11*$N$172</f>
        <v>51.1408462042958</v>
      </c>
      <c r="AE172" s="19" t="n">
        <f aca="false">$E$13*$O$172+$E$14*$P$172+$E$8*$E$12*$Q$172+$E$15*$R$172+$E$16*$S$172</f>
        <v>3366089.12094089</v>
      </c>
      <c r="AF172" s="20" t="n">
        <f aca="false">$E$10+$E$11*$J$172+AE172/$E$8</f>
        <v>62.4051789910245</v>
      </c>
      <c r="AG172" s="19" t="n">
        <f aca="false">(AD172-AF172)*$E$8</f>
        <v>-1329191.26883399</v>
      </c>
      <c r="AH172" s="41" t="n">
        <f aca="false">(AF172-AD172)/AD172</f>
        <v>0.220260977726695</v>
      </c>
      <c r="AI172" s="20" t="n">
        <f aca="false">$F$10+$F$11*$J$172+$F$11*$N$172</f>
        <v>265.476183636662</v>
      </c>
      <c r="AJ172" s="19" t="n">
        <f aca="false">$F$13*$O$172+$F$14*$P$172+$K$172*$F$12*$Q$172+$F$15*$R$172+$F$16*$S$172</f>
        <v>6249673.54753663</v>
      </c>
      <c r="AK172" s="20" t="n">
        <f aca="false">$F$10+$F$11*$J$172+AJ172/$K$172</f>
        <v>312.604039680426</v>
      </c>
      <c r="AL172" s="19" t="n">
        <f aca="false">(AI172-AK172)*$K$172</f>
        <v>-1837986.38570682</v>
      </c>
      <c r="AM172" s="41" t="n">
        <f aca="false">(AK172-AI172)/AI172</f>
        <v>0.177521973527634</v>
      </c>
      <c r="AN172" s="19" t="n">
        <f aca="false">-(MIN(0,W172)+MIN(0,AB172)+MIN(0,AG172)+MIN(0,AL172))</f>
        <v>3167177.65454081</v>
      </c>
      <c r="AO172" s="19" t="n">
        <f aca="false">($C$8*$C$9+$D$8*$D$9+$E$8*$E$9+$K$172*$F$9)-($C$8*$C$10+$D$8*$D$10+$E$8*$E$10+$K$172*$F$10)-L172*J172-I172-$C$26</f>
        <v>11106242</v>
      </c>
      <c r="AP172" s="26" t="n">
        <f aca="false">AN172/AO172</f>
        <v>0.285170956525242</v>
      </c>
      <c r="AQ172" s="41" t="n">
        <f aca="false">MAX(ABS(X172),ABS(AC172),ABS(AH172),ABS(AM172))</f>
        <v>0.223052469969167</v>
      </c>
      <c r="AR172" s="3" t="str">
        <f aca="false">IF(ABS(X172)=AQ172,$C$7,IF(ABS(AC172)=AQ172,$D$7,IF(ABS(AH172)=AQ172,$E$7,$F$7)))</f>
        <v>Standard bushings</v>
      </c>
      <c r="AS172" s="41" t="n">
        <f aca="false">IF(ABS(X172)=AQ172,X172,IF(ABS(AC172)=AQ172,AC172,IF(ABS(AH172)=AQ172,AH172,AM172)))</f>
        <v>-0.223052469969167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AN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40" min="3" style="0" width="14"/>
  </cols>
  <sheetData>
    <row r="2" customFormat="false" ht="17.35" hidden="false" customHeight="false" outlineLevel="0" collapsed="false">
      <c r="B2" s="1" t="s">
        <v>279</v>
      </c>
    </row>
    <row r="3" customFormat="false" ht="15" hidden="false" customHeight="false" outlineLevel="0" collapsed="false">
      <c r="B3" s="3" t="s">
        <v>280</v>
      </c>
    </row>
    <row r="5" customFormat="false" ht="15" hidden="false" customHeight="false" outlineLevel="0" collapsed="false">
      <c r="B5" s="4" t="s">
        <v>281</v>
      </c>
    </row>
    <row r="7" customFormat="false" ht="15" hidden="false" customHeight="false" outlineLevel="0" collapsed="false">
      <c r="B7" s="6" t="s">
        <v>282</v>
      </c>
      <c r="C7" s="7"/>
      <c r="D7" s="7"/>
      <c r="E7" s="7"/>
      <c r="F7" s="7"/>
      <c r="G7" s="7"/>
      <c r="H7" s="7"/>
      <c r="I7" s="7"/>
      <c r="J7" s="7"/>
      <c r="K7" s="7"/>
      <c r="L7" s="7"/>
    </row>
    <row r="8" customFormat="false" ht="15" hidden="false" customHeight="false" outlineLevel="0" collapsed="false">
      <c r="B8" s="4" t="s">
        <v>283</v>
      </c>
    </row>
    <row r="9" customFormat="false" ht="15" hidden="false" customHeight="false" outlineLevel="0" collapsed="false">
      <c r="B9" s="4" t="s">
        <v>284</v>
      </c>
    </row>
    <row r="10" customFormat="false" ht="15" hidden="false" customHeight="false" outlineLevel="0" collapsed="false">
      <c r="B10" s="3" t="s">
        <v>285</v>
      </c>
      <c r="C10" s="14" t="n">
        <v>0.5</v>
      </c>
    </row>
    <row r="11" customFormat="false" ht="15" hidden="false" customHeight="false" outlineLevel="0" collapsed="false">
      <c r="B11" s="3" t="s">
        <v>286</v>
      </c>
      <c r="C11" s="14" t="n">
        <v>5.9</v>
      </c>
    </row>
    <row r="12" customFormat="false" ht="15" hidden="false" customHeight="false" outlineLevel="0" collapsed="false">
      <c r="B12" s="3" t="s">
        <v>287</v>
      </c>
      <c r="C12" s="14" t="n">
        <v>51</v>
      </c>
    </row>
    <row r="13" customFormat="false" ht="15" hidden="false" customHeight="false" outlineLevel="0" collapsed="false">
      <c r="B13" s="3" t="s">
        <v>288</v>
      </c>
      <c r="C13" s="14" t="n">
        <v>280</v>
      </c>
    </row>
    <row r="15" customFormat="false" ht="23.85" hidden="false" customHeight="false" outlineLevel="0" collapsed="false">
      <c r="B15" s="8" t="s">
        <v>289</v>
      </c>
      <c r="C15" s="8" t="s">
        <v>290</v>
      </c>
      <c r="D15" s="8" t="s">
        <v>291</v>
      </c>
      <c r="E15" s="8" t="s">
        <v>292</v>
      </c>
      <c r="F15" s="8" t="s">
        <v>293</v>
      </c>
      <c r="G15" s="8" t="s">
        <v>294</v>
      </c>
      <c r="H15" s="8" t="s">
        <v>295</v>
      </c>
      <c r="I15" s="8" t="s">
        <v>296</v>
      </c>
      <c r="J15" s="8" t="s">
        <v>297</v>
      </c>
      <c r="K15" s="8" t="s">
        <v>298</v>
      </c>
      <c r="L15" s="8" t="s">
        <v>299</v>
      </c>
    </row>
    <row r="16" customFormat="false" ht="15" hidden="false" customHeight="false" outlineLevel="0" collapsed="false">
      <c r="B16" s="14" t="n">
        <v>0.3</v>
      </c>
      <c r="C16" s="24" t="n">
        <f aca="false">($C$11-J16)*'Sensitivities, the data'!$C$8+($C$12-K16)*'Sensitivities, the data'!$E$8+($C$13-L16)*'Sensitivities, the data'!$F$8</f>
        <v>4738289.33473814</v>
      </c>
      <c r="D16" s="3" t="str">
        <f aca="false">IF($C$11&lt;J16,"buy","make")&amp;"/"&amp;IF($C$12&lt;K16,"buy","make")&amp;"/"&amp;IF($C$13&lt;L16,"buy","make")</f>
        <v>make/make/make</v>
      </c>
      <c r="E16" s="26" t="n">
        <f aca="false">MIN(1,'Cost Your Own Part'!$C$64*$B16/$C$10)</f>
        <v>0.54</v>
      </c>
      <c r="F16" s="26" t="n">
        <f aca="false">MIN(1,'Cost Your Own Part'!$C$65*$B16/$C$10)</f>
        <v>0.42</v>
      </c>
      <c r="G16" s="26" t="n">
        <f aca="false">MIN(1,'Cost Your Own Part'!$C$66*$B16/$C$10)</f>
        <v>0.21</v>
      </c>
      <c r="H16" s="26" t="n">
        <f aca="false">MIN(1,'Cost Your Own Part'!$C$67*$B16/$C$10)</f>
        <v>0.06</v>
      </c>
      <c r="I16" s="26" t="n">
        <f aca="false">MIN(1,'Cost Your Own Part'!$C$68*$B16/$C$10)</f>
        <v>0.3</v>
      </c>
      <c r="J16" s="20" t="n">
        <f aca="false">'Sensitivities, the data'!$C$10+'Sensitivities, the data'!$C$11*'Sensitivities, the data'!$C$25+('Sensitivities, the data'!$C$48*$E16+'Sensitivities, the data'!$C$49*$F16+'Sensitivities, the data'!$C$50*$G16+'Sensitivities, the data'!$C$51*$H16+'Sensitivities, the data'!$C$52*$I16)/'Sensitivities, the data'!$C$8</f>
        <v>4.17006310085877</v>
      </c>
      <c r="K16" s="20" t="n">
        <f aca="false">'Sensitivities, the data'!$E$10+'Sensitivities, the data'!$E$11*'Sensitivities, the data'!$C$25+('Sensitivities, the data'!$E$48*$E16+'Sensitivities, the data'!$E$49*$F16+'Sensitivities, the data'!$E$50*$G16+'Sensitivities, the data'!$E$51*$H16+'Sensitivities, the data'!$E$52*$I16)/'Sensitivities, the data'!$E$8</f>
        <v>44.2452317164319</v>
      </c>
      <c r="L16" s="20" t="n">
        <f aca="false">'Sensitivities, the data'!$F$10+'Sensitivities, the data'!$F$11*'Sensitivities, the data'!$C$25+('Sensitivities, the data'!$F$48*$E16+'Sensitivities, the data'!$F$49*$F16+'Sensitivities, the data'!$F$50*$G16+'Sensitivities, the data'!$F$51*$H16+'Sensitivities, the data'!$F$52*$I16)/'Sensitivities, the data'!$F$8</f>
        <v>242.008030058162</v>
      </c>
    </row>
    <row r="17" customFormat="false" ht="15" hidden="false" customHeight="false" outlineLevel="0" collapsed="false">
      <c r="B17" s="14" t="n">
        <v>0.4</v>
      </c>
      <c r="C17" s="24" t="n">
        <f aca="false">($C$11-J17)*'Sensitivities, the data'!$C$8+($C$12-K17)*'Sensitivities, the data'!$E$8+($C$13-L17)*'Sensitivities, the data'!$F$8</f>
        <v>3576340.44631752</v>
      </c>
      <c r="D17" s="3" t="str">
        <f aca="false">IF($C$11&lt;J17,"buy","make")&amp;"/"&amp;IF($C$12&lt;K17,"buy","make")&amp;"/"&amp;IF($C$13&lt;L17,"buy","make")</f>
        <v>make/make/make</v>
      </c>
      <c r="E17" s="26" t="n">
        <f aca="false">MIN(1,'Cost Your Own Part'!$C$64*$B17/$C$10)</f>
        <v>0.72</v>
      </c>
      <c r="F17" s="26" t="n">
        <f aca="false">MIN(1,'Cost Your Own Part'!$C$65*$B17/$C$10)</f>
        <v>0.56</v>
      </c>
      <c r="G17" s="26" t="n">
        <f aca="false">MIN(1,'Cost Your Own Part'!$C$66*$B17/$C$10)</f>
        <v>0.28</v>
      </c>
      <c r="H17" s="26" t="n">
        <f aca="false">MIN(1,'Cost Your Own Part'!$C$67*$B17/$C$10)</f>
        <v>0.08</v>
      </c>
      <c r="I17" s="26" t="n">
        <f aca="false">MIN(1,'Cost Your Own Part'!$C$68*$B17/$C$10)</f>
        <v>0.4</v>
      </c>
      <c r="J17" s="20" t="n">
        <f aca="false">'Sensitivities, the data'!$C$10+'Sensitivities, the data'!$C$11*'Sensitivities, the data'!$C$25+('Sensitivities, the data'!$C$48*$E17+'Sensitivities, the data'!$C$49*$F17+'Sensitivities, the data'!$C$50*$G17+'Sensitivities, the data'!$C$51*$H17+'Sensitivities, the data'!$C$52*$I17)/'Sensitivities, the data'!$C$8</f>
        <v>4.26275080114503</v>
      </c>
      <c r="K17" s="20" t="n">
        <f aca="false">'Sensitivities, the data'!$E$10+'Sensitivities, the data'!$E$11*'Sensitivities, the data'!$C$25+('Sensitivities, the data'!$E$48*$E17+'Sensitivities, the data'!$E$49*$F17+'Sensitivities, the data'!$E$50*$G17+'Sensitivities, the data'!$E$51*$H17+'Sensitivities, the data'!$E$52*$I17)/'Sensitivities, the data'!$E$8</f>
        <v>47.7006422885759</v>
      </c>
      <c r="L17" s="20" t="n">
        <f aca="false">'Sensitivities, the data'!$F$10+'Sensitivities, the data'!$F$11*'Sensitivities, the data'!$C$25+('Sensitivities, the data'!$F$48*$E17+'Sensitivities, the data'!$F$49*$F17+'Sensitivities, the data'!$F$50*$G17+'Sensitivities, the data'!$F$51*$H17+'Sensitivities, the data'!$F$52*$I17)/'Sensitivities, the data'!$F$8</f>
        <v>271.892040077549</v>
      </c>
    </row>
    <row r="18" customFormat="false" ht="15" hidden="false" customHeight="false" outlineLevel="0" collapsed="false">
      <c r="B18" s="34" t="n">
        <v>0.5</v>
      </c>
      <c r="C18" s="35" t="n">
        <f aca="false">($C$11-J18)*'Sensitivities, the data'!$C$8+($C$12-K18)*'Sensitivities, the data'!$E$8+($C$13-L18)*'Sensitivities, the data'!$F$8</f>
        <v>2414391.5578969</v>
      </c>
      <c r="D18" s="42" t="str">
        <f aca="false">IF($C$11&lt;J18,"buy","make")&amp;"/"&amp;IF($C$12&lt;K18,"buy","make")&amp;"/"&amp;IF($C$13&lt;L18,"buy","make")</f>
        <v>make/buy/buy</v>
      </c>
      <c r="E18" s="26" t="n">
        <f aca="false">MIN(1,'Cost Your Own Part'!$C$64*$B18/$C$10)</f>
        <v>0.9</v>
      </c>
      <c r="F18" s="26" t="n">
        <f aca="false">MIN(1,'Cost Your Own Part'!$C$65*$B18/$C$10)</f>
        <v>0.7</v>
      </c>
      <c r="G18" s="26" t="n">
        <f aca="false">MIN(1,'Cost Your Own Part'!$C$66*$B18/$C$10)</f>
        <v>0.35</v>
      </c>
      <c r="H18" s="26" t="n">
        <f aca="false">MIN(1,'Cost Your Own Part'!$C$67*$B18/$C$10)</f>
        <v>0.1</v>
      </c>
      <c r="I18" s="26" t="n">
        <f aca="false">MIN(1,'Cost Your Own Part'!$C$68*$B18/$C$10)</f>
        <v>0.5</v>
      </c>
      <c r="J18" s="20" t="n">
        <f aca="false">'Sensitivities, the data'!$C$10+'Sensitivities, the data'!$C$11*'Sensitivities, the data'!$C$25+('Sensitivities, the data'!$C$48*$E18+'Sensitivities, the data'!$C$49*$F18+'Sensitivities, the data'!$C$50*$G18+'Sensitivities, the data'!$C$51*$H18+'Sensitivities, the data'!$C$52*$I18)/'Sensitivities, the data'!$C$8</f>
        <v>4.35543850143129</v>
      </c>
      <c r="K18" s="20" t="n">
        <f aca="false">'Sensitivities, the data'!$E$10+'Sensitivities, the data'!$E$11*'Sensitivities, the data'!$C$25+('Sensitivities, the data'!$E$48*$E18+'Sensitivities, the data'!$E$49*$F18+'Sensitivities, the data'!$E$50*$G18+'Sensitivities, the data'!$E$51*$H18+'Sensitivities, the data'!$E$52*$I18)/'Sensitivities, the data'!$E$8</f>
        <v>51.1560528607199</v>
      </c>
      <c r="L18" s="20" t="n">
        <f aca="false">'Sensitivities, the data'!$F$10+'Sensitivities, the data'!$F$11*'Sensitivities, the data'!$C$25+('Sensitivities, the data'!$F$48*$E18+'Sensitivities, the data'!$F$49*$F18+'Sensitivities, the data'!$F$50*$G18+'Sensitivities, the data'!$F$51*$H18+'Sensitivities, the data'!$F$52*$I18)/'Sensitivities, the data'!$F$8</f>
        <v>301.776050096937</v>
      </c>
    </row>
    <row r="19" customFormat="false" ht="15" hidden="false" customHeight="false" outlineLevel="0" collapsed="false">
      <c r="B19" s="14" t="n">
        <v>0.6</v>
      </c>
      <c r="C19" s="24" t="n">
        <f aca="false">($C$11-J19)*'Sensitivities, the data'!$C$8+($C$12-K19)*'Sensitivities, the data'!$E$8+($C$13-L19)*'Sensitivities, the data'!$F$8</f>
        <v>1481402.66947628</v>
      </c>
      <c r="D19" s="3" t="str">
        <f aca="false">IF($C$11&lt;J19,"buy","make")&amp;"/"&amp;IF($C$12&lt;K19,"buy","make")&amp;"/"&amp;IF($C$13&lt;L19,"buy","make")</f>
        <v>make/buy/buy</v>
      </c>
      <c r="E19" s="26" t="n">
        <f aca="false">MIN(1,'Cost Your Own Part'!$C$64*$B19/$C$10)</f>
        <v>1</v>
      </c>
      <c r="F19" s="26" t="n">
        <f aca="false">MIN(1,'Cost Your Own Part'!$C$65*$B19/$C$10)</f>
        <v>0.84</v>
      </c>
      <c r="G19" s="26" t="n">
        <f aca="false">MIN(1,'Cost Your Own Part'!$C$66*$B19/$C$10)</f>
        <v>0.42</v>
      </c>
      <c r="H19" s="26" t="n">
        <f aca="false">MIN(1,'Cost Your Own Part'!$C$67*$B19/$C$10)</f>
        <v>0.12</v>
      </c>
      <c r="I19" s="26" t="n">
        <f aca="false">MIN(1,'Cost Your Own Part'!$C$68*$B19/$C$10)</f>
        <v>0.6</v>
      </c>
      <c r="J19" s="20" t="n">
        <f aca="false">'Sensitivities, the data'!$C$10+'Sensitivities, the data'!$C$11*'Sensitivities, the data'!$C$25+('Sensitivities, the data'!$C$48*$E19+'Sensitivities, the data'!$C$49*$F19+'Sensitivities, the data'!$C$50*$G19+'Sensitivities, the data'!$C$51*$H19+'Sensitivities, the data'!$C$52*$I19)/'Sensitivities, the data'!$C$8</f>
        <v>4.43606133685268</v>
      </c>
      <c r="K19" s="20" t="n">
        <f aca="false">'Sensitivities, the data'!$E$10+'Sensitivities, the data'!$E$11*'Sensitivities, the data'!$C$25+('Sensitivities, the data'!$E$48*$E19+'Sensitivities, the data'!$E$49*$F19+'Sensitivities, the data'!$E$50*$G19+'Sensitivities, the data'!$E$51*$H19+'Sensitivities, the data'!$E$52*$I19)/'Sensitivities, the data'!$E$8</f>
        <v>53.8914634328638</v>
      </c>
      <c r="L19" s="20" t="n">
        <f aca="false">'Sensitivities, the data'!$F$10+'Sensitivities, the data'!$F$11*'Sensitivities, the data'!$C$25+('Sensitivities, the data'!$F$48*$E19+'Sensitivities, the data'!$F$49*$F19+'Sensitivities, the data'!$F$50*$G19+'Sensitivities, the data'!$F$51*$H19+'Sensitivities, the data'!$F$52*$I19)/'Sensitivities, the data'!$F$8</f>
        <v>325.420060116324</v>
      </c>
    </row>
    <row r="20" customFormat="false" ht="15" hidden="false" customHeight="false" outlineLevel="0" collapsed="false">
      <c r="B20" s="14" t="n">
        <v>0.75</v>
      </c>
      <c r="C20" s="24" t="n">
        <f aca="false">($C$11-J20)*'Sensitivities, the data'!$C$8+($C$12-K20)*'Sensitivities, the data'!$E$8+($C$13-L20)*'Sensitivities, the data'!$F$8</f>
        <v>590716.522586444</v>
      </c>
      <c r="D20" s="3" t="str">
        <f aca="false">IF($C$11&lt;J20,"buy","make")&amp;"/"&amp;IF($C$12&lt;K20,"buy","make")&amp;"/"&amp;IF($C$13&lt;L20,"buy","make")</f>
        <v>make/buy/buy</v>
      </c>
      <c r="E20" s="26" t="n">
        <f aca="false">MIN(1,'Cost Your Own Part'!$C$64*$B20/$C$10)</f>
        <v>1</v>
      </c>
      <c r="F20" s="26" t="n">
        <f aca="false">MIN(1,'Cost Your Own Part'!$C$65*$B20/$C$10)</f>
        <v>1</v>
      </c>
      <c r="G20" s="26" t="n">
        <f aca="false">MIN(1,'Cost Your Own Part'!$C$66*$B20/$C$10)</f>
        <v>0.525</v>
      </c>
      <c r="H20" s="26" t="n">
        <f aca="false">MIN(1,'Cost Your Own Part'!$C$67*$B20/$C$10)</f>
        <v>0.15</v>
      </c>
      <c r="I20" s="26" t="n">
        <f aca="false">MIN(1,'Cost Your Own Part'!$C$68*$B20/$C$10)</f>
        <v>0.75</v>
      </c>
      <c r="J20" s="20" t="n">
        <f aca="false">'Sensitivities, the data'!$C$10+'Sensitivities, the data'!$C$11*'Sensitivities, the data'!$C$25+('Sensitivities, the data'!$C$48*$E20+'Sensitivities, the data'!$C$49*$F20+'Sensitivities, the data'!$C$50*$G20+'Sensitivities, the data'!$C$51*$H20+'Sensitivities, the data'!$C$52*$I20)/'Sensitivities, the data'!$C$8</f>
        <v>4.5297555413057</v>
      </c>
      <c r="K20" s="20" t="n">
        <f aca="false">'Sensitivities, the data'!$E$10+'Sensitivities, the data'!$E$11*'Sensitivities, the data'!$C$25+('Sensitivities, the data'!$E$48*$E20+'Sensitivities, the data'!$E$49*$F20+'Sensitivities, the data'!$E$50*$G20+'Sensitivities, the data'!$E$51*$H20+'Sensitivities, the data'!$E$52*$I20)/'Sensitivities, the data'!$E$8</f>
        <v>56.3864306600498</v>
      </c>
      <c r="L20" s="20" t="n">
        <f aca="false">'Sensitivities, the data'!$F$10+'Sensitivities, the data'!$F$11*'Sensitivities, the data'!$C$25+('Sensitivities, the data'!$F$48*$E20+'Sensitivities, the data'!$F$49*$F20+'Sensitivities, the data'!$F$50*$G20+'Sensitivities, the data'!$F$51*$H20+'Sensitivities, the data'!$F$52*$I20)/'Sensitivities, the data'!$F$8</f>
        <v>347.109585031392</v>
      </c>
    </row>
    <row r="21" customFormat="false" ht="15" hidden="false" customHeight="false" outlineLevel="0" collapsed="false">
      <c r="B21" s="12" t="s">
        <v>212</v>
      </c>
      <c r="C21" s="13" t="n">
        <f aca="false">MAX(C16:C20)-MIN(C16:C20)</f>
        <v>4147572.8121517</v>
      </c>
    </row>
    <row r="22" customFormat="false" ht="15" hidden="false" customHeight="false" outlineLevel="0" collapsed="false">
      <c r="B22" s="4" t="s">
        <v>300</v>
      </c>
    </row>
    <row r="23" customFormat="false" ht="15" hidden="false" customHeight="false" outlineLevel="0" collapsed="false">
      <c r="B23" s="4" t="s">
        <v>301</v>
      </c>
    </row>
    <row r="24" customFormat="false" ht="15" hidden="false" customHeight="false" outlineLevel="0" collapsed="false">
      <c r="B24" s="6" t="s">
        <v>302</v>
      </c>
      <c r="C24" s="7"/>
      <c r="D24" s="7"/>
      <c r="E24" s="7"/>
      <c r="F24" s="7"/>
      <c r="G24" s="7"/>
      <c r="H24" s="7"/>
      <c r="I24" s="7"/>
      <c r="J24" s="7"/>
      <c r="K24" s="7"/>
      <c r="L24" s="7"/>
    </row>
    <row r="25" customFormat="false" ht="15" hidden="false" customHeight="false" outlineLevel="0" collapsed="false">
      <c r="B25" s="4" t="s">
        <v>303</v>
      </c>
    </row>
    <row r="26" customFormat="false" ht="15" hidden="false" customHeight="false" outlineLevel="0" collapsed="false">
      <c r="B26" s="4" t="s">
        <v>304</v>
      </c>
    </row>
    <row r="28" customFormat="false" ht="23.85" hidden="false" customHeight="false" outlineLevel="0" collapsed="false">
      <c r="B28" s="8" t="s">
        <v>305</v>
      </c>
      <c r="C28" s="8" t="s">
        <v>306</v>
      </c>
      <c r="D28" s="8" t="s">
        <v>307</v>
      </c>
    </row>
    <row r="29" customFormat="false" ht="15" hidden="false" customHeight="false" outlineLevel="0" collapsed="false">
      <c r="B29" s="14" t="n">
        <v>0.5</v>
      </c>
      <c r="C29" s="24" t="n">
        <f aca="false">AN70</f>
        <v>499003.986213662</v>
      </c>
      <c r="D29" s="3" t="str">
        <f aca="false">IF(C29&lt;0,"revenue grew and profit fell","revenue grew and profit grew")</f>
        <v>revenue grew and profit grew</v>
      </c>
    </row>
    <row r="30" customFormat="false" ht="15" hidden="false" customHeight="false" outlineLevel="0" collapsed="false">
      <c r="B30" s="14" t="n">
        <v>0.65</v>
      </c>
      <c r="C30" s="24" t="n">
        <f aca="false">AN71</f>
        <v>13240.3233751692</v>
      </c>
      <c r="D30" s="3" t="str">
        <f aca="false">IF(C30&lt;0,"revenue grew and profit fell","revenue grew and profit grew")</f>
        <v>revenue grew and profit grew</v>
      </c>
    </row>
    <row r="31" customFormat="false" ht="15" hidden="false" customHeight="false" outlineLevel="0" collapsed="false">
      <c r="B31" s="34" t="n">
        <v>0.78</v>
      </c>
      <c r="C31" s="35" t="n">
        <f aca="false">AN72</f>
        <v>-431132.910871625</v>
      </c>
      <c r="D31" s="42" t="str">
        <f aca="false">IF(C31&lt;0,"revenue grew and profit fell","revenue grew and profit grew")</f>
        <v>revenue grew and profit fell</v>
      </c>
    </row>
    <row r="32" customFormat="false" ht="15" hidden="false" customHeight="false" outlineLevel="0" collapsed="false">
      <c r="B32" s="14" t="n">
        <v>0.9</v>
      </c>
      <c r="C32" s="24" t="n">
        <f aca="false">AN73</f>
        <v>-863653.362504438</v>
      </c>
      <c r="D32" s="3" t="str">
        <f aca="false">IF(C32&lt;0,"revenue grew and profit fell","revenue grew and profit grew")</f>
        <v>revenue grew and profit fell</v>
      </c>
    </row>
    <row r="33" customFormat="false" ht="15" hidden="false" customHeight="false" outlineLevel="0" collapsed="false">
      <c r="B33" s="14" t="n">
        <v>1</v>
      </c>
      <c r="C33" s="24" t="n">
        <f aca="false">AN74</f>
        <v>-1242641.04710924</v>
      </c>
      <c r="D33" s="3" t="str">
        <f aca="false">IF(C33&lt;0,"revenue grew and profit fell","revenue grew and profit grew")</f>
        <v>revenue grew and profit fell</v>
      </c>
    </row>
    <row r="34" customFormat="false" ht="15" hidden="false" customHeight="false" outlineLevel="0" collapsed="false">
      <c r="B34" s="12" t="s">
        <v>212</v>
      </c>
      <c r="C34" s="13" t="n">
        <f aca="false">MAX(C29:C33)-MIN(C29:C33)</f>
        <v>1741645.0333229</v>
      </c>
    </row>
    <row r="35" customFormat="false" ht="15" hidden="false" customHeight="false" outlineLevel="0" collapsed="false">
      <c r="B35" s="4" t="s">
        <v>308</v>
      </c>
    </row>
    <row r="36" customFormat="false" ht="15" hidden="false" customHeight="false" outlineLevel="0" collapsed="false">
      <c r="B36" s="4" t="s">
        <v>309</v>
      </c>
    </row>
    <row r="37" customFormat="false" ht="15" hidden="false" customHeight="false" outlineLevel="0" collapsed="false">
      <c r="B37" s="6" t="s">
        <v>310</v>
      </c>
      <c r="C37" s="7"/>
      <c r="D37" s="7"/>
      <c r="E37" s="7"/>
      <c r="F37" s="7"/>
      <c r="G37" s="7"/>
      <c r="H37" s="7"/>
      <c r="I37" s="7"/>
      <c r="J37" s="7"/>
      <c r="K37" s="7"/>
      <c r="L37" s="7"/>
    </row>
    <row r="38" customFormat="false" ht="15" hidden="false" customHeight="false" outlineLevel="0" collapsed="false">
      <c r="B38" s="4" t="s">
        <v>311</v>
      </c>
    </row>
    <row r="39" customFormat="false" ht="15" hidden="false" customHeight="false" outlineLevel="0" collapsed="false">
      <c r="B39" s="4" t="s">
        <v>312</v>
      </c>
    </row>
    <row r="41" customFormat="false" ht="35.05" hidden="false" customHeight="false" outlineLevel="0" collapsed="false">
      <c r="B41" s="8" t="s">
        <v>313</v>
      </c>
      <c r="C41" s="8" t="s">
        <v>314</v>
      </c>
      <c r="D41" s="8" t="s">
        <v>315</v>
      </c>
      <c r="E41" s="8" t="s">
        <v>316</v>
      </c>
      <c r="F41" s="8" t="s">
        <v>317</v>
      </c>
      <c r="G41" s="8" t="s">
        <v>318</v>
      </c>
    </row>
    <row r="42" customFormat="false" ht="15" hidden="false" customHeight="false" outlineLevel="0" collapsed="false">
      <c r="B42" s="14" t="n">
        <v>0.8</v>
      </c>
      <c r="C42" s="43" t="n">
        <f aca="false">('Sensitivities, the data'!$E$9-B42*G42)/(B42*'Sensitivities, the data'!$E$9)</f>
        <v>0.798364893155301</v>
      </c>
      <c r="D42" s="19" t="n">
        <f aca="false">'Sensitivities, the data'!$E$8*(1-B42*C42)</f>
        <v>42634.3540861396</v>
      </c>
      <c r="E42" s="26" t="n">
        <f aca="false">B42*C42</f>
        <v>0.638691914524241</v>
      </c>
      <c r="F42" s="20" t="n">
        <f aca="false">'Sensitivities, the data'!$E$10+'Sensitivities, the data'!$E$11*'Sensitivities, the data'!$C$25+'Sensitivities, the data'!$C$42*'Sensitivities, the data'!$E$12</f>
        <v>42.7724616661135</v>
      </c>
      <c r="G42" s="20" t="n">
        <f aca="false">'Sensitivities, the data'!$E$9-F42</f>
        <v>35.2275383338865</v>
      </c>
    </row>
    <row r="43" customFormat="false" ht="15" hidden="false" customHeight="false" outlineLevel="0" collapsed="false">
      <c r="B43" s="14" t="n">
        <v>1</v>
      </c>
      <c r="C43" s="43" t="n">
        <f aca="false">('Sensitivities, the data'!$E$9-B43*G43)/(B43*'Sensitivities, the data'!$E$9)</f>
        <v>0.548364893155301</v>
      </c>
      <c r="D43" s="19" t="n">
        <f aca="false">'Sensitivities, the data'!$E$8*(1-B43*C43)</f>
        <v>53292.9426076744</v>
      </c>
      <c r="E43" s="26" t="n">
        <f aca="false">B43*C43</f>
        <v>0.548364893155301</v>
      </c>
      <c r="F43" s="20" t="n">
        <f aca="false">'Sensitivities, the data'!$E$10+'Sensitivities, the data'!$E$11*'Sensitivities, the data'!$C$25+'Sensitivities, the data'!$C$42*'Sensitivities, the data'!$E$12</f>
        <v>42.7724616661135</v>
      </c>
      <c r="G43" s="20" t="n">
        <f aca="false">'Sensitivities, the data'!$E$9-F43</f>
        <v>35.2275383338865</v>
      </c>
    </row>
    <row r="44" customFormat="false" ht="15" hidden="false" customHeight="false" outlineLevel="0" collapsed="false">
      <c r="B44" s="34" t="n">
        <v>1.35</v>
      </c>
      <c r="C44" s="25" t="n">
        <f aca="false">('Sensitivities, the data'!$E$9-B44*G44)/(B44*'Sensitivities, the data'!$E$9)</f>
        <v>0.289105633896042</v>
      </c>
      <c r="D44" s="38" t="n">
        <f aca="false">'Sensitivities, the data'!$E$8*(1-B44*C44)</f>
        <v>71945.4725203605</v>
      </c>
      <c r="E44" s="36" t="n">
        <f aca="false">B44*C44</f>
        <v>0.390292605759657</v>
      </c>
      <c r="F44" s="44" t="n">
        <f aca="false">'Sensitivities, the data'!$E$10+'Sensitivities, the data'!$E$11*'Sensitivities, the data'!$C$25+'Sensitivities, the data'!$C$42*'Sensitivities, the data'!$E$12</f>
        <v>42.7724616661135</v>
      </c>
      <c r="G44" s="44" t="n">
        <f aca="false">'Sensitivities, the data'!$E$9-F44</f>
        <v>35.2275383338865</v>
      </c>
    </row>
    <row r="45" customFormat="false" ht="15" hidden="false" customHeight="false" outlineLevel="0" collapsed="false">
      <c r="B45" s="14" t="n">
        <v>1.7</v>
      </c>
      <c r="C45" s="43" t="n">
        <f aca="false">('Sensitivities, the data'!$E$9-B45*G45)/(B45*'Sensitivities, the data'!$E$9)</f>
        <v>0.136600187272948</v>
      </c>
      <c r="D45" s="19" t="n">
        <f aca="false">'Sensitivities, the data'!$E$8*(1-B45*C45)</f>
        <v>90598.0024330465</v>
      </c>
      <c r="E45" s="26" t="n">
        <f aca="false">B45*C45</f>
        <v>0.232220318364012</v>
      </c>
      <c r="F45" s="20" t="n">
        <f aca="false">'Sensitivities, the data'!$E$10+'Sensitivities, the data'!$E$11*'Sensitivities, the data'!$C$25+'Sensitivities, the data'!$C$42*'Sensitivities, the data'!$E$12</f>
        <v>42.7724616661135</v>
      </c>
      <c r="G45" s="20" t="n">
        <f aca="false">'Sensitivities, the data'!$E$9-F45</f>
        <v>35.2275383338865</v>
      </c>
    </row>
    <row r="46" customFormat="false" ht="15" hidden="false" customHeight="false" outlineLevel="0" collapsed="false">
      <c r="B46" s="14" t="n">
        <v>2</v>
      </c>
      <c r="C46" s="43" t="n">
        <f aca="false">('Sensitivities, the data'!$E$9-B46*G46)/(B46*'Sensitivities, the data'!$E$9)</f>
        <v>0.0483648931553014</v>
      </c>
      <c r="D46" s="19" t="n">
        <f aca="false">'Sensitivities, the data'!$E$8*(1-B46*C46)</f>
        <v>106585.885215349</v>
      </c>
      <c r="E46" s="26" t="n">
        <f aca="false">B46*C46</f>
        <v>0.0967297863106028</v>
      </c>
      <c r="F46" s="20" t="n">
        <f aca="false">'Sensitivities, the data'!$E$10+'Sensitivities, the data'!$E$11*'Sensitivities, the data'!$C$25+'Sensitivities, the data'!$C$42*'Sensitivities, the data'!$E$12</f>
        <v>42.7724616661135</v>
      </c>
      <c r="G46" s="20" t="n">
        <f aca="false">'Sensitivities, the data'!$E$9-F46</f>
        <v>35.2275383338865</v>
      </c>
    </row>
    <row r="47" customFormat="false" ht="15" hidden="false" customHeight="false" outlineLevel="0" collapsed="false">
      <c r="B47" s="12" t="s">
        <v>212</v>
      </c>
      <c r="C47" s="45" t="n">
        <f aca="false">MAX(C42:C46)-MIN(C42:C46)</f>
        <v>0.75</v>
      </c>
    </row>
    <row r="48" customFormat="false" ht="15" hidden="false" customHeight="false" outlineLevel="0" collapsed="false">
      <c r="B48" s="4" t="s">
        <v>319</v>
      </c>
    </row>
    <row r="49" customFormat="false" ht="15" hidden="false" customHeight="false" outlineLevel="0" collapsed="false">
      <c r="B49" s="4" t="s">
        <v>320</v>
      </c>
    </row>
    <row r="50" customFormat="false" ht="15" hidden="false" customHeight="false" outlineLevel="0" collapsed="false">
      <c r="B50" s="6" t="s">
        <v>321</v>
      </c>
      <c r="C50" s="7"/>
      <c r="D50" s="7"/>
      <c r="E50" s="7"/>
      <c r="F50" s="7"/>
      <c r="G50" s="7"/>
      <c r="H50" s="7"/>
      <c r="I50" s="7"/>
      <c r="J50" s="7"/>
      <c r="K50" s="7"/>
      <c r="L50" s="7"/>
    </row>
    <row r="51" customFormat="false" ht="15" hidden="false" customHeight="false" outlineLevel="0" collapsed="false">
      <c r="B51" s="4" t="s">
        <v>322</v>
      </c>
    </row>
    <row r="52" customFormat="false" ht="15" hidden="false" customHeight="false" outlineLevel="0" collapsed="false">
      <c r="B52" s="4" t="s">
        <v>323</v>
      </c>
    </row>
    <row r="53" customFormat="false" ht="15" hidden="false" customHeight="false" outlineLevel="0" collapsed="false">
      <c r="B53" s="4" t="s">
        <v>324</v>
      </c>
    </row>
    <row r="67" customFormat="false" ht="15" hidden="false" customHeight="false" outlineLevel="0" collapsed="false">
      <c r="B67" s="6" t="s">
        <v>325</v>
      </c>
      <c r="C67" s="7"/>
      <c r="D67" s="7"/>
      <c r="E67" s="7"/>
      <c r="F67" s="7"/>
      <c r="G67" s="7"/>
      <c r="H67" s="7"/>
      <c r="I67" s="7"/>
      <c r="J67" s="7"/>
      <c r="K67" s="7"/>
      <c r="L67" s="7"/>
    </row>
    <row r="68" customFormat="false" ht="15" hidden="false" customHeight="false" outlineLevel="0" collapsed="false">
      <c r="B68" s="4" t="s">
        <v>326</v>
      </c>
    </row>
    <row r="69" customFormat="false" ht="35.05" hidden="false" customHeight="false" outlineLevel="0" collapsed="false">
      <c r="B69" s="8" t="s">
        <v>327</v>
      </c>
      <c r="C69" s="8" t="s">
        <v>328</v>
      </c>
      <c r="D69" s="8" t="s">
        <v>329</v>
      </c>
      <c r="E69" s="8" t="s">
        <v>330</v>
      </c>
      <c r="F69" s="8" t="s">
        <v>331</v>
      </c>
      <c r="G69" s="8" t="s">
        <v>332</v>
      </c>
      <c r="H69" s="8" t="s">
        <v>333</v>
      </c>
      <c r="I69" s="8" t="s">
        <v>334</v>
      </c>
      <c r="J69" s="8" t="s">
        <v>335</v>
      </c>
      <c r="K69" s="8" t="s">
        <v>336</v>
      </c>
      <c r="L69" s="8" t="s">
        <v>337</v>
      </c>
      <c r="M69" s="8" t="s">
        <v>338</v>
      </c>
      <c r="N69" s="8" t="s">
        <v>339</v>
      </c>
      <c r="O69" s="8" t="s">
        <v>340</v>
      </c>
      <c r="P69" s="8" t="s">
        <v>341</v>
      </c>
      <c r="Q69" s="8" t="s">
        <v>342</v>
      </c>
      <c r="R69" s="8" t="s">
        <v>343</v>
      </c>
      <c r="S69" s="8" t="s">
        <v>344</v>
      </c>
      <c r="T69" s="8" t="s">
        <v>345</v>
      </c>
      <c r="U69" s="8" t="s">
        <v>346</v>
      </c>
      <c r="V69" s="8" t="s">
        <v>347</v>
      </c>
      <c r="W69" s="8" t="s">
        <v>348</v>
      </c>
      <c r="X69" s="8" t="s">
        <v>349</v>
      </c>
      <c r="Y69" s="8" t="s">
        <v>350</v>
      </c>
      <c r="Z69" s="8" t="s">
        <v>351</v>
      </c>
      <c r="AA69" s="8" t="s">
        <v>352</v>
      </c>
      <c r="AB69" s="8" t="s">
        <v>353</v>
      </c>
      <c r="AC69" s="8" t="s">
        <v>354</v>
      </c>
      <c r="AD69" s="8" t="s">
        <v>355</v>
      </c>
      <c r="AE69" s="8" t="s">
        <v>356</v>
      </c>
      <c r="AF69" s="8" t="s">
        <v>357</v>
      </c>
      <c r="AG69" s="8" t="s">
        <v>358</v>
      </c>
      <c r="AH69" s="8" t="s">
        <v>359</v>
      </c>
      <c r="AI69" s="8" t="s">
        <v>360</v>
      </c>
      <c r="AJ69" s="8" t="s">
        <v>361</v>
      </c>
      <c r="AK69" s="8" t="s">
        <v>362</v>
      </c>
      <c r="AN69" s="8" t="s">
        <v>363</v>
      </c>
    </row>
    <row r="70" customFormat="false" ht="15" hidden="false" customHeight="false" outlineLevel="0" collapsed="false">
      <c r="B70" s="20" t="n">
        <f aca="false">$B$29</f>
        <v>0.5</v>
      </c>
      <c r="C70" s="46" t="n">
        <f aca="false">POWER('Case B'!$C$15/'Case B'!$C$14,$B70)</f>
        <v>0.953939201416946</v>
      </c>
      <c r="D70" s="46" t="n">
        <f aca="false">POWER('Case B'!$D$15/'Case B'!$D$14,$B70)</f>
        <v>1.00498756211209</v>
      </c>
      <c r="E70" s="46" t="n">
        <f aca="false">POWER('Case B'!$E$15/'Case B'!$E$14,$B70)</f>
        <v>1.12249721603218</v>
      </c>
      <c r="F70" s="46" t="n">
        <f aca="false">POWER('Case B'!$F$15/'Case B'!$F$14,$B70)</f>
        <v>1.25698050899765</v>
      </c>
      <c r="G70" s="19" t="n">
        <f aca="false">IF(ABS(MOD(('Case B'!$C$18*C70),1)-0.5)&lt;0.000000001,2*ROUND(('Case B'!$C$18*C70)/2,0),ROUND(('Case B'!$C$18*C70),0))</f>
        <v>296</v>
      </c>
      <c r="H70" s="19" t="n">
        <f aca="false">IF(ABS(MOD(('Case B'!$D$18*D70),1)-0.5)&lt;0.000000001,2*ROUND(('Case B'!$D$18*D70)/2,0),ROUND(('Case B'!$D$18*D70),0))</f>
        <v>724</v>
      </c>
      <c r="I70" s="19" t="n">
        <f aca="false">IF(ABS(MOD(('Case B'!$E$18*E70),1)-0.5)&lt;0.000000001,2*ROUND(('Case B'!$E$18*E70)/2,0),ROUND(('Case B'!$E$18*E70),0))</f>
        <v>1325</v>
      </c>
      <c r="J70" s="19" t="n">
        <f aca="false">IF(ABS(MOD(('Case B'!$F$18*F70),1)-0.5)&lt;0.000000001,2*ROUND(('Case B'!$F$18*F70)/2,0),ROUND(('Case B'!$F$18*F70),0))</f>
        <v>2124</v>
      </c>
      <c r="K70" s="19" t="n">
        <f aca="false">IF(ABS(MOD(('Case B'!$C$20*C70),1)-0.5)&lt;0.000000001,2*ROUND(('Case B'!$C$20*C70)/2,0),ROUND(('Case B'!$C$20*C70),0))</f>
        <v>439</v>
      </c>
      <c r="L70" s="19" t="n">
        <f aca="false">IF(ABS(MOD(('Case B'!$D$20*D70),1)-0.5)&lt;0.000000001,2*ROUND(('Case B'!$D$20*D70)/2,0),ROUND(('Case B'!$D$20*D70),0))</f>
        <v>1055</v>
      </c>
      <c r="M70" s="19" t="n">
        <f aca="false">IF(ABS(MOD(('Case B'!$E$20*E70),1)-0.5)&lt;0.000000001,2*ROUND(('Case B'!$E$20*E70)/2,0),ROUND(('Case B'!$E$20*E70),0))</f>
        <v>1841</v>
      </c>
      <c r="N70" s="19" t="n">
        <f aca="false">IF(ABS(MOD(('Case B'!$F$20*F70),1)-0.5)&lt;0.000000001,2*ROUND(('Case B'!$F$20*F70)/2,0),ROUND(('Case B'!$F$20*F70),0))</f>
        <v>2740</v>
      </c>
      <c r="O70" s="19" t="n">
        <f aca="false">IF(ABS(MOD(('Case B'!$C$22*C70),1)-0.5)&lt;0.000000001,2*ROUND(('Case B'!$C$22*C70)/2,0),ROUND(('Case B'!$C$22*C70),0))</f>
        <v>13</v>
      </c>
      <c r="P70" s="19" t="n">
        <f aca="false">IF(ABS(MOD(('Case B'!$D$22*D70),1)-0.5)&lt;0.000000001,2*ROUND(('Case B'!$D$22*D70)/2,0),ROUND(('Case B'!$D$22*D70),0))</f>
        <v>62</v>
      </c>
      <c r="Q70" s="19" t="n">
        <f aca="false">IF(ABS(MOD(('Case B'!$E$22*E70),1)-0.5)&lt;0.000000001,2*ROUND(('Case B'!$E$22*E70)/2,0),ROUND(('Case B'!$E$22*E70),0))</f>
        <v>240</v>
      </c>
      <c r="R70" s="19" t="n">
        <f aca="false">IF(ABS(MOD(('Case B'!$F$22*F70),1)-0.5)&lt;0.000000001,2*ROUND(('Case B'!$F$22*F70)/2,0),ROUND(('Case B'!$F$22*F70),0))</f>
        <v>867</v>
      </c>
      <c r="S70" s="19" t="n">
        <f aca="false">IF(ABS(MOD(('Case B'!$C$24*C70),1)-0.5)&lt;0.000000001,2*ROUND(('Case B'!$C$24*C70)/2,0),ROUND(('Case B'!$C$24*C70),0))</f>
        <v>878</v>
      </c>
      <c r="T70" s="19" t="n">
        <f aca="false">IF(ABS(MOD(('Case B'!$D$24*D70),1)-0.5)&lt;0.000000001,2*ROUND(('Case B'!$D$24*D70)/2,0),ROUND(('Case B'!$D$24*D70),0))</f>
        <v>2110</v>
      </c>
      <c r="U70" s="19" t="n">
        <f aca="false">IF(ABS(MOD(('Case B'!$E$24*E70),1)-0.5)&lt;0.000000001,2*ROUND(('Case B'!$E$24*E70)/2,0),ROUND(('Case B'!$E$24*E70),0))</f>
        <v>5523</v>
      </c>
      <c r="V70" s="19" t="n">
        <f aca="false">IF(ABS(MOD(('Case B'!$F$24*F70),1)-0.5)&lt;0.000000001,2*ROUND(('Case B'!$F$24*F70)/2,0),ROUND(('Case B'!$F$24*F70),0))</f>
        <v>10961</v>
      </c>
      <c r="W70" s="19" t="n">
        <f aca="false">SUM(G70:J70)</f>
        <v>4469</v>
      </c>
      <c r="X70" s="19" t="n">
        <f aca="false">SUM(K70:N70)</f>
        <v>6075</v>
      </c>
      <c r="Y70" s="19" t="n">
        <f aca="false">SUM(O70:R70)</f>
        <v>1182</v>
      </c>
      <c r="Z70" s="19" t="n">
        <f aca="false">SUM(S70:V70)</f>
        <v>19472</v>
      </c>
      <c r="AA70" s="19" t="n">
        <f aca="false">'Sensitivities, the data'!$C$19*W70/'Sensitivities, the data'!$G$32</f>
        <v>4022100</v>
      </c>
      <c r="AB70" s="19" t="n">
        <f aca="false">'Sensitivities, the data'!$C$20*X70/'Sensitivities, the data'!$G$33</f>
        <v>2256754.22138837</v>
      </c>
      <c r="AC70" s="19" t="n">
        <f aca="false">'Sensitivities, the data'!$C$21*'Case B'!$G$27/'Case B'!$G$26</f>
        <v>5478654.5237305</v>
      </c>
      <c r="AD70" s="19" t="n">
        <f aca="false">'Sensitivities, the data'!$C$22*Y70/'Sensitivities, the data'!$G$34</f>
        <v>1941857.14285714</v>
      </c>
      <c r="AE70" s="19" t="n">
        <f aca="false">'Sensitivities, the data'!$C$23*Z70/'Sensitivities, the data'!$G$35</f>
        <v>2010314.52581032</v>
      </c>
      <c r="AF70" s="19" t="n">
        <f aca="false">SUM(AA70:AE70)</f>
        <v>15709680.4137863</v>
      </c>
      <c r="AG70" s="19" t="n">
        <f aca="false">'Case B'!$G$30</f>
        <v>52997520</v>
      </c>
      <c r="AH70" s="19" t="n">
        <f aca="false">'Case B'!$G$31</f>
        <v>17346425</v>
      </c>
      <c r="AI70" s="19" t="n">
        <f aca="false">'Case B'!$G$29*'Sensitivities, the data'!$C$25</f>
        <v>5431226.6</v>
      </c>
      <c r="AJ70" s="19" t="n">
        <f aca="false">AG70-AH70-AI70-AF70-'Sensitivities, the data'!$C$26</f>
        <v>7790187.98621366</v>
      </c>
      <c r="AK70" s="19" t="n">
        <f aca="false">'Sensitivities, the data'!$G$36-'Sensitivities, the data'!$G$37-'Sensitivities, the data'!$G$30*'Sensitivities, the data'!$C$25-'Sensitivities, the data'!$C$24-'Sensitivities, the data'!$C$26</f>
        <v>7291184</v>
      </c>
      <c r="AN70" s="24" t="n">
        <f aca="false">AJ70-AK70</f>
        <v>499003.986213662</v>
      </c>
    </row>
    <row r="71" customFormat="false" ht="15" hidden="false" customHeight="false" outlineLevel="0" collapsed="false">
      <c r="B71" s="20" t="n">
        <f aca="false">$B$30</f>
        <v>0.65</v>
      </c>
      <c r="C71" s="46" t="n">
        <f aca="false">POWER('Case B'!$C$15/'Case B'!$C$14,$B71)</f>
        <v>0.94053920893123</v>
      </c>
      <c r="D71" s="46" t="n">
        <f aca="false">POWER('Case B'!$D$15/'Case B'!$D$14,$B71)</f>
        <v>1.00648867588877</v>
      </c>
      <c r="E71" s="46" t="n">
        <f aca="false">POWER('Case B'!$E$15/'Case B'!$E$14,$B71)</f>
        <v>1.16209291746311</v>
      </c>
      <c r="F71" s="46" t="n">
        <f aca="false">POWER('Case B'!$F$15/'Case B'!$F$14,$B71)</f>
        <v>1.34625430947001</v>
      </c>
      <c r="G71" s="19" t="n">
        <f aca="false">IF(ABS(MOD(('Case B'!$C$18*C71),1)-0.5)&lt;0.000000001,2*ROUND(('Case B'!$C$18*C71)/2,0),ROUND(('Case B'!$C$18*C71),0))</f>
        <v>292</v>
      </c>
      <c r="H71" s="19" t="n">
        <f aca="false">IF(ABS(MOD(('Case B'!$D$18*D71),1)-0.5)&lt;0.000000001,2*ROUND(('Case B'!$D$18*D71)/2,0),ROUND(('Case B'!$D$18*D71),0))</f>
        <v>725</v>
      </c>
      <c r="I71" s="19" t="n">
        <f aca="false">IF(ABS(MOD(('Case B'!$E$18*E71),1)-0.5)&lt;0.000000001,2*ROUND(('Case B'!$E$18*E71)/2,0),ROUND(('Case B'!$E$18*E71),0))</f>
        <v>1371</v>
      </c>
      <c r="J71" s="19" t="n">
        <f aca="false">IF(ABS(MOD(('Case B'!$F$18*F71),1)-0.5)&lt;0.000000001,2*ROUND(('Case B'!$F$18*F71)/2,0),ROUND(('Case B'!$F$18*F71),0))</f>
        <v>2275</v>
      </c>
      <c r="K71" s="19" t="n">
        <f aca="false">IF(ABS(MOD(('Case B'!$C$20*C71),1)-0.5)&lt;0.000000001,2*ROUND(('Case B'!$C$20*C71)/2,0),ROUND(('Case B'!$C$20*C71),0))</f>
        <v>433</v>
      </c>
      <c r="L71" s="19" t="n">
        <f aca="false">IF(ABS(MOD(('Case B'!$D$20*D71),1)-0.5)&lt;0.000000001,2*ROUND(('Case B'!$D$20*D71)/2,0),ROUND(('Case B'!$D$20*D71),0))</f>
        <v>1057</v>
      </c>
      <c r="M71" s="19" t="n">
        <f aca="false">IF(ABS(MOD(('Case B'!$E$20*E71),1)-0.5)&lt;0.000000001,2*ROUND(('Case B'!$E$20*E71)/2,0),ROUND(('Case B'!$E$20*E71),0))</f>
        <v>1906</v>
      </c>
      <c r="N71" s="19" t="n">
        <f aca="false">IF(ABS(MOD(('Case B'!$F$20*F71),1)-0.5)&lt;0.000000001,2*ROUND(('Case B'!$F$20*F71)/2,0),ROUND(('Case B'!$F$20*F71),0))</f>
        <v>2935</v>
      </c>
      <c r="O71" s="19" t="n">
        <f aca="false">IF(ABS(MOD(('Case B'!$C$22*C71),1)-0.5)&lt;0.000000001,2*ROUND(('Case B'!$C$22*C71)/2,0),ROUND(('Case B'!$C$22*C71),0))</f>
        <v>13</v>
      </c>
      <c r="P71" s="19" t="n">
        <f aca="false">IF(ABS(MOD(('Case B'!$D$22*D71),1)-0.5)&lt;0.000000001,2*ROUND(('Case B'!$D$22*D71)/2,0),ROUND(('Case B'!$D$22*D71),0))</f>
        <v>62</v>
      </c>
      <c r="Q71" s="19" t="n">
        <f aca="false">IF(ABS(MOD(('Case B'!$E$22*E71),1)-0.5)&lt;0.000000001,2*ROUND(('Case B'!$E$22*E71)/2,0),ROUND(('Case B'!$E$22*E71),0))</f>
        <v>249</v>
      </c>
      <c r="R71" s="19" t="n">
        <f aca="false">IF(ABS(MOD(('Case B'!$F$22*F71),1)-0.5)&lt;0.000000001,2*ROUND(('Case B'!$F$22*F71)/2,0),ROUND(('Case B'!$F$22*F71),0))</f>
        <v>929</v>
      </c>
      <c r="S71" s="19" t="n">
        <f aca="false">IF(ABS(MOD(('Case B'!$C$24*C71),1)-0.5)&lt;0.000000001,2*ROUND(('Case B'!$C$24*C71)/2,0),ROUND(('Case B'!$C$24*C71),0))</f>
        <v>865</v>
      </c>
      <c r="T71" s="19" t="n">
        <f aca="false">IF(ABS(MOD(('Case B'!$D$24*D71),1)-0.5)&lt;0.000000001,2*ROUND(('Case B'!$D$24*D71)/2,0),ROUND(('Case B'!$D$24*D71),0))</f>
        <v>2114</v>
      </c>
      <c r="U71" s="19" t="n">
        <f aca="false">IF(ABS(MOD(('Case B'!$E$24*E71),1)-0.5)&lt;0.000000001,2*ROUND(('Case B'!$E$24*E71)/2,0),ROUND(('Case B'!$E$24*E71),0))</f>
        <v>5717</v>
      </c>
      <c r="V71" s="19" t="n">
        <f aca="false">IF(ABS(MOD(('Case B'!$F$24*F71),1)-0.5)&lt;0.000000001,2*ROUND(('Case B'!$F$24*F71)/2,0),ROUND(('Case B'!$F$24*F71),0))</f>
        <v>11739</v>
      </c>
      <c r="W71" s="19" t="n">
        <f aca="false">SUM(G71:J71)</f>
        <v>4663</v>
      </c>
      <c r="X71" s="19" t="n">
        <f aca="false">SUM(K71:N71)</f>
        <v>6331</v>
      </c>
      <c r="Y71" s="19" t="n">
        <f aca="false">SUM(O71:R71)</f>
        <v>1253</v>
      </c>
      <c r="Z71" s="19" t="n">
        <f aca="false">SUM(S71:V71)</f>
        <v>20435</v>
      </c>
      <c r="AA71" s="19" t="n">
        <f aca="false">'Sensitivities, the data'!$C$19*W71/'Sensitivities, the data'!$G$32</f>
        <v>4196700</v>
      </c>
      <c r="AB71" s="19" t="n">
        <f aca="false">'Sensitivities, the data'!$C$20*X71/'Sensitivities, the data'!$G$33</f>
        <v>2351853.65853659</v>
      </c>
      <c r="AC71" s="19" t="n">
        <f aca="false">'Sensitivities, the data'!$C$21*'Case B'!$G$27/'Case B'!$G$26</f>
        <v>5478654.5237305</v>
      </c>
      <c r="AD71" s="19" t="n">
        <f aca="false">'Sensitivities, the data'!$C$22*Y71/'Sensitivities, the data'!$G$34</f>
        <v>2058500</v>
      </c>
      <c r="AE71" s="19" t="n">
        <f aca="false">'Sensitivities, the data'!$C$23*Z71/'Sensitivities, the data'!$G$35</f>
        <v>2109735.89435774</v>
      </c>
      <c r="AF71" s="19" t="n">
        <f aca="false">SUM(AA71:AE71)</f>
        <v>16195444.0766248</v>
      </c>
      <c r="AG71" s="19" t="n">
        <f aca="false">'Case B'!$G$30</f>
        <v>52997520</v>
      </c>
      <c r="AH71" s="19" t="n">
        <f aca="false">'Case B'!$G$31</f>
        <v>17346425</v>
      </c>
      <c r="AI71" s="19" t="n">
        <f aca="false">'Case B'!$G$29*'Sensitivities, the data'!$C$25</f>
        <v>5431226.6</v>
      </c>
      <c r="AJ71" s="19" t="n">
        <f aca="false">AG71-AH71-AI71-AF71-'Sensitivities, the data'!$C$26</f>
        <v>7304424.32337517</v>
      </c>
      <c r="AK71" s="19" t="n">
        <f aca="false">'Sensitivities, the data'!$G$36-'Sensitivities, the data'!$G$37-'Sensitivities, the data'!$G$30*'Sensitivities, the data'!$C$25-'Sensitivities, the data'!$C$24-'Sensitivities, the data'!$C$26</f>
        <v>7291184</v>
      </c>
      <c r="AN71" s="24" t="n">
        <f aca="false">AJ71-AK71</f>
        <v>13240.3233751692</v>
      </c>
    </row>
    <row r="72" customFormat="false" ht="15" hidden="false" customHeight="false" outlineLevel="0" collapsed="false">
      <c r="B72" s="20" t="n">
        <f aca="false">$B$31</f>
        <v>0.78</v>
      </c>
      <c r="C72" s="46" t="n">
        <f aca="false">POWER('Case B'!$C$15/'Case B'!$C$14,$B72)</f>
        <v>0.929078234551925</v>
      </c>
      <c r="D72" s="46" t="n">
        <f aca="false">POWER('Case B'!$D$15/'Case B'!$D$14,$B72)</f>
        <v>1.00779145469959</v>
      </c>
      <c r="E72" s="46" t="n">
        <f aca="false">POWER('Case B'!$E$15/'Case B'!$E$14,$B72)</f>
        <v>1.19753723330692</v>
      </c>
      <c r="F72" s="46" t="n">
        <f aca="false">POWER('Case B'!$F$15/'Case B'!$F$14,$B72)</f>
        <v>1.4287377764723</v>
      </c>
      <c r="G72" s="19" t="n">
        <f aca="false">IF(ABS(MOD(('Case B'!$C$18*C72),1)-0.5)&lt;0.000000001,2*ROUND(('Case B'!$C$18*C72)/2,0),ROUND(('Case B'!$C$18*C72),0))</f>
        <v>288</v>
      </c>
      <c r="H72" s="19" t="n">
        <f aca="false">IF(ABS(MOD(('Case B'!$D$18*D72),1)-0.5)&lt;0.000000001,2*ROUND(('Case B'!$D$18*D72)/2,0),ROUND(('Case B'!$D$18*D72),0))</f>
        <v>726</v>
      </c>
      <c r="I72" s="19" t="n">
        <f aca="false">IF(ABS(MOD(('Case B'!$E$18*E72),1)-0.5)&lt;0.000000001,2*ROUND(('Case B'!$E$18*E72)/2,0),ROUND(('Case B'!$E$18*E72),0))</f>
        <v>1413</v>
      </c>
      <c r="J72" s="19" t="n">
        <f aca="false">IF(ABS(MOD(('Case B'!$F$18*F72),1)-0.5)&lt;0.000000001,2*ROUND(('Case B'!$F$18*F72)/2,0),ROUND(('Case B'!$F$18*F72),0))</f>
        <v>2415</v>
      </c>
      <c r="K72" s="19" t="n">
        <f aca="false">IF(ABS(MOD(('Case B'!$C$20*C72),1)-0.5)&lt;0.000000001,2*ROUND(('Case B'!$C$20*C72)/2,0),ROUND(('Case B'!$C$20*C72),0))</f>
        <v>427</v>
      </c>
      <c r="L72" s="19" t="n">
        <f aca="false">IF(ABS(MOD(('Case B'!$D$20*D72),1)-0.5)&lt;0.000000001,2*ROUND(('Case B'!$D$20*D72)/2,0),ROUND(('Case B'!$D$20*D72),0))</f>
        <v>1058</v>
      </c>
      <c r="M72" s="19" t="n">
        <f aca="false">IF(ABS(MOD(('Case B'!$E$20*E72),1)-0.5)&lt;0.000000001,2*ROUND(('Case B'!$E$20*E72)/2,0),ROUND(('Case B'!$E$20*E72),0))</f>
        <v>1964</v>
      </c>
      <c r="N72" s="19" t="n">
        <f aca="false">IF(ABS(MOD(('Case B'!$F$20*F72),1)-0.5)&lt;0.000000001,2*ROUND(('Case B'!$F$20*F72)/2,0),ROUND(('Case B'!$F$20*F72),0))</f>
        <v>3115</v>
      </c>
      <c r="O72" s="19" t="n">
        <f aca="false">IF(ABS(MOD(('Case B'!$C$22*C72),1)-0.5)&lt;0.000000001,2*ROUND(('Case B'!$C$22*C72)/2,0),ROUND(('Case B'!$C$22*C72),0))</f>
        <v>13</v>
      </c>
      <c r="P72" s="19" t="n">
        <f aca="false">IF(ABS(MOD(('Case B'!$D$22*D72),1)-0.5)&lt;0.000000001,2*ROUND(('Case B'!$D$22*D72)/2,0),ROUND(('Case B'!$D$22*D72),0))</f>
        <v>62</v>
      </c>
      <c r="Q72" s="19" t="n">
        <f aca="false">IF(ABS(MOD(('Case B'!$E$22*E72),1)-0.5)&lt;0.000000001,2*ROUND(('Case B'!$E$22*E72)/2,0),ROUND(('Case B'!$E$22*E72),0))</f>
        <v>256</v>
      </c>
      <c r="R72" s="19" t="n">
        <f aca="false">IF(ABS(MOD(('Case B'!$F$22*F72),1)-0.5)&lt;0.000000001,2*ROUND(('Case B'!$F$22*F72)/2,0),ROUND(('Case B'!$F$22*F72),0))</f>
        <v>986</v>
      </c>
      <c r="S72" s="19" t="n">
        <f aca="false">IF(ABS(MOD(('Case B'!$C$24*C72),1)-0.5)&lt;0.000000001,2*ROUND(('Case B'!$C$24*C72)/2,0),ROUND(('Case B'!$C$24*C72),0))</f>
        <v>855</v>
      </c>
      <c r="T72" s="19" t="n">
        <f aca="false">IF(ABS(MOD(('Case B'!$D$24*D72),1)-0.5)&lt;0.000000001,2*ROUND(('Case B'!$D$24*D72)/2,0),ROUND(('Case B'!$D$24*D72),0))</f>
        <v>2116</v>
      </c>
      <c r="U72" s="19" t="n">
        <f aca="false">IF(ABS(MOD(('Case B'!$E$24*E72),1)-0.5)&lt;0.000000001,2*ROUND(('Case B'!$E$24*E72)/2,0),ROUND(('Case B'!$E$24*E72),0))</f>
        <v>5892</v>
      </c>
      <c r="V72" s="19" t="n">
        <f aca="false">IF(ABS(MOD(('Case B'!$F$24*F72),1)-0.5)&lt;0.000000001,2*ROUND(('Case B'!$F$24*F72)/2,0),ROUND(('Case B'!$F$24*F72),0))</f>
        <v>12459</v>
      </c>
      <c r="W72" s="19" t="n">
        <f aca="false">SUM(G72:J72)</f>
        <v>4842</v>
      </c>
      <c r="X72" s="19" t="n">
        <f aca="false">SUM(K72:N72)</f>
        <v>6564</v>
      </c>
      <c r="Y72" s="19" t="n">
        <f aca="false">SUM(O72:R72)</f>
        <v>1317</v>
      </c>
      <c r="Z72" s="19" t="n">
        <f aca="false">SUM(S72:V72)</f>
        <v>21322</v>
      </c>
      <c r="AA72" s="19" t="n">
        <f aca="false">'Sensitivities, the data'!$C$19*W72/'Sensitivities, the data'!$G$32</f>
        <v>4357800</v>
      </c>
      <c r="AB72" s="19" t="n">
        <f aca="false">'Sensitivities, the data'!$C$20*X72/'Sensitivities, the data'!$G$33</f>
        <v>2438409.00562852</v>
      </c>
      <c r="AC72" s="19" t="n">
        <f aca="false">'Sensitivities, the data'!$C$21*'Case B'!$G$27/'Case B'!$G$26</f>
        <v>5478654.5237305</v>
      </c>
      <c r="AD72" s="19" t="n">
        <f aca="false">'Sensitivities, the data'!$C$22*Y72/'Sensitivities, the data'!$G$34</f>
        <v>2163642.85714286</v>
      </c>
      <c r="AE72" s="19" t="n">
        <f aca="false">'Sensitivities, the data'!$C$23*Z72/'Sensitivities, the data'!$G$35</f>
        <v>2201310.92436975</v>
      </c>
      <c r="AF72" s="19" t="n">
        <f aca="false">SUM(AA72:AE72)</f>
        <v>16639817.3108716</v>
      </c>
      <c r="AG72" s="19" t="n">
        <f aca="false">'Case B'!$G$30</f>
        <v>52997520</v>
      </c>
      <c r="AH72" s="19" t="n">
        <f aca="false">'Case B'!$G$31</f>
        <v>17346425</v>
      </c>
      <c r="AI72" s="19" t="n">
        <f aca="false">'Case B'!$G$29*'Sensitivities, the data'!$C$25</f>
        <v>5431226.6</v>
      </c>
      <c r="AJ72" s="19" t="n">
        <f aca="false">AG72-AH72-AI72-AF72-'Sensitivities, the data'!$C$26</f>
        <v>6860051.08912838</v>
      </c>
      <c r="AK72" s="19" t="n">
        <f aca="false">'Sensitivities, the data'!$G$36-'Sensitivities, the data'!$G$37-'Sensitivities, the data'!$G$30*'Sensitivities, the data'!$C$25-'Sensitivities, the data'!$C$24-'Sensitivities, the data'!$C$26</f>
        <v>7291184</v>
      </c>
      <c r="AN72" s="24" t="n">
        <f aca="false">AJ72-AK72</f>
        <v>-431132.910871625</v>
      </c>
    </row>
    <row r="73" customFormat="false" ht="15" hidden="false" customHeight="false" outlineLevel="0" collapsed="false">
      <c r="B73" s="20" t="n">
        <f aca="false">$B$32</f>
        <v>0.9</v>
      </c>
      <c r="C73" s="46" t="n">
        <f aca="false">POWER('Case B'!$C$15/'Case B'!$C$14,$B73)</f>
        <v>0.918622869351899</v>
      </c>
      <c r="D73" s="46" t="n">
        <f aca="false">POWER('Case B'!$D$15/'Case B'!$D$14,$B73)</f>
        <v>1.00899551641391</v>
      </c>
      <c r="E73" s="46" t="n">
        <f aca="false">POWER('Case B'!$E$15/'Case B'!$E$14,$B73)</f>
        <v>1.23121384532139</v>
      </c>
      <c r="F73" s="46" t="n">
        <f aca="false">POWER('Case B'!$F$15/'Case B'!$F$14,$B73)</f>
        <v>1.50935493220215</v>
      </c>
      <c r="G73" s="19" t="n">
        <f aca="false">IF(ABS(MOD(('Case B'!$C$18*C73),1)-0.5)&lt;0.000000001,2*ROUND(('Case B'!$C$18*C73)/2,0),ROUND(('Case B'!$C$18*C73),0))</f>
        <v>285</v>
      </c>
      <c r="H73" s="19" t="n">
        <f aca="false">IF(ABS(MOD(('Case B'!$D$18*D73),1)-0.5)&lt;0.000000001,2*ROUND(('Case B'!$D$18*D73)/2,0),ROUND(('Case B'!$D$18*D73),0))</f>
        <v>726</v>
      </c>
      <c r="I73" s="19" t="n">
        <f aca="false">IF(ABS(MOD(('Case B'!$E$18*E73),1)-0.5)&lt;0.000000001,2*ROUND(('Case B'!$E$18*E73)/2,0),ROUND(('Case B'!$E$18*E73),0))</f>
        <v>1453</v>
      </c>
      <c r="J73" s="19" t="n">
        <f aca="false">IF(ABS(MOD(('Case B'!$F$18*F73),1)-0.5)&lt;0.000000001,2*ROUND(('Case B'!$F$18*F73)/2,0),ROUND(('Case B'!$F$18*F73),0))</f>
        <v>2551</v>
      </c>
      <c r="K73" s="19" t="n">
        <f aca="false">IF(ABS(MOD(('Case B'!$C$20*C73),1)-0.5)&lt;0.000000001,2*ROUND(('Case B'!$C$20*C73)/2,0),ROUND(('Case B'!$C$20*C73),0))</f>
        <v>423</v>
      </c>
      <c r="L73" s="19" t="n">
        <f aca="false">IF(ABS(MOD(('Case B'!$D$20*D73),1)-0.5)&lt;0.000000001,2*ROUND(('Case B'!$D$20*D73)/2,0),ROUND(('Case B'!$D$20*D73),0))</f>
        <v>1059</v>
      </c>
      <c r="M73" s="19" t="n">
        <f aca="false">IF(ABS(MOD(('Case B'!$E$20*E73),1)-0.5)&lt;0.000000001,2*ROUND(('Case B'!$E$20*E73)/2,0),ROUND(('Case B'!$E$20*E73),0))</f>
        <v>2019</v>
      </c>
      <c r="N73" s="19" t="n">
        <f aca="false">IF(ABS(MOD(('Case B'!$F$20*F73),1)-0.5)&lt;0.000000001,2*ROUND(('Case B'!$F$20*F73)/2,0),ROUND(('Case B'!$F$20*F73),0))</f>
        <v>3290</v>
      </c>
      <c r="O73" s="19" t="n">
        <f aca="false">IF(ABS(MOD(('Case B'!$C$22*C73),1)-0.5)&lt;0.000000001,2*ROUND(('Case B'!$C$22*C73)/2,0),ROUND(('Case B'!$C$22*C73),0))</f>
        <v>13</v>
      </c>
      <c r="P73" s="19" t="n">
        <f aca="false">IF(ABS(MOD(('Case B'!$D$22*D73),1)-0.5)&lt;0.000000001,2*ROUND(('Case B'!$D$22*D73)/2,0),ROUND(('Case B'!$D$22*D73),0))</f>
        <v>63</v>
      </c>
      <c r="Q73" s="19" t="n">
        <f aca="false">IF(ABS(MOD(('Case B'!$E$22*E73),1)-0.5)&lt;0.000000001,2*ROUND(('Case B'!$E$22*E73)/2,0),ROUND(('Case B'!$E$22*E73),0))</f>
        <v>263</v>
      </c>
      <c r="R73" s="19" t="n">
        <f aca="false">IF(ABS(MOD(('Case B'!$F$22*F73),1)-0.5)&lt;0.000000001,2*ROUND(('Case B'!$F$22*F73)/2,0),ROUND(('Case B'!$F$22*F73),0))</f>
        <v>1041</v>
      </c>
      <c r="S73" s="19" t="n">
        <f aca="false">IF(ABS(MOD(('Case B'!$C$24*C73),1)-0.5)&lt;0.000000001,2*ROUND(('Case B'!$C$24*C73)/2,0),ROUND(('Case B'!$C$24*C73),0))</f>
        <v>845</v>
      </c>
      <c r="T73" s="19" t="n">
        <f aca="false">IF(ABS(MOD(('Case B'!$D$24*D73),1)-0.5)&lt;0.000000001,2*ROUND(('Case B'!$D$24*D73)/2,0),ROUND(('Case B'!$D$24*D73),0))</f>
        <v>2119</v>
      </c>
      <c r="U73" s="19" t="n">
        <f aca="false">IF(ABS(MOD(('Case B'!$E$24*E73),1)-0.5)&lt;0.000000001,2*ROUND(('Case B'!$E$24*E73)/2,0),ROUND(('Case B'!$E$24*E73),0))</f>
        <v>6058</v>
      </c>
      <c r="V73" s="19" t="n">
        <f aca="false">IF(ABS(MOD(('Case B'!$F$24*F73),1)-0.5)&lt;0.000000001,2*ROUND(('Case B'!$F$24*F73)/2,0),ROUND(('Case B'!$F$24*F73),0))</f>
        <v>13162</v>
      </c>
      <c r="W73" s="19" t="n">
        <f aca="false">SUM(G73:J73)</f>
        <v>5015</v>
      </c>
      <c r="X73" s="19" t="n">
        <f aca="false">SUM(K73:N73)</f>
        <v>6791</v>
      </c>
      <c r="Y73" s="19" t="n">
        <f aca="false">SUM(O73:R73)</f>
        <v>1380</v>
      </c>
      <c r="Z73" s="19" t="n">
        <f aca="false">SUM(S73:V73)</f>
        <v>22184</v>
      </c>
      <c r="AA73" s="19" t="n">
        <f aca="false">'Sensitivities, the data'!$C$19*W73/'Sensitivities, the data'!$G$32</f>
        <v>4513500</v>
      </c>
      <c r="AB73" s="19" t="n">
        <f aca="false">'Sensitivities, the data'!$C$20*X73/'Sensitivities, the data'!$G$33</f>
        <v>2522735.45966229</v>
      </c>
      <c r="AC73" s="19" t="n">
        <f aca="false">'Sensitivities, the data'!$C$21*'Case B'!$G$27/'Case B'!$G$26</f>
        <v>5478654.5237305</v>
      </c>
      <c r="AD73" s="19" t="n">
        <f aca="false">'Sensitivities, the data'!$C$22*Y73/'Sensitivities, the data'!$G$34</f>
        <v>2267142.85714286</v>
      </c>
      <c r="AE73" s="19" t="n">
        <f aca="false">'Sensitivities, the data'!$C$23*Z73/'Sensitivities, the data'!$G$35</f>
        <v>2290304.92196879</v>
      </c>
      <c r="AF73" s="19" t="n">
        <f aca="false">SUM(AA73:AE73)</f>
        <v>17072337.7625044</v>
      </c>
      <c r="AG73" s="19" t="n">
        <f aca="false">'Case B'!$G$30</f>
        <v>52997520</v>
      </c>
      <c r="AH73" s="19" t="n">
        <f aca="false">'Case B'!$G$31</f>
        <v>17346425</v>
      </c>
      <c r="AI73" s="19" t="n">
        <f aca="false">'Case B'!$G$29*'Sensitivities, the data'!$C$25</f>
        <v>5431226.6</v>
      </c>
      <c r="AJ73" s="19" t="n">
        <f aca="false">AG73-AH73-AI73-AF73-'Sensitivities, the data'!$C$26</f>
        <v>6427530.63749556</v>
      </c>
      <c r="AK73" s="19" t="n">
        <f aca="false">'Sensitivities, the data'!$G$36-'Sensitivities, the data'!$G$37-'Sensitivities, the data'!$G$30*'Sensitivities, the data'!$C$25-'Sensitivities, the data'!$C$24-'Sensitivities, the data'!$C$26</f>
        <v>7291184</v>
      </c>
      <c r="AN73" s="24" t="n">
        <f aca="false">AJ73-AK73</f>
        <v>-863653.362504438</v>
      </c>
    </row>
    <row r="74" customFormat="false" ht="15" hidden="false" customHeight="false" outlineLevel="0" collapsed="false">
      <c r="B74" s="20" t="n">
        <f aca="false">$B$33</f>
        <v>1</v>
      </c>
      <c r="C74" s="46" t="n">
        <f aca="false">POWER('Case B'!$C$15/'Case B'!$C$14,$B74)</f>
        <v>0.91</v>
      </c>
      <c r="D74" s="46" t="n">
        <f aca="false">POWER('Case B'!$D$15/'Case B'!$D$14,$B74)</f>
        <v>1.01</v>
      </c>
      <c r="E74" s="46" t="n">
        <f aca="false">POWER('Case B'!$E$15/'Case B'!$E$14,$B74)</f>
        <v>1.26</v>
      </c>
      <c r="F74" s="46" t="n">
        <f aca="false">POWER('Case B'!$F$15/'Case B'!$F$14,$B74)</f>
        <v>1.58</v>
      </c>
      <c r="G74" s="19" t="n">
        <f aca="false">IF(ABS(MOD(('Case B'!$C$18*C74),1)-0.5)&lt;0.000000001,2*ROUND(('Case B'!$C$18*C74)/2,0),ROUND(('Case B'!$C$18*C74),0))</f>
        <v>282</v>
      </c>
      <c r="H74" s="19" t="n">
        <f aca="false">IF(ABS(MOD(('Case B'!$D$18*D74),1)-0.5)&lt;0.000000001,2*ROUND(('Case B'!$D$18*D74)/2,0),ROUND(('Case B'!$D$18*D74),0))</f>
        <v>727</v>
      </c>
      <c r="I74" s="19" t="n">
        <f aca="false">IF(ABS(MOD(('Case B'!$E$18*E74),1)-0.5)&lt;0.000000001,2*ROUND(('Case B'!$E$18*E74)/2,0),ROUND(('Case B'!$E$18*E74),0))</f>
        <v>1487</v>
      </c>
      <c r="J74" s="19" t="n">
        <f aca="false">IF(ABS(MOD(('Case B'!$F$18*F74),1)-0.5)&lt;0.000000001,2*ROUND(('Case B'!$F$18*F74)/2,0),ROUND(('Case B'!$F$18*F74),0))</f>
        <v>2670</v>
      </c>
      <c r="K74" s="19" t="n">
        <f aca="false">IF(ABS(MOD(('Case B'!$C$20*C74),1)-0.5)&lt;0.000000001,2*ROUND(('Case B'!$C$20*C74)/2,0),ROUND(('Case B'!$C$20*C74),0))</f>
        <v>419</v>
      </c>
      <c r="L74" s="19" t="n">
        <f aca="false">IF(ABS(MOD(('Case B'!$D$20*D74),1)-0.5)&lt;0.000000001,2*ROUND(('Case B'!$D$20*D74)/2,0),ROUND(('Case B'!$D$20*D74),0))</f>
        <v>1060</v>
      </c>
      <c r="M74" s="19" t="n">
        <f aca="false">IF(ABS(MOD(('Case B'!$E$20*E74),1)-0.5)&lt;0.000000001,2*ROUND(('Case B'!$E$20*E74)/2,0),ROUND(('Case B'!$E$20*E74),0))</f>
        <v>2066</v>
      </c>
      <c r="N74" s="19" t="n">
        <f aca="false">IF(ABS(MOD(('Case B'!$F$20*F74),1)-0.5)&lt;0.000000001,2*ROUND(('Case B'!$F$20*F74)/2,0),ROUND(('Case B'!$F$20*F74),0))</f>
        <v>3444</v>
      </c>
      <c r="O74" s="19" t="n">
        <f aca="false">IF(ABS(MOD(('Case B'!$C$22*C74),1)-0.5)&lt;0.000000001,2*ROUND(('Case B'!$C$22*C74)/2,0),ROUND(('Case B'!$C$22*C74),0))</f>
        <v>13</v>
      </c>
      <c r="P74" s="19" t="n">
        <f aca="false">IF(ABS(MOD(('Case B'!$D$22*D74),1)-0.5)&lt;0.000000001,2*ROUND(('Case B'!$D$22*D74)/2,0),ROUND(('Case B'!$D$22*D74),0))</f>
        <v>63</v>
      </c>
      <c r="Q74" s="19" t="n">
        <f aca="false">IF(ABS(MOD(('Case B'!$E$22*E74),1)-0.5)&lt;0.000000001,2*ROUND(('Case B'!$E$22*E74)/2,0),ROUND(('Case B'!$E$22*E74),0))</f>
        <v>270</v>
      </c>
      <c r="R74" s="19" t="n">
        <f aca="false">IF(ABS(MOD(('Case B'!$F$22*F74),1)-0.5)&lt;0.000000001,2*ROUND(('Case B'!$F$22*F74)/2,0),ROUND(('Case B'!$F$22*F74),0))</f>
        <v>1090</v>
      </c>
      <c r="S74" s="19" t="n">
        <f aca="false">IF(ABS(MOD(('Case B'!$C$24*C74),1)-0.5)&lt;0.000000001,2*ROUND(('Case B'!$C$24*C74)/2,0),ROUND(('Case B'!$C$24*C74),0))</f>
        <v>837</v>
      </c>
      <c r="T74" s="19" t="n">
        <f aca="false">IF(ABS(MOD(('Case B'!$D$24*D74),1)-0.5)&lt;0.000000001,2*ROUND(('Case B'!$D$24*D74)/2,0),ROUND(('Case B'!$D$24*D74),0))</f>
        <v>2121</v>
      </c>
      <c r="U74" s="19" t="n">
        <f aca="false">IF(ABS(MOD(('Case B'!$E$24*E74),1)-0.5)&lt;0.000000001,2*ROUND(('Case B'!$E$24*E74)/2,0),ROUND(('Case B'!$E$24*E74),0))</f>
        <v>6199</v>
      </c>
      <c r="V74" s="19" t="n">
        <f aca="false">IF(ABS(MOD(('Case B'!$F$24*F74),1)-0.5)&lt;0.000000001,2*ROUND(('Case B'!$F$24*F74)/2,0),ROUND(('Case B'!$F$24*F74),0))</f>
        <v>13778</v>
      </c>
      <c r="W74" s="19" t="n">
        <f aca="false">SUM(G74:J74)</f>
        <v>5166</v>
      </c>
      <c r="X74" s="19" t="n">
        <f aca="false">SUM(K74:N74)</f>
        <v>6989</v>
      </c>
      <c r="Y74" s="19" t="n">
        <f aca="false">SUM(O74:R74)</f>
        <v>1436</v>
      </c>
      <c r="Z74" s="19" t="n">
        <f aca="false">SUM(S74:V74)</f>
        <v>22935</v>
      </c>
      <c r="AA74" s="19" t="n">
        <f aca="false">'Sensitivities, the data'!$C$19*W74/'Sensitivities, the data'!$G$32</f>
        <v>4649400</v>
      </c>
      <c r="AB74" s="19" t="n">
        <f aca="false">'Sensitivities, the data'!$C$20*X74/'Sensitivities, the data'!$G$33</f>
        <v>2596288.93058161</v>
      </c>
      <c r="AC74" s="19" t="n">
        <f aca="false">'Sensitivities, the data'!$C$21*'Case B'!$G$27/'Case B'!$G$26</f>
        <v>5478654.5237305</v>
      </c>
      <c r="AD74" s="19" t="n">
        <f aca="false">'Sensitivities, the data'!$C$22*Y74/'Sensitivities, the data'!$G$34</f>
        <v>2359142.85714286</v>
      </c>
      <c r="AE74" s="19" t="n">
        <f aca="false">'Sensitivities, the data'!$C$23*Z74/'Sensitivities, the data'!$G$35</f>
        <v>2367839.13565426</v>
      </c>
      <c r="AF74" s="19" t="n">
        <f aca="false">SUM(AA74:AE74)</f>
        <v>17451325.4471092</v>
      </c>
      <c r="AG74" s="19" t="n">
        <f aca="false">'Case B'!$G$30</f>
        <v>52997520</v>
      </c>
      <c r="AH74" s="19" t="n">
        <f aca="false">'Case B'!$G$31</f>
        <v>17346425</v>
      </c>
      <c r="AI74" s="19" t="n">
        <f aca="false">'Case B'!$G$29*'Sensitivities, the data'!$C$25</f>
        <v>5431226.6</v>
      </c>
      <c r="AJ74" s="19" t="n">
        <f aca="false">AG74-AH74-AI74-AF74-'Sensitivities, the data'!$C$26</f>
        <v>6048542.95289077</v>
      </c>
      <c r="AK74" s="19" t="n">
        <f aca="false">'Sensitivities, the data'!$G$36-'Sensitivities, the data'!$G$37-'Sensitivities, the data'!$G$30*'Sensitivities, the data'!$C$25-'Sensitivities, the data'!$C$24-'Sensitivities, the data'!$C$26</f>
        <v>7291184</v>
      </c>
      <c r="AN74" s="24" t="n">
        <f aca="false">AJ74-AK74</f>
        <v>-1242641.04710924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5" min="3" style="0" width="16"/>
    <col collapsed="false" customWidth="true" hidden="false" outlineLevel="0" max="6" min="6" style="0" width="13"/>
    <col collapsed="false" customWidth="true" hidden="false" outlineLevel="0" max="7" min="7" style="0" width="16"/>
    <col collapsed="false" customWidth="true" hidden="false" outlineLevel="0" max="8" min="8" style="0" width="2"/>
    <col collapsed="false" customWidth="true" hidden="false" outlineLevel="0" max="9" min="9" style="0" width="84"/>
  </cols>
  <sheetData>
    <row r="2" customFormat="false" ht="17.35" hidden="false" customHeight="false" outlineLevel="0" collapsed="false">
      <c r="B2" s="1" t="s">
        <v>364</v>
      </c>
    </row>
    <row r="3" customFormat="false" ht="15" hidden="false" customHeight="false" outlineLevel="0" collapsed="false">
      <c r="B3" s="3" t="s">
        <v>365</v>
      </c>
    </row>
    <row r="5" customFormat="false" ht="15" hidden="false" customHeight="false" outlineLevel="0" collapsed="false">
      <c r="B5" s="6" t="s">
        <v>366</v>
      </c>
      <c r="C5" s="7"/>
      <c r="D5" s="7"/>
      <c r="E5" s="7"/>
      <c r="F5" s="7"/>
      <c r="G5" s="7"/>
    </row>
    <row r="6" customFormat="false" ht="15" hidden="false" customHeight="false" outlineLevel="0" collapsed="false">
      <c r="B6" s="3" t="s">
        <v>305</v>
      </c>
      <c r="C6" s="47" t="n">
        <v>0.78</v>
      </c>
    </row>
    <row r="7" customFormat="false" ht="15" hidden="false" customHeight="false" outlineLevel="0" collapsed="false">
      <c r="B7" s="4" t="s">
        <v>367</v>
      </c>
    </row>
    <row r="8" customFormat="false" ht="15" hidden="false" customHeight="false" outlineLevel="0" collapsed="false">
      <c r="B8" s="4" t="s">
        <v>368</v>
      </c>
    </row>
    <row r="10" customFormat="false" ht="15" hidden="false" customHeight="false" outlineLevel="0" collapsed="false">
      <c r="B10" s="6" t="s">
        <v>369</v>
      </c>
      <c r="C10" s="7"/>
      <c r="D10" s="7"/>
      <c r="E10" s="7"/>
      <c r="F10" s="7"/>
      <c r="G10" s="7"/>
    </row>
    <row r="11" customFormat="false" ht="23.85" hidden="false" customHeight="false" outlineLevel="0" collapsed="false">
      <c r="C11" s="8" t="s">
        <v>167</v>
      </c>
      <c r="D11" s="8" t="s">
        <v>168</v>
      </c>
      <c r="E11" s="8" t="s">
        <v>169</v>
      </c>
      <c r="F11" s="8" t="s">
        <v>170</v>
      </c>
      <c r="G11" s="8" t="s">
        <v>171</v>
      </c>
    </row>
    <row r="12" customFormat="false" ht="15" hidden="false" customHeight="false" outlineLevel="0" collapsed="false">
      <c r="B12" s="3" t="s">
        <v>370</v>
      </c>
      <c r="C12" s="17" t="n">
        <v>-0.09</v>
      </c>
      <c r="D12" s="17" t="n">
        <v>0.01</v>
      </c>
      <c r="E12" s="17" t="n">
        <v>0.26</v>
      </c>
      <c r="F12" s="17" t="n">
        <v>0.58</v>
      </c>
    </row>
    <row r="13" customFormat="false" ht="15" hidden="false" customHeight="false" outlineLevel="0" collapsed="false">
      <c r="B13" s="3" t="s">
        <v>371</v>
      </c>
      <c r="C13" s="19" t="n">
        <f aca="false">'Sensitivities, the data'!$C$8</f>
        <v>1850000</v>
      </c>
      <c r="D13" s="19" t="n">
        <f aca="false">'Sensitivities, the data'!$D$8</f>
        <v>640000</v>
      </c>
      <c r="E13" s="19" t="n">
        <f aca="false">'Sensitivities, the data'!$E$8</f>
        <v>118000</v>
      </c>
      <c r="F13" s="19" t="n">
        <f aca="false">'Sensitivities, the data'!$F$8</f>
        <v>19500</v>
      </c>
      <c r="G13" s="24" t="n">
        <f aca="false">SUM(C13:F13)</f>
        <v>2627500</v>
      </c>
    </row>
    <row r="14" customFormat="false" ht="15" hidden="false" customHeight="false" outlineLevel="0" collapsed="false">
      <c r="B14" s="3" t="s">
        <v>372</v>
      </c>
      <c r="C14" s="19" t="n">
        <f aca="false">C13</f>
        <v>1850000</v>
      </c>
      <c r="D14" s="19" t="n">
        <f aca="false">D13</f>
        <v>640000</v>
      </c>
      <c r="E14" s="19" t="n">
        <f aca="false">E13</f>
        <v>118000</v>
      </c>
      <c r="F14" s="19" t="n">
        <f aca="false">F13</f>
        <v>19500</v>
      </c>
      <c r="G14" s="24" t="n">
        <f aca="false">SUM(C14:F14)</f>
        <v>2627500</v>
      </c>
    </row>
    <row r="15" customFormat="false" ht="15" hidden="false" customHeight="false" outlineLevel="0" collapsed="false">
      <c r="B15" s="3" t="s">
        <v>373</v>
      </c>
      <c r="C15" s="19" t="n">
        <f aca="false">IF(ABS(MOD((C14*(1+C12)),1)-0.5)&lt;0.000000001,2*ROUND((C14*(1+C12))/2,0),ROUND((C14*(1+C12)),0))</f>
        <v>1683500</v>
      </c>
      <c r="D15" s="19" t="n">
        <f aca="false">IF(ABS(MOD((D14*(1+D12)),1)-0.5)&lt;0.000000001,2*ROUND((D14*(1+D12))/2,0),ROUND((D14*(1+D12)),0))</f>
        <v>646400</v>
      </c>
      <c r="E15" s="19" t="n">
        <f aca="false">IF(ABS(MOD((E14*(1+E12)),1)-0.5)&lt;0.000000001,2*ROUND((E14*(1+E12))/2,0),ROUND((E14*(1+E12)),0))</f>
        <v>148680</v>
      </c>
      <c r="F15" s="19" t="n">
        <f aca="false">IF(ABS(MOD((F14*(1+F12)),1)-0.5)&lt;0.000000001,2*ROUND((F14*(1+F12))/2,0),ROUND((F14*(1+F12)),0))</f>
        <v>30810</v>
      </c>
      <c r="G15" s="24" t="n">
        <f aca="false">SUM(C15:F15)</f>
        <v>2509390</v>
      </c>
    </row>
    <row r="16" customFormat="false" ht="15" hidden="false" customHeight="false" outlineLevel="0" collapsed="false">
      <c r="B16" s="3" t="s">
        <v>374</v>
      </c>
      <c r="C16" s="11" t="n">
        <f aca="false">C15/C14</f>
        <v>0.91</v>
      </c>
      <c r="D16" s="11" t="n">
        <f aca="false">D15/D14</f>
        <v>1.01</v>
      </c>
      <c r="E16" s="11" t="n">
        <f aca="false">E15/E14</f>
        <v>1.26</v>
      </c>
      <c r="F16" s="11" t="n">
        <f aca="false">F15/F14</f>
        <v>1.58</v>
      </c>
    </row>
    <row r="17" customFormat="false" ht="15" hidden="false" customHeight="false" outlineLevel="0" collapsed="false">
      <c r="B17" s="3" t="s">
        <v>375</v>
      </c>
      <c r="C17" s="46" t="n">
        <f aca="false">POWER(C16,$C$6)</f>
        <v>0.929078234551925</v>
      </c>
      <c r="D17" s="46" t="n">
        <f aca="false">POWER(D16,$C$6)</f>
        <v>1.00779145469959</v>
      </c>
      <c r="E17" s="46" t="n">
        <f aca="false">POWER(E16,$C$6)</f>
        <v>1.19753723330692</v>
      </c>
      <c r="F17" s="46" t="n">
        <f aca="false">POWER(F16,$C$6)</f>
        <v>1.4287377764723</v>
      </c>
    </row>
    <row r="18" customFormat="false" ht="15" hidden="false" customHeight="false" outlineLevel="0" collapsed="false">
      <c r="B18" s="3" t="s">
        <v>376</v>
      </c>
      <c r="C18" s="19" t="n">
        <f aca="false">'Sensitivities, the data'!$C$13</f>
        <v>310</v>
      </c>
      <c r="D18" s="19" t="n">
        <f aca="false">'Sensitivities, the data'!$D$13</f>
        <v>720</v>
      </c>
      <c r="E18" s="19" t="n">
        <f aca="false">'Sensitivities, the data'!$E$13</f>
        <v>1180</v>
      </c>
      <c r="F18" s="19" t="n">
        <f aca="false">'Sensitivities, the data'!$F$13</f>
        <v>1690</v>
      </c>
      <c r="G18" s="24" t="n">
        <f aca="false">SUM(C18:F18)</f>
        <v>3900</v>
      </c>
    </row>
    <row r="19" customFormat="false" ht="15" hidden="false" customHeight="false" outlineLevel="0" collapsed="false">
      <c r="B19" s="3" t="s">
        <v>377</v>
      </c>
      <c r="C19" s="19" t="n">
        <f aca="false">IF(ABS(MOD((C18*C17),1)-0.5)&lt;0.000000001,2*ROUND((C18*C17)/2,0),ROUND((C18*C17),0))</f>
        <v>288</v>
      </c>
      <c r="D19" s="19" t="n">
        <f aca="false">IF(ABS(MOD((D18*D17),1)-0.5)&lt;0.000000001,2*ROUND((D18*D17)/2,0),ROUND((D18*D17),0))</f>
        <v>726</v>
      </c>
      <c r="E19" s="19" t="n">
        <f aca="false">IF(ABS(MOD((E18*E17),1)-0.5)&lt;0.000000001,2*ROUND((E18*E17)/2,0),ROUND((E18*E17),0))</f>
        <v>1413</v>
      </c>
      <c r="F19" s="19" t="n">
        <f aca="false">IF(ABS(MOD((F18*F17),1)-0.5)&lt;0.000000001,2*ROUND((F18*F17)/2,0),ROUND((F18*F17),0))</f>
        <v>2415</v>
      </c>
      <c r="G19" s="24" t="n">
        <f aca="false">SUM(C19:F19)</f>
        <v>4842</v>
      </c>
    </row>
    <row r="20" customFormat="false" ht="15" hidden="false" customHeight="false" outlineLevel="0" collapsed="false">
      <c r="B20" s="3" t="s">
        <v>378</v>
      </c>
      <c r="C20" s="19" t="n">
        <f aca="false">'Sensitivities, the data'!$C$14</f>
        <v>460</v>
      </c>
      <c r="D20" s="19" t="n">
        <f aca="false">'Sensitivities, the data'!$D$14</f>
        <v>1050</v>
      </c>
      <c r="E20" s="19" t="n">
        <f aca="false">'Sensitivities, the data'!$E$14</f>
        <v>1640</v>
      </c>
      <c r="F20" s="19" t="n">
        <f aca="false">'Sensitivities, the data'!$F$14</f>
        <v>2180</v>
      </c>
      <c r="G20" s="24" t="n">
        <f aca="false">SUM(C20:F20)</f>
        <v>5330</v>
      </c>
    </row>
    <row r="21" customFormat="false" ht="15" hidden="false" customHeight="false" outlineLevel="0" collapsed="false">
      <c r="B21" s="3" t="s">
        <v>379</v>
      </c>
      <c r="C21" s="19" t="n">
        <f aca="false">IF(ABS(MOD((C20*C17),1)-0.5)&lt;0.000000001,2*ROUND((C20*C17)/2,0),ROUND((C20*C17),0))</f>
        <v>427</v>
      </c>
      <c r="D21" s="19" t="n">
        <f aca="false">IF(ABS(MOD((D20*D17),1)-0.5)&lt;0.000000001,2*ROUND((D20*D17)/2,0),ROUND((D20*D17),0))</f>
        <v>1058</v>
      </c>
      <c r="E21" s="19" t="n">
        <f aca="false">IF(ABS(MOD((E20*E17),1)-0.5)&lt;0.000000001,2*ROUND((E20*E17)/2,0),ROUND((E20*E17),0))</f>
        <v>1964</v>
      </c>
      <c r="F21" s="19" t="n">
        <f aca="false">IF(ABS(MOD((F20*F17),1)-0.5)&lt;0.000000001,2*ROUND((F20*F17)/2,0),ROUND((F20*F17),0))</f>
        <v>3115</v>
      </c>
      <c r="G21" s="24" t="n">
        <f aca="false">SUM(C21:F21)</f>
        <v>6564</v>
      </c>
    </row>
    <row r="22" customFormat="false" ht="15" hidden="false" customHeight="false" outlineLevel="0" collapsed="false">
      <c r="B22" s="3" t="s">
        <v>380</v>
      </c>
      <c r="C22" s="19" t="n">
        <f aca="false">'Sensitivities, the data'!$C$15</f>
        <v>14</v>
      </c>
      <c r="D22" s="19" t="n">
        <f aca="false">'Sensitivities, the data'!$D$15</f>
        <v>62</v>
      </c>
      <c r="E22" s="19" t="n">
        <f aca="false">'Sensitivities, the data'!$E$15</f>
        <v>214</v>
      </c>
      <c r="F22" s="19" t="n">
        <f aca="false">'Sensitivities, the data'!$F$15</f>
        <v>690</v>
      </c>
      <c r="G22" s="24" t="n">
        <f aca="false">SUM(C22:F22)</f>
        <v>980</v>
      </c>
    </row>
    <row r="23" customFormat="false" ht="15" hidden="false" customHeight="false" outlineLevel="0" collapsed="false">
      <c r="B23" s="3" t="s">
        <v>381</v>
      </c>
      <c r="C23" s="19" t="n">
        <f aca="false">IF(ABS(MOD((C22*C17),1)-0.5)&lt;0.000000001,2*ROUND((C22*C17)/2,0),ROUND((C22*C17),0))</f>
        <v>13</v>
      </c>
      <c r="D23" s="19" t="n">
        <f aca="false">IF(ABS(MOD((D22*D17),1)-0.5)&lt;0.000000001,2*ROUND((D22*D17)/2,0),ROUND((D22*D17),0))</f>
        <v>62</v>
      </c>
      <c r="E23" s="19" t="n">
        <f aca="false">IF(ABS(MOD((E22*E17),1)-0.5)&lt;0.000000001,2*ROUND((E22*E17)/2,0),ROUND((E22*E17),0))</f>
        <v>256</v>
      </c>
      <c r="F23" s="19" t="n">
        <f aca="false">IF(ABS(MOD((F22*F17),1)-0.5)&lt;0.000000001,2*ROUND((F22*F17)/2,0),ROUND((F22*F17),0))</f>
        <v>986</v>
      </c>
      <c r="G23" s="24" t="n">
        <f aca="false">SUM(C23:F23)</f>
        <v>1317</v>
      </c>
    </row>
    <row r="24" customFormat="false" ht="15" hidden="false" customHeight="false" outlineLevel="0" collapsed="false">
      <c r="B24" s="3" t="s">
        <v>382</v>
      </c>
      <c r="C24" s="19" t="n">
        <f aca="false">'Sensitivities, the data'!$C$16</f>
        <v>920</v>
      </c>
      <c r="D24" s="19" t="n">
        <f aca="false">'Sensitivities, the data'!$D$16</f>
        <v>2100</v>
      </c>
      <c r="E24" s="19" t="n">
        <f aca="false">'Sensitivities, the data'!$E$16</f>
        <v>4920</v>
      </c>
      <c r="F24" s="19" t="n">
        <f aca="false">'Sensitivities, the data'!$F$16</f>
        <v>8720</v>
      </c>
      <c r="G24" s="24" t="n">
        <f aca="false">SUM(C24:F24)</f>
        <v>16660</v>
      </c>
    </row>
    <row r="25" customFormat="false" ht="15" hidden="false" customHeight="false" outlineLevel="0" collapsed="false">
      <c r="B25" s="3" t="s">
        <v>383</v>
      </c>
      <c r="C25" s="19" t="n">
        <f aca="false">IF(ABS(MOD((C24*C17),1)-0.5)&lt;0.000000001,2*ROUND((C24*C17)/2,0),ROUND((C24*C17),0))</f>
        <v>855</v>
      </c>
      <c r="D25" s="19" t="n">
        <f aca="false">IF(ABS(MOD((D24*D17),1)-0.5)&lt;0.000000001,2*ROUND((D24*D17)/2,0),ROUND((D24*D17),0))</f>
        <v>2116</v>
      </c>
      <c r="E25" s="19" t="n">
        <f aca="false">IF(ABS(MOD((E24*E17),1)-0.5)&lt;0.000000001,2*ROUND((E24*E17)/2,0),ROUND((E24*E17),0))</f>
        <v>5892</v>
      </c>
      <c r="F25" s="19" t="n">
        <f aca="false">IF(ABS(MOD((F24*F17),1)-0.5)&lt;0.000000001,2*ROUND((F24*F17)/2,0),ROUND((F24*F17),0))</f>
        <v>12459</v>
      </c>
      <c r="G25" s="24" t="n">
        <f aca="false">SUM(C25:F25)</f>
        <v>21322</v>
      </c>
    </row>
    <row r="26" customFormat="false" ht="15" hidden="false" customHeight="false" outlineLevel="0" collapsed="false">
      <c r="B26" s="3" t="s">
        <v>384</v>
      </c>
      <c r="C26" s="19" t="n">
        <f aca="false">'Sensitivities, the data'!$C$31</f>
        <v>40700</v>
      </c>
      <c r="D26" s="19" t="n">
        <f aca="false">'Sensitivities, the data'!$D$31</f>
        <v>37120</v>
      </c>
      <c r="E26" s="19" t="n">
        <f aca="false">'Sensitivities, the data'!$E$31</f>
        <v>34220</v>
      </c>
      <c r="F26" s="19" t="n">
        <f aca="false">'Sensitivities, the data'!$F$31</f>
        <v>38610</v>
      </c>
      <c r="G26" s="24" t="n">
        <f aca="false">SUM(C26:F26)</f>
        <v>150650</v>
      </c>
    </row>
    <row r="27" customFormat="false" ht="15" hidden="false" customHeight="false" outlineLevel="0" collapsed="false">
      <c r="B27" s="3" t="s">
        <v>385</v>
      </c>
      <c r="C27" s="19" t="n">
        <f aca="false">C15*'Sensitivities, the data'!$C$12</f>
        <v>37037</v>
      </c>
      <c r="D27" s="19" t="n">
        <f aca="false">D15*'Sensitivities, the data'!$D$12</f>
        <v>37491.2</v>
      </c>
      <c r="E27" s="19" t="n">
        <f aca="false">E15*'Sensitivities, the data'!$E$12</f>
        <v>43117.2</v>
      </c>
      <c r="F27" s="19" t="n">
        <f aca="false">F15*'Sensitivities, the data'!$F$12</f>
        <v>61003.8</v>
      </c>
      <c r="G27" s="24" t="n">
        <f aca="false">SUM(C27:F27)</f>
        <v>178649.2</v>
      </c>
    </row>
    <row r="28" customFormat="false" ht="15" hidden="false" customHeight="false" outlineLevel="0" collapsed="false">
      <c r="B28" s="3" t="s">
        <v>386</v>
      </c>
      <c r="C28" s="19" t="n">
        <f aca="false">'Sensitivities, the data'!$C$30</f>
        <v>55500</v>
      </c>
      <c r="D28" s="19" t="n">
        <f aca="false">'Sensitivities, the data'!$D$30</f>
        <v>39680</v>
      </c>
      <c r="E28" s="19" t="n">
        <f aca="false">'Sensitivities, the data'!$E$30</f>
        <v>27730</v>
      </c>
      <c r="F28" s="19" t="n">
        <f aca="false">'Sensitivities, the data'!$F$30</f>
        <v>30030</v>
      </c>
      <c r="G28" s="24" t="n">
        <f aca="false">SUM(C28:F28)</f>
        <v>152940</v>
      </c>
    </row>
    <row r="29" customFormat="false" ht="15" hidden="false" customHeight="false" outlineLevel="0" collapsed="false">
      <c r="B29" s="3" t="s">
        <v>387</v>
      </c>
      <c r="C29" s="19" t="n">
        <f aca="false">C15*'Sensitivities, the data'!$C$11</f>
        <v>50505</v>
      </c>
      <c r="D29" s="19" t="n">
        <f aca="false">D15*'Sensitivities, the data'!$D$11</f>
        <v>40076.8</v>
      </c>
      <c r="E29" s="19" t="n">
        <f aca="false">E15*'Sensitivities, the data'!$E$11</f>
        <v>34939.8</v>
      </c>
      <c r="F29" s="19" t="n">
        <f aca="false">F15*'Sensitivities, the data'!$F$11</f>
        <v>47447.4</v>
      </c>
      <c r="G29" s="24" t="n">
        <f aca="false">SUM(C29:F29)</f>
        <v>172969</v>
      </c>
    </row>
    <row r="30" customFormat="false" ht="15" hidden="false" customHeight="false" outlineLevel="0" collapsed="false">
      <c r="B30" s="3" t="s">
        <v>358</v>
      </c>
      <c r="C30" s="19" t="n">
        <f aca="false">C15*'Sensitivities, the data'!$C$9</f>
        <v>15488200</v>
      </c>
      <c r="D30" s="19" t="n">
        <f aca="false">D15*'Sensitivities, the data'!$D$9</f>
        <v>15190400</v>
      </c>
      <c r="E30" s="19" t="n">
        <f aca="false">E15*'Sensitivities, the data'!$E$9</f>
        <v>11597040</v>
      </c>
      <c r="F30" s="19" t="n">
        <f aca="false">F15*'Sensitivities, the data'!$F$9</f>
        <v>10721880</v>
      </c>
      <c r="G30" s="24" t="n">
        <f aca="false">SUM(C30:F30)</f>
        <v>52997520</v>
      </c>
    </row>
    <row r="31" customFormat="false" ht="15" hidden="false" customHeight="false" outlineLevel="0" collapsed="false">
      <c r="B31" s="3" t="s">
        <v>388</v>
      </c>
      <c r="C31" s="19" t="n">
        <f aca="false">C15*'Sensitivities, the data'!$C$10</f>
        <v>4966325</v>
      </c>
      <c r="D31" s="19" t="n">
        <f aca="false">D15*'Sensitivities, the data'!$D$10</f>
        <v>5235840</v>
      </c>
      <c r="E31" s="19" t="n">
        <f aca="false">E15*'Sensitivities, the data'!$E$10</f>
        <v>3940020</v>
      </c>
      <c r="F31" s="19" t="n">
        <f aca="false">F15*'Sensitivities, the data'!$F$10</f>
        <v>3204240</v>
      </c>
      <c r="G31" s="24" t="n">
        <f aca="false">SUM(C31:F31)</f>
        <v>17346425</v>
      </c>
    </row>
    <row r="32" customFormat="false" ht="15" hidden="false" customHeight="false" outlineLevel="0" collapsed="false">
      <c r="B32" s="4" t="s">
        <v>389</v>
      </c>
    </row>
    <row r="34" customFormat="false" ht="15" hidden="false" customHeight="false" outlineLevel="0" collapsed="false">
      <c r="B34" s="6" t="s">
        <v>390</v>
      </c>
      <c r="C34" s="7"/>
      <c r="D34" s="7"/>
      <c r="E34" s="7"/>
      <c r="F34" s="7"/>
      <c r="G34" s="7"/>
    </row>
    <row r="35" customFormat="false" ht="15" hidden="false" customHeight="false" outlineLevel="0" collapsed="false">
      <c r="C35" s="8" t="s">
        <v>391</v>
      </c>
      <c r="D35" s="8" t="s">
        <v>392</v>
      </c>
      <c r="E35" s="8" t="s">
        <v>393</v>
      </c>
      <c r="F35" s="8" t="s">
        <v>394</v>
      </c>
    </row>
    <row r="36" customFormat="false" ht="15" hidden="false" customHeight="false" outlineLevel="0" collapsed="false">
      <c r="B36" s="15" t="s">
        <v>184</v>
      </c>
      <c r="C36" s="35" t="n">
        <f aca="false">'Sensitivities, the data'!$G$36</f>
        <v>48050000</v>
      </c>
      <c r="D36" s="35" t="n">
        <f aca="false">$G$30</f>
        <v>52997520</v>
      </c>
      <c r="E36" s="35" t="n">
        <f aca="false">D36-C36</f>
        <v>4947520</v>
      </c>
      <c r="F36" s="36" t="n">
        <f aca="false">IF(C36=0,0,E36/C36)</f>
        <v>0.102966077003122</v>
      </c>
    </row>
    <row r="37" customFormat="false" ht="15" hidden="false" customHeight="false" outlineLevel="0" collapsed="false">
      <c r="B37" s="3" t="s">
        <v>181</v>
      </c>
      <c r="C37" s="19" t="n">
        <f aca="false">'Sensitivities, the data'!$G$32</f>
        <v>3900</v>
      </c>
      <c r="D37" s="19" t="n">
        <f aca="false">$G$19</f>
        <v>4842</v>
      </c>
      <c r="E37" s="19" t="n">
        <f aca="false">D37-C37</f>
        <v>942</v>
      </c>
      <c r="F37" s="26" t="n">
        <f aca="false">IF(C37=0,0,E37/C37)</f>
        <v>0.241538461538462</v>
      </c>
    </row>
    <row r="38" customFormat="false" ht="15" hidden="false" customHeight="false" outlineLevel="0" collapsed="false">
      <c r="B38" s="3" t="s">
        <v>182</v>
      </c>
      <c r="C38" s="19" t="n">
        <f aca="false">'Sensitivities, the data'!$G$33</f>
        <v>5330</v>
      </c>
      <c r="D38" s="19" t="n">
        <f aca="false">$G$21</f>
        <v>6564</v>
      </c>
      <c r="E38" s="19" t="n">
        <f aca="false">D38-C38</f>
        <v>1234</v>
      </c>
      <c r="F38" s="26" t="n">
        <f aca="false">IF(C38=0,0,E38/C38)</f>
        <v>0.231519699812383</v>
      </c>
    </row>
    <row r="39" customFormat="false" ht="15" hidden="false" customHeight="false" outlineLevel="0" collapsed="false">
      <c r="B39" s="3" t="s">
        <v>183</v>
      </c>
      <c r="C39" s="19" t="n">
        <f aca="false">'Sensitivities, the data'!$G$34</f>
        <v>980</v>
      </c>
      <c r="D39" s="19" t="n">
        <f aca="false">$G$23</f>
        <v>1317</v>
      </c>
      <c r="E39" s="19" t="n">
        <f aca="false">D39-C39</f>
        <v>337</v>
      </c>
      <c r="F39" s="26" t="n">
        <f aca="false">IF(C39=0,0,E39/C39)</f>
        <v>0.343877551020408</v>
      </c>
    </row>
    <row r="40" customFormat="false" ht="15" hidden="false" customHeight="false" outlineLevel="0" collapsed="false">
      <c r="B40" s="3" t="s">
        <v>106</v>
      </c>
      <c r="C40" s="19" t="n">
        <f aca="false">'Sensitivities, the data'!$G$35</f>
        <v>16660</v>
      </c>
      <c r="D40" s="19" t="n">
        <f aca="false">$G$25</f>
        <v>21322</v>
      </c>
      <c r="E40" s="19" t="n">
        <f aca="false">D40-C40</f>
        <v>4662</v>
      </c>
      <c r="F40" s="26" t="n">
        <f aca="false">IF(C40=0,0,E40/C40)</f>
        <v>0.279831932773109</v>
      </c>
    </row>
    <row r="41" customFormat="false" ht="15" hidden="false" customHeight="false" outlineLevel="0" collapsed="false">
      <c r="B41" s="3" t="s">
        <v>180</v>
      </c>
      <c r="C41" s="19" t="n">
        <f aca="false">'Sensitivities, the data'!$G$31</f>
        <v>150650</v>
      </c>
      <c r="D41" s="19" t="n">
        <f aca="false">$G$27</f>
        <v>178649.2</v>
      </c>
      <c r="E41" s="19" t="n">
        <f aca="false">D41-C41</f>
        <v>27999.2</v>
      </c>
      <c r="F41" s="26" t="n">
        <f aca="false">IF(C41=0,0,E41/C41)</f>
        <v>0.185855957517425</v>
      </c>
    </row>
    <row r="42" customFormat="false" ht="15" hidden="false" customHeight="false" outlineLevel="0" collapsed="false">
      <c r="B42" s="3" t="s">
        <v>179</v>
      </c>
      <c r="C42" s="19" t="n">
        <f aca="false">'Sensitivities, the data'!$G$30</f>
        <v>152940</v>
      </c>
      <c r="D42" s="19" t="n">
        <f aca="false">$G$29</f>
        <v>172969</v>
      </c>
      <c r="E42" s="19" t="n">
        <f aca="false">D42-C42</f>
        <v>20029</v>
      </c>
      <c r="F42" s="26" t="n">
        <f aca="false">IF(C42=0,0,E42/C42)</f>
        <v>0.130959853537335</v>
      </c>
    </row>
    <row r="44" customFormat="false" ht="15" hidden="false" customHeight="false" outlineLevel="0" collapsed="false">
      <c r="B44" s="3" t="s">
        <v>66</v>
      </c>
      <c r="C44" s="19" t="n">
        <f aca="false">'Sensitivities, the data'!$C$19</f>
        <v>3510000</v>
      </c>
      <c r="D44" s="19" t="n">
        <f aca="false">C44*$D$37/$C$37</f>
        <v>4357800</v>
      </c>
      <c r="E44" s="19" t="n">
        <f aca="false">D44-C44</f>
        <v>847800</v>
      </c>
      <c r="F44" s="26" t="n">
        <f aca="false">IF(C44=0,0,E44/C44)</f>
        <v>0.241538461538462</v>
      </c>
    </row>
    <row r="45" customFormat="false" ht="15" hidden="false" customHeight="false" outlineLevel="0" collapsed="false">
      <c r="B45" s="3" t="s">
        <v>69</v>
      </c>
      <c r="C45" s="19" t="n">
        <f aca="false">'Sensitivities, the data'!$C$20</f>
        <v>1980000</v>
      </c>
      <c r="D45" s="19" t="n">
        <f aca="false">C45*$D$38/$C$38</f>
        <v>2438409.00562852</v>
      </c>
      <c r="E45" s="19" t="n">
        <f aca="false">D45-C45</f>
        <v>458409.005628518</v>
      </c>
      <c r="F45" s="26" t="n">
        <f aca="false">IF(C45=0,0,E45/C45)</f>
        <v>0.231519699812383</v>
      </c>
    </row>
    <row r="46" customFormat="false" ht="15" hidden="false" customHeight="false" outlineLevel="0" collapsed="false">
      <c r="B46" s="3" t="s">
        <v>71</v>
      </c>
      <c r="C46" s="19" t="n">
        <f aca="false">'Sensitivities, the data'!$C$21</f>
        <v>4620000</v>
      </c>
      <c r="D46" s="19" t="n">
        <f aca="false">C46*$D$41/$C$41</f>
        <v>5478654.5237305</v>
      </c>
      <c r="E46" s="19" t="n">
        <f aca="false">D46-C46</f>
        <v>858654.523730502</v>
      </c>
      <c r="F46" s="26" t="n">
        <f aca="false">IF(C46=0,0,E46/C46)</f>
        <v>0.185855957517425</v>
      </c>
    </row>
    <row r="47" customFormat="false" ht="15" hidden="false" customHeight="false" outlineLevel="0" collapsed="false">
      <c r="B47" s="3" t="s">
        <v>74</v>
      </c>
      <c r="C47" s="19" t="n">
        <f aca="false">'Sensitivities, the data'!$C$22</f>
        <v>1610000</v>
      </c>
      <c r="D47" s="19" t="n">
        <f aca="false">C47*$D$39/$C$39</f>
        <v>2163642.85714286</v>
      </c>
      <c r="E47" s="19" t="n">
        <f aca="false">D47-C47</f>
        <v>553642.857142857</v>
      </c>
      <c r="F47" s="26" t="n">
        <f aca="false">IF(C47=0,0,E47/C47)</f>
        <v>0.343877551020408</v>
      </c>
    </row>
    <row r="48" customFormat="false" ht="15" hidden="false" customHeight="false" outlineLevel="0" collapsed="false">
      <c r="B48" s="3" t="s">
        <v>76</v>
      </c>
      <c r="C48" s="19" t="n">
        <f aca="false">'Sensitivities, the data'!$C$23</f>
        <v>1720000</v>
      </c>
      <c r="D48" s="19" t="n">
        <f aca="false">C48*$D$40/$C$40</f>
        <v>2201310.92436975</v>
      </c>
      <c r="E48" s="19" t="n">
        <f aca="false">D48-C48</f>
        <v>481310.924369748</v>
      </c>
      <c r="F48" s="26" t="n">
        <f aca="false">IF(C48=0,0,E48/C48)</f>
        <v>0.279831932773109</v>
      </c>
    </row>
    <row r="49" customFormat="false" ht="15" hidden="false" customHeight="false" outlineLevel="0" collapsed="false">
      <c r="B49" s="15" t="s">
        <v>395</v>
      </c>
      <c r="C49" s="48" t="n">
        <f aca="false">SUM(C44:C48)</f>
        <v>13440000</v>
      </c>
      <c r="D49" s="48" t="n">
        <f aca="false">SUM(D44:D48)</f>
        <v>16639817.3108716</v>
      </c>
      <c r="E49" s="48" t="n">
        <f aca="false">D49-C49</f>
        <v>3199817.31087162</v>
      </c>
      <c r="F49" s="36" t="n">
        <f aca="false">IF(C49=0,0,E49/C49)</f>
        <v>0.238081645154139</v>
      </c>
    </row>
    <row r="50" customFormat="false" ht="15" hidden="false" customHeight="false" outlineLevel="0" collapsed="false">
      <c r="B50" s="3" t="s">
        <v>111</v>
      </c>
      <c r="C50" s="19" t="n">
        <f aca="false">'Sensitivities, the data'!$G$37</f>
        <v>15796500</v>
      </c>
      <c r="D50" s="19" t="n">
        <f aca="false">$G$31</f>
        <v>17346425</v>
      </c>
      <c r="E50" s="19" t="n">
        <f aca="false">D50-C50</f>
        <v>1549925</v>
      </c>
      <c r="F50" s="26" t="n">
        <f aca="false">IF(C50=0,0,E50/C50)</f>
        <v>0.0981182540436173</v>
      </c>
    </row>
    <row r="51" customFormat="false" ht="15" hidden="false" customHeight="false" outlineLevel="0" collapsed="false">
      <c r="B51" s="3" t="s">
        <v>112</v>
      </c>
      <c r="C51" s="19" t="n">
        <f aca="false">C42*'Sensitivities, the data'!$C$25</f>
        <v>4802316</v>
      </c>
      <c r="D51" s="19" t="n">
        <f aca="false">D42*'Sensitivities, the data'!$C$25</f>
        <v>5431226.6</v>
      </c>
      <c r="E51" s="19" t="n">
        <f aca="false">D51-C51</f>
        <v>628910.6</v>
      </c>
      <c r="F51" s="26" t="n">
        <f aca="false">IF(C51=0,0,E51/C51)</f>
        <v>0.130959853537335</v>
      </c>
    </row>
    <row r="52" customFormat="false" ht="15" hidden="false" customHeight="false" outlineLevel="0" collapsed="false">
      <c r="B52" s="3" t="s">
        <v>396</v>
      </c>
      <c r="C52" s="19" t="n">
        <f aca="false">C49+C50+C51</f>
        <v>34038816</v>
      </c>
      <c r="D52" s="19" t="n">
        <f aca="false">D49+D50+D51</f>
        <v>39417468.9108716</v>
      </c>
      <c r="E52" s="19" t="n">
        <f aca="false">D52-C52</f>
        <v>5378652.91087163</v>
      </c>
      <c r="F52" s="26" t="n">
        <f aca="false">IF(C52=0,0,E52/C52)</f>
        <v>0.158015276173872</v>
      </c>
    </row>
    <row r="53" customFormat="false" ht="15" hidden="false" customHeight="false" outlineLevel="0" collapsed="false">
      <c r="B53" s="15" t="s">
        <v>397</v>
      </c>
      <c r="C53" s="48" t="n">
        <f aca="false">C36-C52</f>
        <v>14011184</v>
      </c>
      <c r="D53" s="48" t="n">
        <f aca="false">D36-D52</f>
        <v>13580051.0891284</v>
      </c>
      <c r="E53" s="48" t="n">
        <f aca="false">D53-C53</f>
        <v>-431132.910871625</v>
      </c>
      <c r="F53" s="36" t="n">
        <f aca="false">IF(C53=0,0,E53/C53)</f>
        <v>-0.0307706265845645</v>
      </c>
    </row>
    <row r="54" customFormat="false" ht="15" hidden="false" customHeight="false" outlineLevel="0" collapsed="false">
      <c r="B54" s="3" t="s">
        <v>398</v>
      </c>
      <c r="C54" s="19" t="n">
        <f aca="false">'Sensitivities, the data'!$C$26</f>
        <v>6720000</v>
      </c>
      <c r="D54" s="19" t="n">
        <f aca="false">'Sensitivities, the data'!$C$26</f>
        <v>6720000</v>
      </c>
      <c r="E54" s="19" t="n">
        <f aca="false">D54-C54</f>
        <v>0</v>
      </c>
      <c r="F54" s="26" t="n">
        <f aca="false">IF(C54=0,0,E54/C54)</f>
        <v>0</v>
      </c>
    </row>
    <row r="55" customFormat="false" ht="15" hidden="false" customHeight="false" outlineLevel="0" collapsed="false">
      <c r="B55" s="15" t="s">
        <v>399</v>
      </c>
      <c r="C55" s="48" t="n">
        <f aca="false">C53-C54</f>
        <v>7291184</v>
      </c>
      <c r="D55" s="48" t="n">
        <f aca="false">D53-D54</f>
        <v>6860051.08912838</v>
      </c>
      <c r="E55" s="48" t="n">
        <f aca="false">D55-C55</f>
        <v>-431132.910871625</v>
      </c>
      <c r="F55" s="36" t="n">
        <f aca="false">IF(C55=0,0,E55/C55)</f>
        <v>-0.0591307133205835</v>
      </c>
    </row>
    <row r="56" customFormat="false" ht="15" hidden="false" customHeight="false" outlineLevel="0" collapsed="false">
      <c r="B56" s="3" t="s">
        <v>400</v>
      </c>
      <c r="C56" s="26" t="n">
        <f aca="false">C55/C36</f>
        <v>0.151741602497399</v>
      </c>
      <c r="D56" s="26" t="n">
        <f aca="false">D55/D36</f>
        <v>0.129440983071064</v>
      </c>
      <c r="E56" s="26" t="n">
        <f aca="false">D56-C56</f>
        <v>-0.0223006194263345</v>
      </c>
    </row>
    <row r="57" customFormat="false" ht="15" hidden="false" customHeight="false" outlineLevel="0" collapsed="false">
      <c r="B57" s="3" t="s">
        <v>401</v>
      </c>
      <c r="C57" s="20" t="n">
        <f aca="false">C49/C42</f>
        <v>87.8775990584543</v>
      </c>
      <c r="D57" s="20" t="n">
        <f aca="false">D49/D42</f>
        <v>96.2011534487199</v>
      </c>
      <c r="E57" s="20" t="n">
        <f aca="false">D57-C57</f>
        <v>8.32355439026556</v>
      </c>
    </row>
    <row r="59" customFormat="false" ht="15" hidden="false" customHeight="false" outlineLevel="0" collapsed="false">
      <c r="B59" s="4" t="s">
        <v>402</v>
      </c>
    </row>
    <row r="60" customFormat="false" ht="15" hidden="false" customHeight="false" outlineLevel="0" collapsed="false">
      <c r="B60" s="4" t="s">
        <v>403</v>
      </c>
    </row>
    <row r="61" customFormat="false" ht="15" hidden="false" customHeight="false" outlineLevel="0" collapsed="false">
      <c r="B61" s="4" t="s">
        <v>404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2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4" min="3" style="0" width="17"/>
    <col collapsed="false" customWidth="true" hidden="false" outlineLevel="0" max="5" min="5" style="0" width="15"/>
    <col collapsed="false" customWidth="true" hidden="false" outlineLevel="0" max="6" min="6" style="0" width="9"/>
  </cols>
  <sheetData>
    <row r="2" customFormat="false" ht="17.35" hidden="false" customHeight="false" outlineLevel="0" collapsed="false">
      <c r="B2" s="1" t="s">
        <v>405</v>
      </c>
    </row>
    <row r="3" customFormat="false" ht="15" hidden="false" customHeight="false" outlineLevel="0" collapsed="false">
      <c r="B3" s="3" t="s">
        <v>406</v>
      </c>
    </row>
    <row r="4" customFormat="false" ht="15" hidden="false" customHeight="false" outlineLevel="0" collapsed="false">
      <c r="B4" s="3" t="s">
        <v>407</v>
      </c>
    </row>
    <row r="5" customFormat="false" ht="15" hidden="false" customHeight="false" outlineLevel="0" collapsed="false">
      <c r="B5" s="4" t="s">
        <v>408</v>
      </c>
    </row>
    <row r="7" customFormat="false" ht="15" hidden="false" customHeight="false" outlineLevel="0" collapsed="false">
      <c r="B7" s="6" t="s">
        <v>409</v>
      </c>
      <c r="C7" s="7"/>
      <c r="D7" s="7"/>
      <c r="E7" s="7"/>
      <c r="F7" s="7"/>
    </row>
    <row r="8" customFormat="false" ht="15" hidden="false" customHeight="false" outlineLevel="0" collapsed="false">
      <c r="B8" s="3" t="s">
        <v>410</v>
      </c>
      <c r="C8" s="19" t="n">
        <v>13440000</v>
      </c>
      <c r="D8" s="49" t="n">
        <f aca="false">ROUND('Cost Your Own Part'!$D$15,0)</f>
        <v>13440000</v>
      </c>
      <c r="E8" s="11" t="n">
        <f aca="false">D8-C8</f>
        <v>0</v>
      </c>
      <c r="F8" s="22" t="str">
        <f aca="false">IF(ABS(E8)&lt;0.00000001,"PASS","FAIL")</f>
        <v>PASS</v>
      </c>
    </row>
    <row r="9" customFormat="false" ht="15" hidden="false" customHeight="false" outlineLevel="0" collapsed="false">
      <c r="B9" s="3" t="s">
        <v>411</v>
      </c>
      <c r="C9" s="19" t="n">
        <v>152940</v>
      </c>
      <c r="D9" s="49" t="n">
        <f aca="false">ROUND('Cost Your Own Part'!$C$19,0)</f>
        <v>152940</v>
      </c>
      <c r="E9" s="11" t="n">
        <f aca="false">D9-C9</f>
        <v>0</v>
      </c>
      <c r="F9" s="22" t="str">
        <f aca="false">IF(ABS(E9)&lt;0.00000001,"PASS","FAIL")</f>
        <v>PASS</v>
      </c>
    </row>
    <row r="10" customFormat="false" ht="15" hidden="false" customHeight="false" outlineLevel="0" collapsed="false">
      <c r="B10" s="3" t="s">
        <v>412</v>
      </c>
      <c r="C10" s="11" t="n">
        <v>87.8776</v>
      </c>
      <c r="D10" s="50" t="n">
        <f aca="false">ROUND('Cost Your Own Part'!$C$21,4)</f>
        <v>87.8776</v>
      </c>
      <c r="E10" s="11" t="n">
        <f aca="false">D10-C10</f>
        <v>0</v>
      </c>
      <c r="F10" s="22" t="str">
        <f aca="false">IF(ABS(E10)&lt;0.00000001,"PASS","FAIL")</f>
        <v>PASS</v>
      </c>
    </row>
    <row r="11" customFormat="false" ht="15" hidden="false" customHeight="false" outlineLevel="0" collapsed="false">
      <c r="B11" s="3" t="s">
        <v>187</v>
      </c>
      <c r="C11" s="11" t="n">
        <v>900</v>
      </c>
      <c r="D11" s="50" t="n">
        <f aca="false">ROUND('Cost Your Own Part'!$F$10,4)</f>
        <v>900</v>
      </c>
      <c r="E11" s="11" t="n">
        <f aca="false">D11-C11</f>
        <v>0</v>
      </c>
      <c r="F11" s="22" t="str">
        <f aca="false">IF(ABS(E11)&lt;0.00000001,"PASS","FAIL")</f>
        <v>PASS</v>
      </c>
    </row>
    <row r="12" customFormat="false" ht="15" hidden="false" customHeight="false" outlineLevel="0" collapsed="false">
      <c r="B12" s="3" t="s">
        <v>188</v>
      </c>
      <c r="C12" s="11" t="n">
        <v>371.4822</v>
      </c>
      <c r="D12" s="50" t="n">
        <f aca="false">ROUND('Cost Your Own Part'!$F$11,4)</f>
        <v>371.4822</v>
      </c>
      <c r="E12" s="11" t="n">
        <f aca="false">D12-C12</f>
        <v>0</v>
      </c>
      <c r="F12" s="22" t="str">
        <f aca="false">IF(ABS(E12)&lt;0.00000001,"PASS","FAIL")</f>
        <v>PASS</v>
      </c>
    </row>
    <row r="13" customFormat="false" ht="15" hidden="false" customHeight="false" outlineLevel="0" collapsed="false">
      <c r="B13" s="3" t="s">
        <v>189</v>
      </c>
      <c r="C13" s="11" t="n">
        <v>30.6671</v>
      </c>
      <c r="D13" s="50" t="n">
        <f aca="false">ROUND('Cost Your Own Part'!$F$12,4)</f>
        <v>30.6671</v>
      </c>
      <c r="E13" s="11" t="n">
        <f aca="false">D13-C13</f>
        <v>0</v>
      </c>
      <c r="F13" s="22" t="str">
        <f aca="false">IF(ABS(E13)&lt;0.00000001,"PASS","FAIL")</f>
        <v>PASS</v>
      </c>
    </row>
    <row r="14" customFormat="false" ht="15" hidden="false" customHeight="false" outlineLevel="0" collapsed="false">
      <c r="B14" s="3" t="s">
        <v>190</v>
      </c>
      <c r="C14" s="11" t="n">
        <v>1642.8571</v>
      </c>
      <c r="D14" s="50" t="n">
        <f aca="false">ROUND('Cost Your Own Part'!$F$13,4)</f>
        <v>1642.8571</v>
      </c>
      <c r="E14" s="11" t="n">
        <f aca="false">D14-C14</f>
        <v>0</v>
      </c>
      <c r="F14" s="22" t="str">
        <f aca="false">IF(ABS(E14)&lt;0.00000001,"PASS","FAIL")</f>
        <v>PASS</v>
      </c>
    </row>
    <row r="15" customFormat="false" ht="15" hidden="false" customHeight="false" outlineLevel="0" collapsed="false">
      <c r="B15" s="3" t="s">
        <v>191</v>
      </c>
      <c r="C15" s="11" t="n">
        <v>103.2413</v>
      </c>
      <c r="D15" s="50" t="n">
        <f aca="false">ROUND('Cost Your Own Part'!$F$14,4)</f>
        <v>103.2413</v>
      </c>
      <c r="E15" s="11" t="n">
        <f aca="false">D15-C15</f>
        <v>0</v>
      </c>
      <c r="F15" s="22" t="str">
        <f aca="false">IF(ABS(E15)&lt;0.00000001,"PASS","FAIL")</f>
        <v>PASS</v>
      </c>
    </row>
    <row r="16" customFormat="false" ht="15" hidden="false" customHeight="false" outlineLevel="0" collapsed="false">
      <c r="B16" s="3" t="s">
        <v>413</v>
      </c>
      <c r="C16" s="19" t="n">
        <v>38610</v>
      </c>
      <c r="D16" s="49" t="n">
        <f aca="false">ROUND('Cost Your Own Part'!$C$36,0)</f>
        <v>38610</v>
      </c>
      <c r="E16" s="11" t="n">
        <f aca="false">D16-C16</f>
        <v>0</v>
      </c>
      <c r="F16" s="22" t="str">
        <f aca="false">IF(ABS(E16)&lt;0.00000001,"PASS","FAIL")</f>
        <v>PASS</v>
      </c>
    </row>
    <row r="17" customFormat="false" ht="15" hidden="false" customHeight="false" outlineLevel="0" collapsed="false">
      <c r="B17" s="3" t="s">
        <v>414</v>
      </c>
      <c r="C17" s="19" t="n">
        <v>1521000</v>
      </c>
      <c r="D17" s="49" t="n">
        <f aca="false">ROUND('Cost Your Own Part'!$D$34,0)</f>
        <v>1521000</v>
      </c>
      <c r="E17" s="11" t="n">
        <f aca="false">D17-C17</f>
        <v>0</v>
      </c>
      <c r="F17" s="22" t="str">
        <f aca="false">IF(ABS(E17)&lt;0.00000001,"PASS","FAIL")</f>
        <v>PASS</v>
      </c>
    </row>
    <row r="18" customFormat="false" ht="15" hidden="false" customHeight="false" outlineLevel="0" collapsed="false">
      <c r="B18" s="3" t="s">
        <v>415</v>
      </c>
      <c r="C18" s="19" t="n">
        <v>809831</v>
      </c>
      <c r="D18" s="49" t="n">
        <f aca="false">ROUND('Cost Your Own Part'!$D$35,0)</f>
        <v>809831</v>
      </c>
      <c r="E18" s="11" t="n">
        <f aca="false">D18-C18</f>
        <v>0</v>
      </c>
      <c r="F18" s="22" t="str">
        <f aca="false">IF(ABS(E18)&lt;0.00000001,"PASS","FAIL")</f>
        <v>PASS</v>
      </c>
    </row>
    <row r="19" customFormat="false" ht="15" hidden="false" customHeight="false" outlineLevel="0" collapsed="false">
      <c r="B19" s="3" t="s">
        <v>416</v>
      </c>
      <c r="C19" s="19" t="n">
        <v>1184057</v>
      </c>
      <c r="D19" s="49" t="n">
        <f aca="false">ROUND('Cost Your Own Part'!$D$36,0)</f>
        <v>1184057</v>
      </c>
      <c r="E19" s="11" t="n">
        <f aca="false">D19-C19</f>
        <v>0</v>
      </c>
      <c r="F19" s="22" t="str">
        <f aca="false">IF(ABS(E19)&lt;0.00000001,"PASS","FAIL")</f>
        <v>PASS</v>
      </c>
    </row>
    <row r="20" customFormat="false" ht="15" hidden="false" customHeight="false" outlineLevel="0" collapsed="false">
      <c r="B20" s="3" t="s">
        <v>417</v>
      </c>
      <c r="C20" s="19" t="n">
        <v>1133571</v>
      </c>
      <c r="D20" s="49" t="n">
        <f aca="false">ROUND('Cost Your Own Part'!$D$37,0)</f>
        <v>1133571</v>
      </c>
      <c r="E20" s="11" t="n">
        <f aca="false">D20-C20</f>
        <v>0</v>
      </c>
      <c r="F20" s="22" t="str">
        <f aca="false">IF(ABS(E20)&lt;0.00000001,"PASS","FAIL")</f>
        <v>PASS</v>
      </c>
    </row>
    <row r="21" customFormat="false" ht="15" hidden="false" customHeight="false" outlineLevel="0" collapsed="false">
      <c r="B21" s="3" t="s">
        <v>418</v>
      </c>
      <c r="C21" s="19" t="n">
        <v>900264</v>
      </c>
      <c r="D21" s="49" t="n">
        <f aca="false">ROUND('Cost Your Own Part'!$D$38,0)</f>
        <v>900264</v>
      </c>
      <c r="E21" s="11" t="n">
        <f aca="false">D21-C21</f>
        <v>0</v>
      </c>
      <c r="F21" s="22" t="str">
        <f aca="false">IF(ABS(E21)&lt;0.00000001,"PASS","FAIL")</f>
        <v>PASS</v>
      </c>
    </row>
    <row r="22" customFormat="false" ht="15" hidden="false" customHeight="false" outlineLevel="0" collapsed="false">
      <c r="B22" s="3" t="s">
        <v>419</v>
      </c>
      <c r="C22" s="19" t="n">
        <v>5548724</v>
      </c>
      <c r="D22" s="49" t="n">
        <f aca="false">ROUND('Cost Your Own Part'!$D$39,0)</f>
        <v>5548724</v>
      </c>
      <c r="E22" s="11" t="n">
        <f aca="false">D22-C22</f>
        <v>0</v>
      </c>
      <c r="F22" s="22" t="str">
        <f aca="false">IF(ABS(E22)&lt;0.00000001,"PASS","FAIL")</f>
        <v>PASS</v>
      </c>
    </row>
    <row r="23" customFormat="false" ht="15" hidden="false" customHeight="false" outlineLevel="0" collapsed="false">
      <c r="B23" s="3" t="s">
        <v>199</v>
      </c>
      <c r="C23" s="20" t="n">
        <v>284.55</v>
      </c>
      <c r="D23" s="51" t="n">
        <f aca="false">ROUND('Cost Your Own Part'!$E$39,2)</f>
        <v>284.55</v>
      </c>
      <c r="E23" s="11" t="n">
        <f aca="false">D23-C23</f>
        <v>0</v>
      </c>
      <c r="F23" s="22" t="str">
        <f aca="false">IF(ABS(E23)&lt;0.00000001,"PASS","FAIL")</f>
        <v>PASS</v>
      </c>
    </row>
    <row r="24" customFormat="false" ht="15" hidden="false" customHeight="false" outlineLevel="0" collapsed="false">
      <c r="B24" s="3" t="s">
        <v>94</v>
      </c>
      <c r="C24" s="20" t="n">
        <v>104</v>
      </c>
      <c r="D24" s="51" t="n">
        <f aca="false">ROUND('Cost Your Own Part'!$C$44,2)</f>
        <v>104</v>
      </c>
      <c r="E24" s="11" t="n">
        <f aca="false">D24-C24</f>
        <v>0</v>
      </c>
      <c r="F24" s="22" t="str">
        <f aca="false">IF(ABS(E24)&lt;0.00000001,"PASS","FAIL")</f>
        <v>PASS</v>
      </c>
    </row>
    <row r="25" customFormat="false" ht="15" hidden="false" customHeight="false" outlineLevel="0" collapsed="false">
      <c r="B25" s="3" t="s">
        <v>420</v>
      </c>
      <c r="C25" s="20" t="n">
        <v>48.36</v>
      </c>
      <c r="D25" s="51" t="n">
        <f aca="false">ROUND('Cost Your Own Part'!$C$45,2)</f>
        <v>48.36</v>
      </c>
      <c r="E25" s="11" t="n">
        <f aca="false">D25-C25</f>
        <v>0</v>
      </c>
      <c r="F25" s="22" t="str">
        <f aca="false">IF(ABS(E25)&lt;0.00000001,"PASS","FAIL")</f>
        <v>PASS</v>
      </c>
    </row>
    <row r="26" customFormat="false" ht="15" hidden="false" customHeight="false" outlineLevel="0" collapsed="false">
      <c r="B26" s="3" t="s">
        <v>201</v>
      </c>
      <c r="C26" s="20" t="n">
        <v>135.33</v>
      </c>
      <c r="D26" s="51" t="n">
        <f aca="false">ROUND('Cost Your Own Part'!$C$46,2)</f>
        <v>135.33</v>
      </c>
      <c r="E26" s="11" t="n">
        <f aca="false">D26-C26</f>
        <v>0</v>
      </c>
      <c r="F26" s="22" t="str">
        <f aca="false">IF(ABS(E26)&lt;0.00000001,"PASS","FAIL")</f>
        <v>PASS</v>
      </c>
    </row>
    <row r="27" customFormat="false" ht="15" hidden="false" customHeight="false" outlineLevel="0" collapsed="false">
      <c r="B27" s="3" t="s">
        <v>202</v>
      </c>
      <c r="C27" s="20" t="n">
        <v>287.69</v>
      </c>
      <c r="D27" s="51" t="n">
        <f aca="false">ROUND('Cost Your Own Part'!$C$47,2)</f>
        <v>287.69</v>
      </c>
      <c r="E27" s="11" t="n">
        <f aca="false">D27-C27</f>
        <v>0</v>
      </c>
      <c r="F27" s="22" t="str">
        <f aca="false">IF(ABS(E27)&lt;0.00000001,"PASS","FAIL")</f>
        <v>PASS</v>
      </c>
    </row>
    <row r="28" customFormat="false" ht="15" hidden="false" customHeight="false" outlineLevel="0" collapsed="false">
      <c r="B28" s="3" t="s">
        <v>200</v>
      </c>
      <c r="C28" s="20" t="n">
        <v>436.91</v>
      </c>
      <c r="D28" s="51" t="n">
        <f aca="false">ROUND('Cost Your Own Part'!$C$49,2)</f>
        <v>436.91</v>
      </c>
      <c r="E28" s="11" t="n">
        <f aca="false">D28-C28</f>
        <v>0</v>
      </c>
      <c r="F28" s="22" t="str">
        <f aca="false">IF(ABS(E28)&lt;0.00000001,"PASS","FAIL")</f>
        <v>PASS</v>
      </c>
    </row>
    <row r="29" customFormat="false" ht="15" hidden="false" customHeight="false" outlineLevel="0" collapsed="false">
      <c r="B29" s="3" t="s">
        <v>421</v>
      </c>
      <c r="C29" s="20" t="n">
        <v>149.22</v>
      </c>
      <c r="D29" s="51" t="n">
        <f aca="false">ROUND('Cost Your Own Part'!$C$50,2)</f>
        <v>149.22</v>
      </c>
      <c r="E29" s="11" t="n">
        <f aca="false">D29-C29</f>
        <v>0</v>
      </c>
      <c r="F29" s="22" t="str">
        <f aca="false">IF(ABS(E29)&lt;0.00000001,"PASS","FAIL")</f>
        <v>PASS</v>
      </c>
    </row>
    <row r="30" customFormat="false" ht="15" hidden="false" customHeight="false" outlineLevel="0" collapsed="false">
      <c r="B30" s="3" t="s">
        <v>422</v>
      </c>
      <c r="C30" s="52" t="n">
        <v>0.519</v>
      </c>
      <c r="D30" s="53" t="n">
        <f aca="false">ROUND('Cost Your Own Part'!$C$51,3)</f>
        <v>0.519</v>
      </c>
      <c r="E30" s="11" t="n">
        <f aca="false">D30-C30</f>
        <v>0</v>
      </c>
      <c r="F30" s="22" t="str">
        <f aca="false">IF(ABS(E30)&lt;0.00000001,"PASS","FAIL")</f>
        <v>PASS</v>
      </c>
    </row>
    <row r="31" customFormat="false" ht="15" hidden="false" customHeight="false" outlineLevel="0" collapsed="false">
      <c r="B31" s="3" t="s">
        <v>423</v>
      </c>
      <c r="C31" s="52" t="n">
        <v>0.173</v>
      </c>
      <c r="D31" s="53" t="n">
        <f aca="false">ROUND('Cost Your Own Part'!$C$54,3)</f>
        <v>0.173</v>
      </c>
      <c r="E31" s="11" t="n">
        <f aca="false">D31-C31</f>
        <v>0</v>
      </c>
      <c r="F31" s="22" t="str">
        <f aca="false">IF(ABS(E31)&lt;0.00000001,"PASS","FAIL")</f>
        <v>PASS</v>
      </c>
    </row>
    <row r="32" customFormat="false" ht="15" hidden="false" customHeight="false" outlineLevel="0" collapsed="false">
      <c r="B32" s="3" t="s">
        <v>424</v>
      </c>
      <c r="C32" s="52" t="n">
        <v>-0.255</v>
      </c>
      <c r="D32" s="53" t="n">
        <f aca="false">ROUND('Cost Your Own Part'!$C$56,3)</f>
        <v>-0.255</v>
      </c>
      <c r="E32" s="11" t="n">
        <f aca="false">D32-C32</f>
        <v>0</v>
      </c>
      <c r="F32" s="22" t="str">
        <f aca="false">IF(ABS(E32)&lt;0.00000001,"PASS","FAIL")</f>
        <v>PASS</v>
      </c>
    </row>
    <row r="33" customFormat="false" ht="15" hidden="false" customHeight="false" outlineLevel="0" collapsed="false">
      <c r="B33" s="3" t="s">
        <v>425</v>
      </c>
      <c r="C33" s="20" t="n">
        <v>606.81</v>
      </c>
      <c r="D33" s="51" t="n">
        <f aca="false">ROUND('Cost Your Own Part'!$C$57,2)</f>
        <v>606.81</v>
      </c>
      <c r="E33" s="11" t="n">
        <f aca="false">D33-C33</f>
        <v>0</v>
      </c>
      <c r="F33" s="22" t="str">
        <f aca="false">IF(ABS(E33)&lt;0.00000001,"PASS","FAIL")</f>
        <v>PASS</v>
      </c>
    </row>
    <row r="34" customFormat="false" ht="15" hidden="false" customHeight="false" outlineLevel="0" collapsed="false">
      <c r="B34" s="3" t="s">
        <v>139</v>
      </c>
      <c r="C34" s="20" t="n">
        <v>301.78</v>
      </c>
      <c r="D34" s="51" t="n">
        <f aca="false">ROUND('Cost Your Own Part'!$C$70,2)</f>
        <v>301.78</v>
      </c>
      <c r="E34" s="11" t="n">
        <f aca="false">D34-C34</f>
        <v>0</v>
      </c>
      <c r="F34" s="22" t="str">
        <f aca="false">IF(ABS(E34)&lt;0.00000001,"PASS","FAIL")</f>
        <v>PASS</v>
      </c>
    </row>
    <row r="35" customFormat="false" ht="15" hidden="false" customHeight="false" outlineLevel="0" collapsed="false">
      <c r="B35" s="3" t="s">
        <v>141</v>
      </c>
      <c r="C35" s="52" t="n">
        <v>0.525</v>
      </c>
      <c r="D35" s="53" t="n">
        <f aca="false">ROUND('Cost Your Own Part'!$C$71,3)</f>
        <v>0.525</v>
      </c>
      <c r="E35" s="11" t="n">
        <f aca="false">D35-C35</f>
        <v>0</v>
      </c>
      <c r="F35" s="22" t="str">
        <f aca="false">IF(ABS(E35)&lt;0.00000001,"PASS","FAIL")</f>
        <v>PASS</v>
      </c>
    </row>
    <row r="36" customFormat="false" ht="15" hidden="false" customHeight="false" outlineLevel="0" collapsed="false">
      <c r="B36" s="3" t="s">
        <v>426</v>
      </c>
      <c r="C36" s="19" t="n">
        <v>2635033</v>
      </c>
      <c r="D36" s="49" t="n">
        <f aca="false">ROUND('Cost Your Own Part'!$D$72,0)</f>
        <v>2635033</v>
      </c>
      <c r="E36" s="11" t="n">
        <f aca="false">D36-C36</f>
        <v>0</v>
      </c>
      <c r="F36" s="22" t="str">
        <f aca="false">IF(ABS(E36)&lt;0.00000001,"PASS","FAIL")</f>
        <v>PASS</v>
      </c>
    </row>
    <row r="37" customFormat="false" ht="15" hidden="false" customHeight="false" outlineLevel="0" collapsed="false">
      <c r="B37" s="3" t="s">
        <v>147</v>
      </c>
      <c r="C37" s="29" t="n">
        <v>0.775</v>
      </c>
      <c r="D37" s="54" t="n">
        <f aca="false">ROUND('Cost Your Own Part'!$C$78,3)</f>
        <v>0.775</v>
      </c>
      <c r="E37" s="11" t="n">
        <f aca="false">D37-C37</f>
        <v>0</v>
      </c>
      <c r="F37" s="22" t="str">
        <f aca="false">IF(ABS(E37)&lt;0.00000001,"PASS","FAIL")</f>
        <v>PASS</v>
      </c>
    </row>
    <row r="38" customFormat="false" ht="15" hidden="false" customHeight="false" outlineLevel="0" collapsed="false">
      <c r="B38" s="3" t="s">
        <v>427</v>
      </c>
      <c r="C38" s="20" t="n">
        <v>1069.19</v>
      </c>
      <c r="D38" s="51" t="n">
        <f aca="false">ROUND('Cost Your Own Part'!$C$79,2)</f>
        <v>1069.19</v>
      </c>
      <c r="E38" s="11" t="n">
        <f aca="false">D38-C38</f>
        <v>0</v>
      </c>
      <c r="F38" s="22" t="str">
        <f aca="false">IF(ABS(E38)&lt;0.00000001,"PASS","FAIL")</f>
        <v>PASS</v>
      </c>
    </row>
    <row r="39" customFormat="false" ht="15" hidden="false" customHeight="false" outlineLevel="0" collapsed="false">
      <c r="B39" s="3" t="s">
        <v>428</v>
      </c>
      <c r="C39" s="20" t="n">
        <v>887.97</v>
      </c>
      <c r="D39" s="51" t="n">
        <f aca="false">ROUND('Cost Your Own Part'!$C$80,2)</f>
        <v>887.97</v>
      </c>
      <c r="E39" s="11" t="n">
        <f aca="false">D39-C39</f>
        <v>0</v>
      </c>
      <c r="F39" s="22" t="str">
        <f aca="false">IF(ABS(E39)&lt;0.00000001,"PASS","FAIL")</f>
        <v>PASS</v>
      </c>
    </row>
    <row r="40" customFormat="false" ht="15" hidden="false" customHeight="false" outlineLevel="0" collapsed="false">
      <c r="B40" s="3" t="s">
        <v>152</v>
      </c>
      <c r="C40" s="30" t="n">
        <v>8.9</v>
      </c>
      <c r="D40" s="55" t="n">
        <f aca="false">ROUND('Cost Your Own Part'!$C$81,1)</f>
        <v>8.9</v>
      </c>
      <c r="E40" s="11" t="n">
        <f aca="false">D40-C40</f>
        <v>0</v>
      </c>
      <c r="F40" s="22" t="str">
        <f aca="false">IF(ABS(E40)&lt;0.00000001,"PASS","FAIL")</f>
        <v>PASS</v>
      </c>
    </row>
    <row r="41" customFormat="false" ht="15" hidden="false" customHeight="false" outlineLevel="0" collapsed="false">
      <c r="B41" s="3" t="s">
        <v>153</v>
      </c>
      <c r="C41" s="20" t="n">
        <v>317.38</v>
      </c>
      <c r="D41" s="51" t="n">
        <f aca="false">ROUND('Cost Your Own Part'!$C$82,2)</f>
        <v>317.38</v>
      </c>
      <c r="E41" s="11" t="n">
        <f aca="false">D41-C41</f>
        <v>0</v>
      </c>
      <c r="F41" s="22" t="str">
        <f aca="false">IF(ABS(E41)&lt;0.00000001,"PASS","FAIL")</f>
        <v>PASS</v>
      </c>
    </row>
    <row r="42" customFormat="false" ht="15" hidden="false" customHeight="false" outlineLevel="0" collapsed="false">
      <c r="B42" s="3" t="s">
        <v>154</v>
      </c>
      <c r="C42" s="20" t="n">
        <v>30.62</v>
      </c>
      <c r="D42" s="51" t="n">
        <f aca="false">ROUND('Cost Your Own Part'!$C$83,2)</f>
        <v>30.62</v>
      </c>
      <c r="E42" s="11" t="n">
        <f aca="false">D42-C42</f>
        <v>0</v>
      </c>
      <c r="F42" s="22" t="str">
        <f aca="false">IF(ABS(E42)&lt;0.00000001,"PASS","FAIL")</f>
        <v>PASS</v>
      </c>
    </row>
    <row r="43" customFormat="false" ht="15" hidden="false" customHeight="false" outlineLevel="0" collapsed="false">
      <c r="B43" s="3" t="s">
        <v>429</v>
      </c>
      <c r="C43" s="30" t="n">
        <v>34.9</v>
      </c>
      <c r="D43" s="55" t="n">
        <f aca="false">ROUND('Cost Your Own Part'!$C$84,1)</f>
        <v>34.9</v>
      </c>
      <c r="E43" s="11" t="n">
        <f aca="false">D43-C43</f>
        <v>0</v>
      </c>
      <c r="F43" s="22" t="str">
        <f aca="false">IF(ABS(E43)&lt;0.00000001,"PASS","FAIL")</f>
        <v>PASS</v>
      </c>
    </row>
    <row r="44" customFormat="false" ht="15" hidden="false" customHeight="false" outlineLevel="0" collapsed="false">
      <c r="B44" s="3" t="s">
        <v>158</v>
      </c>
      <c r="C44" s="20" t="n">
        <v>145.49</v>
      </c>
      <c r="D44" s="51" t="n">
        <f aca="false">ROUND('Cost Your Own Part'!$C$86,2)</f>
        <v>145.49</v>
      </c>
      <c r="E44" s="11" t="n">
        <f aca="false">D44-C44</f>
        <v>0</v>
      </c>
      <c r="F44" s="22" t="str">
        <f aca="false">IF(ABS(E44)&lt;0.00000001,"PASS","FAIL")</f>
        <v>PASS</v>
      </c>
    </row>
    <row r="45" customFormat="false" ht="15" hidden="false" customHeight="false" outlineLevel="0" collapsed="false">
      <c r="B45" s="3" t="s">
        <v>430</v>
      </c>
      <c r="C45" s="30" t="n">
        <v>6.1</v>
      </c>
      <c r="D45" s="55" t="n">
        <f aca="false">ROUND('Cost Your Own Part'!$C$87,1)</f>
        <v>6.1</v>
      </c>
      <c r="E45" s="11" t="n">
        <f aca="false">D45-C45</f>
        <v>0</v>
      </c>
      <c r="F45" s="22" t="str">
        <f aca="false">IF(ABS(E45)&lt;0.00000001,"PASS","FAIL")</f>
        <v>PASS</v>
      </c>
    </row>
    <row r="46" customFormat="false" ht="15" hidden="false" customHeight="false" outlineLevel="0" collapsed="false">
      <c r="B46" s="6" t="s">
        <v>431</v>
      </c>
      <c r="C46" s="7"/>
      <c r="D46" s="7"/>
      <c r="E46" s="7"/>
      <c r="F46" s="7"/>
    </row>
    <row r="47" customFormat="false" ht="15" hidden="false" customHeight="false" outlineLevel="0" collapsed="false">
      <c r="B47" s="3" t="s">
        <v>184</v>
      </c>
      <c r="C47" s="19" t="n">
        <v>48050000</v>
      </c>
      <c r="D47" s="49" t="n">
        <f aca="false">ROUND('Sensitivities, the data'!$G$36,0)</f>
        <v>48050000</v>
      </c>
      <c r="E47" s="11" t="n">
        <f aca="false">D47-C47</f>
        <v>0</v>
      </c>
      <c r="F47" s="22" t="str">
        <f aca="false">IF(ABS(E47)&lt;0.00000001,"PASS","FAIL")</f>
        <v>PASS</v>
      </c>
    </row>
    <row r="48" customFormat="false" ht="15" hidden="false" customHeight="false" outlineLevel="0" collapsed="false">
      <c r="B48" s="3" t="s">
        <v>111</v>
      </c>
      <c r="C48" s="19" t="n">
        <v>15796500</v>
      </c>
      <c r="D48" s="49" t="n">
        <f aca="false">ROUND('Sensitivities, the data'!$G$37,0)</f>
        <v>15796500</v>
      </c>
      <c r="E48" s="11" t="n">
        <f aca="false">D48-C48</f>
        <v>0</v>
      </c>
      <c r="F48" s="22" t="str">
        <f aca="false">IF(ABS(E48)&lt;0.00000001,"PASS","FAIL")</f>
        <v>PASS</v>
      </c>
    </row>
    <row r="49" customFormat="false" ht="15" hidden="false" customHeight="false" outlineLevel="0" collapsed="false">
      <c r="B49" s="3" t="s">
        <v>411</v>
      </c>
      <c r="C49" s="19" t="n">
        <v>152940</v>
      </c>
      <c r="D49" s="49" t="n">
        <f aca="false">ROUND('Sensitivities, the data'!$G$30,0)</f>
        <v>152940</v>
      </c>
      <c r="E49" s="11" t="n">
        <f aca="false">D49-C49</f>
        <v>0</v>
      </c>
      <c r="F49" s="22" t="str">
        <f aca="false">IF(ABS(E49)&lt;0.00000001,"PASS","FAIL")</f>
        <v>PASS</v>
      </c>
    </row>
    <row r="50" customFormat="false" ht="15" hidden="false" customHeight="false" outlineLevel="0" collapsed="false">
      <c r="B50" s="3" t="s">
        <v>250</v>
      </c>
      <c r="C50" s="19" t="n">
        <v>150650</v>
      </c>
      <c r="D50" s="49" t="n">
        <f aca="false">ROUND('Sensitivities, the data'!$G$31,0)</f>
        <v>150650</v>
      </c>
      <c r="E50" s="11" t="n">
        <f aca="false">D50-C50</f>
        <v>0</v>
      </c>
      <c r="F50" s="22" t="str">
        <f aca="false">IF(ABS(E50)&lt;0.00000001,"PASS","FAIL")</f>
        <v>PASS</v>
      </c>
    </row>
    <row r="51" customFormat="false" ht="15" hidden="false" customHeight="false" outlineLevel="0" collapsed="false">
      <c r="B51" s="3" t="s">
        <v>251</v>
      </c>
      <c r="C51" s="11" t="n">
        <v>87.8776</v>
      </c>
      <c r="D51" s="50" t="n">
        <f aca="false">ROUND('Sensitivities, the data'!$C$45,4)</f>
        <v>87.8776</v>
      </c>
      <c r="E51" s="11" t="n">
        <f aca="false">D51-C51</f>
        <v>0</v>
      </c>
      <c r="F51" s="22" t="str">
        <f aca="false">IF(ABS(E51)&lt;0.00000001,"PASS","FAIL")</f>
        <v>PASS</v>
      </c>
    </row>
    <row r="52" customFormat="false" ht="15" hidden="false" customHeight="false" outlineLevel="0" collapsed="false">
      <c r="B52" s="3" t="s">
        <v>432</v>
      </c>
      <c r="C52" s="19" t="n">
        <v>13440000</v>
      </c>
      <c r="D52" s="49" t="n">
        <f aca="false">ROUND('Sensitivities, the data'!$G$53,0)</f>
        <v>13440000</v>
      </c>
      <c r="E52" s="11" t="n">
        <f aca="false">D52-C52</f>
        <v>0</v>
      </c>
      <c r="F52" s="22" t="str">
        <f aca="false">IF(ABS(E52)&lt;0.00000001,"PASS","FAIL")</f>
        <v>PASS</v>
      </c>
    </row>
    <row r="53" customFormat="false" ht="15" hidden="false" customHeight="false" outlineLevel="0" collapsed="false">
      <c r="B53" s="3" t="s">
        <v>433</v>
      </c>
      <c r="C53" s="20" t="n">
        <v>6.53</v>
      </c>
      <c r="D53" s="51" t="n">
        <f aca="false">ROUND('Sensitivities, the data'!$C$57,2)</f>
        <v>6.53</v>
      </c>
      <c r="E53" s="11" t="n">
        <f aca="false">D53-C53</f>
        <v>0</v>
      </c>
      <c r="F53" s="22" t="str">
        <f aca="false">IF(ABS(E53)&lt;0.00000001,"PASS","FAIL")</f>
        <v>PASS</v>
      </c>
    </row>
    <row r="54" customFormat="false" ht="15" hidden="false" customHeight="false" outlineLevel="0" collapsed="false">
      <c r="B54" s="3" t="s">
        <v>434</v>
      </c>
      <c r="C54" s="20" t="n">
        <v>15.5</v>
      </c>
      <c r="D54" s="51" t="n">
        <f aca="false">ROUND('Sensitivities, the data'!$D$57,2)</f>
        <v>15.5</v>
      </c>
      <c r="E54" s="11" t="n">
        <f aca="false">D54-C54</f>
        <v>0</v>
      </c>
      <c r="F54" s="22" t="str">
        <f aca="false">IF(ABS(E54)&lt;0.00000001,"PASS","FAIL")</f>
        <v>PASS</v>
      </c>
    </row>
    <row r="55" customFormat="false" ht="15" hidden="false" customHeight="false" outlineLevel="0" collapsed="false">
      <c r="B55" s="3" t="s">
        <v>435</v>
      </c>
      <c r="C55" s="20" t="n">
        <v>54.53</v>
      </c>
      <c r="D55" s="51" t="n">
        <f aca="false">ROUND('Sensitivities, the data'!$E$57,2)</f>
        <v>54.53</v>
      </c>
      <c r="E55" s="11" t="n">
        <f aca="false">D55-C55</f>
        <v>0</v>
      </c>
      <c r="F55" s="22" t="str">
        <f aca="false">IF(ABS(E55)&lt;0.00000001,"PASS","FAIL")</f>
        <v>PASS</v>
      </c>
    </row>
    <row r="56" customFormat="false" ht="15" hidden="false" customHeight="false" outlineLevel="0" collapsed="false">
      <c r="B56" s="3" t="s">
        <v>436</v>
      </c>
      <c r="C56" s="20" t="n">
        <v>287.69</v>
      </c>
      <c r="D56" s="51" t="n">
        <f aca="false">ROUND('Sensitivities, the data'!$F$57,2)</f>
        <v>287.69</v>
      </c>
      <c r="E56" s="11" t="n">
        <f aca="false">D56-C56</f>
        <v>0</v>
      </c>
      <c r="F56" s="22" t="str">
        <f aca="false">IF(ABS(E56)&lt;0.00000001,"PASS","FAIL")</f>
        <v>PASS</v>
      </c>
    </row>
    <row r="57" customFormat="false" ht="15" hidden="false" customHeight="false" outlineLevel="0" collapsed="false">
      <c r="B57" s="3" t="s">
        <v>437</v>
      </c>
      <c r="C57" s="20" t="n">
        <v>4.87</v>
      </c>
      <c r="D57" s="51" t="n">
        <f aca="false">ROUND('Sensitivities, the data'!$C$55,2)</f>
        <v>4.87</v>
      </c>
      <c r="E57" s="11" t="n">
        <f aca="false">D57-C57</f>
        <v>0</v>
      </c>
      <c r="F57" s="22" t="str">
        <f aca="false">IF(ABS(E57)&lt;0.00000001,"PASS","FAIL")</f>
        <v>PASS</v>
      </c>
    </row>
    <row r="58" customFormat="false" ht="15" hidden="false" customHeight="false" outlineLevel="0" collapsed="false">
      <c r="B58" s="3" t="s">
        <v>438</v>
      </c>
      <c r="C58" s="20" t="n">
        <v>13.95</v>
      </c>
      <c r="D58" s="51" t="n">
        <f aca="false">ROUND('Sensitivities, the data'!$D$55,2)</f>
        <v>13.95</v>
      </c>
      <c r="E58" s="11" t="n">
        <f aca="false">D58-C58</f>
        <v>0</v>
      </c>
      <c r="F58" s="22" t="str">
        <f aca="false">IF(ABS(E58)&lt;0.00000001,"PASS","FAIL")</f>
        <v>PASS</v>
      </c>
    </row>
    <row r="59" customFormat="false" ht="15" hidden="false" customHeight="false" outlineLevel="0" collapsed="false">
      <c r="B59" s="3" t="s">
        <v>439</v>
      </c>
      <c r="C59" s="20" t="n">
        <v>64.22</v>
      </c>
      <c r="D59" s="51" t="n">
        <f aca="false">ROUND('Sensitivities, the data'!$E$55,2)</f>
        <v>64.22</v>
      </c>
      <c r="E59" s="11" t="n">
        <f aca="false">D59-C59</f>
        <v>0</v>
      </c>
      <c r="F59" s="22" t="str">
        <f aca="false">IF(ABS(E59)&lt;0.00000001,"PASS","FAIL")</f>
        <v>PASS</v>
      </c>
    </row>
    <row r="60" customFormat="false" ht="15" hidden="false" customHeight="false" outlineLevel="0" collapsed="false">
      <c r="B60" s="3" t="s">
        <v>440</v>
      </c>
      <c r="C60" s="20" t="n">
        <v>436.91</v>
      </c>
      <c r="D60" s="51" t="n">
        <f aca="false">ROUND('Sensitivities, the data'!$F$55,2)</f>
        <v>436.91</v>
      </c>
      <c r="E60" s="11" t="n">
        <f aca="false">D60-C60</f>
        <v>0</v>
      </c>
      <c r="F60" s="22" t="str">
        <f aca="false">IF(ABS(E60)&lt;0.00000001,"PASS","FAIL")</f>
        <v>PASS</v>
      </c>
    </row>
    <row r="61" customFormat="false" ht="15" hidden="false" customHeight="false" outlineLevel="0" collapsed="false">
      <c r="B61" s="3" t="s">
        <v>441</v>
      </c>
      <c r="C61" s="19" t="n">
        <v>8003785</v>
      </c>
      <c r="D61" s="49" t="n">
        <f aca="false">ROUND('Sensitivities, the data'!$C$58,0)</f>
        <v>8003785</v>
      </c>
      <c r="E61" s="11" t="n">
        <f aca="false">D61-C61</f>
        <v>0</v>
      </c>
      <c r="F61" s="22" t="str">
        <f aca="false">IF(ABS(E61)&lt;0.00000001,"PASS","FAIL")</f>
        <v>PASS</v>
      </c>
    </row>
    <row r="62" customFormat="false" ht="15" hidden="false" customHeight="false" outlineLevel="0" collapsed="false">
      <c r="B62" s="3" t="s">
        <v>442</v>
      </c>
      <c r="C62" s="19" t="n">
        <v>6114965</v>
      </c>
      <c r="D62" s="49" t="n">
        <f aca="false">ROUND('Sensitivities, the data'!$D$58,0)</f>
        <v>6114965</v>
      </c>
      <c r="E62" s="11" t="n">
        <f aca="false">D62-C62</f>
        <v>0</v>
      </c>
      <c r="F62" s="22" t="str">
        <f aca="false">IF(ABS(E62)&lt;0.00000001,"PASS","FAIL")</f>
        <v>PASS</v>
      </c>
    </row>
    <row r="63" customFormat="false" ht="15" hidden="false" customHeight="false" outlineLevel="0" collapsed="false">
      <c r="B63" s="3" t="s">
        <v>443</v>
      </c>
      <c r="C63" s="19" t="n">
        <v>1626100</v>
      </c>
      <c r="D63" s="49" t="n">
        <f aca="false">ROUND('Sensitivities, the data'!$E$58,0)</f>
        <v>1626100</v>
      </c>
      <c r="E63" s="11" t="n">
        <f aca="false">D63-C63</f>
        <v>0</v>
      </c>
      <c r="F63" s="22" t="str">
        <f aca="false">IF(ABS(E63)&lt;0.00000001,"PASS","FAIL")</f>
        <v>PASS</v>
      </c>
    </row>
    <row r="64" customFormat="false" ht="15" hidden="false" customHeight="false" outlineLevel="0" collapsed="false">
      <c r="B64" s="3" t="s">
        <v>444</v>
      </c>
      <c r="C64" s="19" t="n">
        <v>-1733666</v>
      </c>
      <c r="D64" s="49" t="n">
        <f aca="false">ROUND('Sensitivities, the data'!$F$58,0)</f>
        <v>-1733666</v>
      </c>
      <c r="E64" s="11" t="n">
        <f aca="false">D64-C64</f>
        <v>0</v>
      </c>
      <c r="F64" s="22" t="str">
        <f aca="false">IF(ABS(E64)&lt;0.00000001,"PASS","FAIL")</f>
        <v>PASS</v>
      </c>
    </row>
    <row r="65" customFormat="false" ht="15" hidden="false" customHeight="false" outlineLevel="0" collapsed="false">
      <c r="B65" s="6" t="s">
        <v>445</v>
      </c>
      <c r="C65" s="7"/>
      <c r="D65" s="7"/>
      <c r="E65" s="7"/>
      <c r="F65" s="7"/>
    </row>
    <row r="66" customFormat="false" ht="15" hidden="false" customHeight="false" outlineLevel="0" collapsed="false">
      <c r="B66" s="3" t="s">
        <v>446</v>
      </c>
      <c r="C66" s="19" t="n">
        <v>3945415</v>
      </c>
      <c r="D66" s="49" t="n">
        <f aca="false">ROUND('Sensitivities, the data'!$C$64,0)</f>
        <v>3945415</v>
      </c>
      <c r="E66" s="11" t="n">
        <f aca="false">D66-C66</f>
        <v>0</v>
      </c>
      <c r="F66" s="22" t="str">
        <f aca="false">IF(ABS(E66)&lt;0.00000001,"PASS","FAIL")</f>
        <v>PASS</v>
      </c>
    </row>
    <row r="67" customFormat="false" ht="15" hidden="false" customHeight="false" outlineLevel="0" collapsed="false">
      <c r="B67" s="3" t="s">
        <v>447</v>
      </c>
      <c r="C67" s="19" t="n">
        <v>3999253</v>
      </c>
      <c r="D67" s="49" t="n">
        <f aca="false">ROUND('Sensitivities, the data'!$C$65,0)</f>
        <v>3999253</v>
      </c>
      <c r="E67" s="11" t="n">
        <f aca="false">D67-C67</f>
        <v>0</v>
      </c>
      <c r="F67" s="22" t="str">
        <f aca="false">IF(ABS(E67)&lt;0.00000001,"PASS","FAIL")</f>
        <v>PASS</v>
      </c>
    </row>
    <row r="68" customFormat="false" ht="15" hidden="false" customHeight="false" outlineLevel="0" collapsed="false">
      <c r="B68" s="3" t="s">
        <v>448</v>
      </c>
      <c r="C68" s="19" t="n">
        <v>4053091</v>
      </c>
      <c r="D68" s="49" t="n">
        <f aca="false">ROUND('Sensitivities, the data'!$C$66,0)</f>
        <v>4053091</v>
      </c>
      <c r="E68" s="11" t="n">
        <f aca="false">D68-C68</f>
        <v>0</v>
      </c>
      <c r="F68" s="22" t="str">
        <f aca="false">IF(ABS(E68)&lt;0.00000001,"PASS","FAIL")</f>
        <v>PASS</v>
      </c>
    </row>
    <row r="69" customFormat="false" ht="15" hidden="false" customHeight="false" outlineLevel="0" collapsed="false">
      <c r="B69" s="3" t="s">
        <v>449</v>
      </c>
      <c r="C69" s="19" t="n">
        <v>4133849</v>
      </c>
      <c r="D69" s="49" t="n">
        <f aca="false">ROUND('Sensitivities, the data'!$C$67,0)</f>
        <v>4133849</v>
      </c>
      <c r="E69" s="11" t="n">
        <f aca="false">D69-C69</f>
        <v>0</v>
      </c>
      <c r="F69" s="22" t="str">
        <f aca="false">IF(ABS(E69)&lt;0.00000001,"PASS","FAIL")</f>
        <v>PASS</v>
      </c>
    </row>
    <row r="70" customFormat="false" ht="15" hidden="false" customHeight="false" outlineLevel="0" collapsed="false">
      <c r="B70" s="3" t="s">
        <v>450</v>
      </c>
      <c r="C70" s="19" t="n">
        <v>4214607</v>
      </c>
      <c r="D70" s="49" t="n">
        <f aca="false">ROUND('Sensitivities, the data'!$C$68,0)</f>
        <v>4214607</v>
      </c>
      <c r="E70" s="11" t="n">
        <f aca="false">D70-C70</f>
        <v>0</v>
      </c>
      <c r="F70" s="22" t="str">
        <f aca="false">IF(ABS(E70)&lt;0.00000001,"PASS","FAIL")</f>
        <v>PASS</v>
      </c>
    </row>
    <row r="71" customFormat="false" ht="15" hidden="false" customHeight="false" outlineLevel="0" collapsed="false">
      <c r="B71" s="6" t="s">
        <v>451</v>
      </c>
      <c r="C71" s="7"/>
      <c r="D71" s="7"/>
      <c r="E71" s="7"/>
      <c r="F71" s="7"/>
    </row>
    <row r="72" customFormat="false" ht="15" hidden="false" customHeight="false" outlineLevel="0" collapsed="false">
      <c r="B72" s="3" t="s">
        <v>446</v>
      </c>
      <c r="C72" s="52" t="n">
        <v>0.541</v>
      </c>
      <c r="D72" s="53" t="n">
        <f aca="false">ROUND('Sensitivities, the data'!$D$64,3)</f>
        <v>0.541</v>
      </c>
      <c r="E72" s="11" t="n">
        <f aca="false">D72-C72</f>
        <v>0</v>
      </c>
      <c r="F72" s="22" t="str">
        <f aca="false">IF(ABS(E72)&lt;0.00000001,"PASS","FAIL")</f>
        <v>PASS</v>
      </c>
    </row>
    <row r="73" customFormat="false" ht="15" hidden="false" customHeight="false" outlineLevel="0" collapsed="false">
      <c r="B73" s="3" t="s">
        <v>447</v>
      </c>
      <c r="C73" s="52" t="n">
        <v>0.549</v>
      </c>
      <c r="D73" s="53" t="n">
        <f aca="false">ROUND('Sensitivities, the data'!$D$65,3)</f>
        <v>0.549</v>
      </c>
      <c r="E73" s="11" t="n">
        <f aca="false">D73-C73</f>
        <v>0</v>
      </c>
      <c r="F73" s="22" t="str">
        <f aca="false">IF(ABS(E73)&lt;0.00000001,"PASS","FAIL")</f>
        <v>PASS</v>
      </c>
    </row>
    <row r="74" customFormat="false" ht="15" hidden="false" customHeight="false" outlineLevel="0" collapsed="false">
      <c r="B74" s="3" t="s">
        <v>448</v>
      </c>
      <c r="C74" s="52" t="n">
        <v>0.556</v>
      </c>
      <c r="D74" s="53" t="n">
        <f aca="false">ROUND('Sensitivities, the data'!$D$66,3)</f>
        <v>0.556</v>
      </c>
      <c r="E74" s="11" t="n">
        <f aca="false">D74-C74</f>
        <v>0</v>
      </c>
      <c r="F74" s="22" t="str">
        <f aca="false">IF(ABS(E74)&lt;0.00000001,"PASS","FAIL")</f>
        <v>PASS</v>
      </c>
    </row>
    <row r="75" customFormat="false" ht="15" hidden="false" customHeight="false" outlineLevel="0" collapsed="false">
      <c r="B75" s="3" t="s">
        <v>449</v>
      </c>
      <c r="C75" s="52" t="n">
        <v>0.567</v>
      </c>
      <c r="D75" s="53" t="n">
        <f aca="false">ROUND('Sensitivities, the data'!$D$67,3)</f>
        <v>0.567</v>
      </c>
      <c r="E75" s="11" t="n">
        <f aca="false">D75-C75</f>
        <v>0</v>
      </c>
      <c r="F75" s="22" t="str">
        <f aca="false">IF(ABS(E75)&lt;0.00000001,"PASS","FAIL")</f>
        <v>PASS</v>
      </c>
    </row>
    <row r="76" customFormat="false" ht="15" hidden="false" customHeight="false" outlineLevel="0" collapsed="false">
      <c r="B76" s="3" t="s">
        <v>450</v>
      </c>
      <c r="C76" s="52" t="n">
        <v>0.578</v>
      </c>
      <c r="D76" s="53" t="n">
        <f aca="false">ROUND('Sensitivities, the data'!$D$68,3)</f>
        <v>0.578</v>
      </c>
      <c r="E76" s="11" t="n">
        <f aca="false">D76-C76</f>
        <v>0</v>
      </c>
      <c r="F76" s="22" t="str">
        <f aca="false">IF(ABS(E76)&lt;0.00000001,"PASS","FAIL")</f>
        <v>PASS</v>
      </c>
    </row>
    <row r="77" customFormat="false" ht="15" hidden="false" customHeight="false" outlineLevel="0" collapsed="false">
      <c r="B77" s="3" t="s">
        <v>212</v>
      </c>
      <c r="C77" s="19" t="n">
        <v>269192</v>
      </c>
      <c r="D77" s="49" t="n">
        <f aca="false">ROUND('Sensitivities, the data'!$C$69,0)</f>
        <v>269192</v>
      </c>
      <c r="E77" s="11" t="n">
        <f aca="false">D77-C77</f>
        <v>0</v>
      </c>
      <c r="F77" s="22" t="str">
        <f aca="false">IF(ABS(E77)&lt;0.00000001,"PASS","FAIL")</f>
        <v>PASS</v>
      </c>
    </row>
    <row r="78" customFormat="false" ht="15" hidden="false" customHeight="false" outlineLevel="0" collapsed="false">
      <c r="B78" s="6" t="s">
        <v>452</v>
      </c>
      <c r="C78" s="7"/>
      <c r="D78" s="7"/>
      <c r="E78" s="7"/>
      <c r="F78" s="7"/>
    </row>
    <row r="79" customFormat="false" ht="15" hidden="false" customHeight="false" outlineLevel="0" collapsed="false">
      <c r="B79" s="3" t="s">
        <v>446</v>
      </c>
      <c r="C79" s="19" t="n">
        <v>4604451</v>
      </c>
      <c r="D79" s="49" t="n">
        <f aca="false">ROUND('Sensitivities, the data'!$C$74,0)</f>
        <v>4604451</v>
      </c>
      <c r="E79" s="11" t="n">
        <f aca="false">D79-C79</f>
        <v>0</v>
      </c>
      <c r="F79" s="22" t="str">
        <f aca="false">IF(ABS(E79)&lt;0.00000001,"PASS","FAIL")</f>
        <v>PASS</v>
      </c>
    </row>
    <row r="80" customFormat="false" ht="15" hidden="false" customHeight="false" outlineLevel="0" collapsed="false">
      <c r="B80" s="3" t="s">
        <v>447</v>
      </c>
      <c r="C80" s="19" t="n">
        <v>4328771</v>
      </c>
      <c r="D80" s="49" t="n">
        <f aca="false">ROUND('Sensitivities, the data'!$C$75,0)</f>
        <v>4328771</v>
      </c>
      <c r="E80" s="11" t="n">
        <f aca="false">D80-C80</f>
        <v>0</v>
      </c>
      <c r="F80" s="22" t="str">
        <f aca="false">IF(ABS(E80)&lt;0.00000001,"PASS","FAIL")</f>
        <v>PASS</v>
      </c>
    </row>
    <row r="81" customFormat="false" ht="15" hidden="false" customHeight="false" outlineLevel="0" collapsed="false">
      <c r="B81" s="3" t="s">
        <v>448</v>
      </c>
      <c r="C81" s="19" t="n">
        <v>4053091</v>
      </c>
      <c r="D81" s="49" t="n">
        <f aca="false">ROUND('Sensitivities, the data'!$C$76,0)</f>
        <v>4053091</v>
      </c>
      <c r="E81" s="11" t="n">
        <f aca="false">D81-C81</f>
        <v>0</v>
      </c>
      <c r="F81" s="22" t="str">
        <f aca="false">IF(ABS(E81)&lt;0.00000001,"PASS","FAIL")</f>
        <v>PASS</v>
      </c>
    </row>
    <row r="82" customFormat="false" ht="15" hidden="false" customHeight="false" outlineLevel="0" collapsed="false">
      <c r="B82" s="3" t="s">
        <v>449</v>
      </c>
      <c r="C82" s="19" t="n">
        <v>3639572</v>
      </c>
      <c r="D82" s="49" t="n">
        <f aca="false">ROUND('Sensitivities, the data'!$C$77,0)</f>
        <v>3639572</v>
      </c>
      <c r="E82" s="11" t="n">
        <f aca="false">D82-C82</f>
        <v>0</v>
      </c>
      <c r="F82" s="22" t="str">
        <f aca="false">IF(ABS(E82)&lt;0.00000001,"PASS","FAIL")</f>
        <v>PASS</v>
      </c>
    </row>
    <row r="83" customFormat="false" ht="15" hidden="false" customHeight="false" outlineLevel="0" collapsed="false">
      <c r="B83" s="3" t="s">
        <v>450</v>
      </c>
      <c r="C83" s="19" t="n">
        <v>3226052</v>
      </c>
      <c r="D83" s="49" t="n">
        <f aca="false">ROUND('Sensitivities, the data'!$C$78,0)</f>
        <v>3226052</v>
      </c>
      <c r="E83" s="11" t="n">
        <f aca="false">D83-C83</f>
        <v>0</v>
      </c>
      <c r="F83" s="22" t="str">
        <f aca="false">IF(ABS(E83)&lt;0.00000001,"PASS","FAIL")</f>
        <v>PASS</v>
      </c>
    </row>
    <row r="84" customFormat="false" ht="15" hidden="false" customHeight="false" outlineLevel="0" collapsed="false">
      <c r="B84" s="6" t="s">
        <v>453</v>
      </c>
      <c r="C84" s="7"/>
      <c r="D84" s="7"/>
      <c r="E84" s="7"/>
      <c r="F84" s="7"/>
    </row>
    <row r="85" customFormat="false" ht="15" hidden="false" customHeight="false" outlineLevel="0" collapsed="false">
      <c r="B85" s="3" t="s">
        <v>446</v>
      </c>
      <c r="C85" s="52" t="n">
        <v>0.632</v>
      </c>
      <c r="D85" s="53" t="n">
        <f aca="false">ROUND('Sensitivities, the data'!$D$74,3)</f>
        <v>0.632</v>
      </c>
      <c r="E85" s="11" t="n">
        <f aca="false">D85-C85</f>
        <v>0</v>
      </c>
      <c r="F85" s="22" t="str">
        <f aca="false">IF(ABS(E85)&lt;0.00000001,"PASS","FAIL")</f>
        <v>PASS</v>
      </c>
    </row>
    <row r="86" customFormat="false" ht="15" hidden="false" customHeight="false" outlineLevel="0" collapsed="false">
      <c r="B86" s="3" t="s">
        <v>447</v>
      </c>
      <c r="C86" s="52" t="n">
        <v>0.594</v>
      </c>
      <c r="D86" s="53" t="n">
        <f aca="false">ROUND('Sensitivities, the data'!$D$75,3)</f>
        <v>0.594</v>
      </c>
      <c r="E86" s="11" t="n">
        <f aca="false">D86-C86</f>
        <v>0</v>
      </c>
      <c r="F86" s="22" t="str">
        <f aca="false">IF(ABS(E86)&lt;0.00000001,"PASS","FAIL")</f>
        <v>PASS</v>
      </c>
    </row>
    <row r="87" customFormat="false" ht="15" hidden="false" customHeight="false" outlineLevel="0" collapsed="false">
      <c r="B87" s="3" t="s">
        <v>448</v>
      </c>
      <c r="C87" s="52" t="n">
        <v>0.556</v>
      </c>
      <c r="D87" s="53" t="n">
        <f aca="false">ROUND('Sensitivities, the data'!$D$76,3)</f>
        <v>0.556</v>
      </c>
      <c r="E87" s="11" t="n">
        <f aca="false">D87-C87</f>
        <v>0</v>
      </c>
      <c r="F87" s="22" t="str">
        <f aca="false">IF(ABS(E87)&lt;0.00000001,"PASS","FAIL")</f>
        <v>PASS</v>
      </c>
    </row>
    <row r="88" customFormat="false" ht="15" hidden="false" customHeight="false" outlineLevel="0" collapsed="false">
      <c r="B88" s="3" t="s">
        <v>449</v>
      </c>
      <c r="C88" s="52" t="n">
        <v>0.499</v>
      </c>
      <c r="D88" s="53" t="n">
        <f aca="false">ROUND('Sensitivities, the data'!$D$77,3)</f>
        <v>0.499</v>
      </c>
      <c r="E88" s="11" t="n">
        <f aca="false">D88-C88</f>
        <v>0</v>
      </c>
      <c r="F88" s="22" t="str">
        <f aca="false">IF(ABS(E88)&lt;0.00000001,"PASS","FAIL")</f>
        <v>PASS</v>
      </c>
    </row>
    <row r="89" customFormat="false" ht="15" hidden="false" customHeight="false" outlineLevel="0" collapsed="false">
      <c r="B89" s="3" t="s">
        <v>450</v>
      </c>
      <c r="C89" s="52" t="n">
        <v>0.442</v>
      </c>
      <c r="D89" s="53" t="n">
        <f aca="false">ROUND('Sensitivities, the data'!$D$78,3)</f>
        <v>0.442</v>
      </c>
      <c r="E89" s="11" t="n">
        <f aca="false">D89-C89</f>
        <v>0</v>
      </c>
      <c r="F89" s="22" t="str">
        <f aca="false">IF(ABS(E89)&lt;0.00000001,"PASS","FAIL")</f>
        <v>PASS</v>
      </c>
    </row>
    <row r="90" customFormat="false" ht="15" hidden="false" customHeight="false" outlineLevel="0" collapsed="false">
      <c r="B90" s="3" t="s">
        <v>212</v>
      </c>
      <c r="C90" s="19" t="n">
        <v>1378399</v>
      </c>
      <c r="D90" s="49" t="n">
        <f aca="false">ROUND('Sensitivities, the data'!$C$79,0)</f>
        <v>1378399</v>
      </c>
      <c r="E90" s="11" t="n">
        <f aca="false">D90-C90</f>
        <v>0</v>
      </c>
      <c r="F90" s="22" t="str">
        <f aca="false">IF(ABS(E90)&lt;0.00000001,"PASS","FAIL")</f>
        <v>PASS</v>
      </c>
    </row>
    <row r="91" customFormat="false" ht="15" hidden="false" customHeight="false" outlineLevel="0" collapsed="false">
      <c r="B91" s="6" t="s">
        <v>454</v>
      </c>
      <c r="C91" s="7"/>
      <c r="D91" s="7"/>
      <c r="E91" s="7"/>
      <c r="F91" s="7"/>
    </row>
    <row r="92" customFormat="false" ht="15" hidden="false" customHeight="false" outlineLevel="0" collapsed="false">
      <c r="B92" s="3" t="s">
        <v>446</v>
      </c>
      <c r="C92" s="19" t="n">
        <v>3875144</v>
      </c>
      <c r="D92" s="49" t="n">
        <f aca="false">ROUND('Sensitivities, the data'!$C$84,0)</f>
        <v>3875144</v>
      </c>
      <c r="E92" s="11" t="n">
        <f aca="false">D92-C92</f>
        <v>0</v>
      </c>
      <c r="F92" s="22" t="str">
        <f aca="false">IF(ABS(E92)&lt;0.00000001,"PASS","FAIL")</f>
        <v>PASS</v>
      </c>
    </row>
    <row r="93" customFormat="false" ht="15" hidden="false" customHeight="false" outlineLevel="0" collapsed="false">
      <c r="B93" s="3" t="s">
        <v>447</v>
      </c>
      <c r="C93" s="19" t="n">
        <v>3964118</v>
      </c>
      <c r="D93" s="49" t="n">
        <f aca="false">ROUND('Sensitivities, the data'!$C$85,0)</f>
        <v>3964118</v>
      </c>
      <c r="E93" s="11" t="n">
        <f aca="false">D93-C93</f>
        <v>0</v>
      </c>
      <c r="F93" s="22" t="str">
        <f aca="false">IF(ABS(E93)&lt;0.00000001,"PASS","FAIL")</f>
        <v>PASS</v>
      </c>
    </row>
    <row r="94" customFormat="false" ht="15" hidden="false" customHeight="false" outlineLevel="0" collapsed="false">
      <c r="B94" s="3" t="s">
        <v>448</v>
      </c>
      <c r="C94" s="19" t="n">
        <v>4053091</v>
      </c>
      <c r="D94" s="49" t="n">
        <f aca="false">ROUND('Sensitivities, the data'!$C$86,0)</f>
        <v>4053091</v>
      </c>
      <c r="E94" s="11" t="n">
        <f aca="false">D94-C94</f>
        <v>0</v>
      </c>
      <c r="F94" s="22" t="str">
        <f aca="false">IF(ABS(E94)&lt;0.00000001,"PASS","FAIL")</f>
        <v>PASS</v>
      </c>
    </row>
    <row r="95" customFormat="false" ht="15" hidden="false" customHeight="false" outlineLevel="0" collapsed="false">
      <c r="B95" s="3" t="s">
        <v>449</v>
      </c>
      <c r="C95" s="19" t="n">
        <v>4186552</v>
      </c>
      <c r="D95" s="49" t="n">
        <f aca="false">ROUND('Sensitivities, the data'!$C$87,0)</f>
        <v>4186552</v>
      </c>
      <c r="E95" s="11" t="n">
        <f aca="false">D95-C95</f>
        <v>0</v>
      </c>
      <c r="F95" s="22" t="str">
        <f aca="false">IF(ABS(E95)&lt;0.00000001,"PASS","FAIL")</f>
        <v>PASS</v>
      </c>
    </row>
    <row r="96" customFormat="false" ht="15" hidden="false" customHeight="false" outlineLevel="0" collapsed="false">
      <c r="B96" s="3" t="s">
        <v>450</v>
      </c>
      <c r="C96" s="19" t="n">
        <v>4320012</v>
      </c>
      <c r="D96" s="49" t="n">
        <f aca="false">ROUND('Sensitivities, the data'!$C$88,0)</f>
        <v>4320012</v>
      </c>
      <c r="E96" s="11" t="n">
        <f aca="false">D96-C96</f>
        <v>0</v>
      </c>
      <c r="F96" s="22" t="str">
        <f aca="false">IF(ABS(E96)&lt;0.00000001,"PASS","FAIL")</f>
        <v>PASS</v>
      </c>
    </row>
    <row r="97" customFormat="false" ht="15" hidden="false" customHeight="false" outlineLevel="0" collapsed="false">
      <c r="B97" s="6" t="s">
        <v>455</v>
      </c>
      <c r="C97" s="7"/>
      <c r="D97" s="7"/>
      <c r="E97" s="7"/>
      <c r="F97" s="7"/>
    </row>
    <row r="98" customFormat="false" ht="15" hidden="false" customHeight="false" outlineLevel="0" collapsed="false">
      <c r="B98" s="3" t="s">
        <v>446</v>
      </c>
      <c r="C98" s="52" t="n">
        <v>0.531</v>
      </c>
      <c r="D98" s="53" t="n">
        <f aca="false">ROUND('Sensitivities, the data'!$D$84,3)</f>
        <v>0.531</v>
      </c>
      <c r="E98" s="11" t="n">
        <f aca="false">D98-C98</f>
        <v>0</v>
      </c>
      <c r="F98" s="22" t="str">
        <f aca="false">IF(ABS(E98)&lt;0.00000001,"PASS","FAIL")</f>
        <v>PASS</v>
      </c>
    </row>
    <row r="99" customFormat="false" ht="15" hidden="false" customHeight="false" outlineLevel="0" collapsed="false">
      <c r="B99" s="3" t="s">
        <v>447</v>
      </c>
      <c r="C99" s="52" t="n">
        <v>0.544</v>
      </c>
      <c r="D99" s="53" t="n">
        <f aca="false">ROUND('Sensitivities, the data'!$D$85,3)</f>
        <v>0.544</v>
      </c>
      <c r="E99" s="11" t="n">
        <f aca="false">D99-C99</f>
        <v>0</v>
      </c>
      <c r="F99" s="22" t="str">
        <f aca="false">IF(ABS(E99)&lt;0.00000001,"PASS","FAIL")</f>
        <v>PASS</v>
      </c>
    </row>
    <row r="100" customFormat="false" ht="15" hidden="false" customHeight="false" outlineLevel="0" collapsed="false">
      <c r="B100" s="3" t="s">
        <v>448</v>
      </c>
      <c r="C100" s="52" t="n">
        <v>0.556</v>
      </c>
      <c r="D100" s="53" t="n">
        <f aca="false">ROUND('Sensitivities, the data'!$D$86,3)</f>
        <v>0.556</v>
      </c>
      <c r="E100" s="11" t="n">
        <f aca="false">D100-C100</f>
        <v>0</v>
      </c>
      <c r="F100" s="22" t="str">
        <f aca="false">IF(ABS(E100)&lt;0.00000001,"PASS","FAIL")</f>
        <v>PASS</v>
      </c>
    </row>
    <row r="101" customFormat="false" ht="15" hidden="false" customHeight="false" outlineLevel="0" collapsed="false">
      <c r="B101" s="3" t="s">
        <v>449</v>
      </c>
      <c r="C101" s="52" t="n">
        <v>0.574</v>
      </c>
      <c r="D101" s="53" t="n">
        <f aca="false">ROUND('Sensitivities, the data'!$D$87,3)</f>
        <v>0.574</v>
      </c>
      <c r="E101" s="11" t="n">
        <f aca="false">D101-C101</f>
        <v>0</v>
      </c>
      <c r="F101" s="22" t="str">
        <f aca="false">IF(ABS(E101)&lt;0.00000001,"PASS","FAIL")</f>
        <v>PASS</v>
      </c>
    </row>
    <row r="102" customFormat="false" ht="15" hidden="false" customHeight="false" outlineLevel="0" collapsed="false">
      <c r="B102" s="3" t="s">
        <v>450</v>
      </c>
      <c r="C102" s="52" t="n">
        <v>0.592</v>
      </c>
      <c r="D102" s="53" t="n">
        <f aca="false">ROUND('Sensitivities, the data'!$D$88,3)</f>
        <v>0.592</v>
      </c>
      <c r="E102" s="11" t="n">
        <f aca="false">D102-C102</f>
        <v>0</v>
      </c>
      <c r="F102" s="22" t="str">
        <f aca="false">IF(ABS(E102)&lt;0.00000001,"PASS","FAIL")</f>
        <v>PASS</v>
      </c>
    </row>
    <row r="103" customFormat="false" ht="15" hidden="false" customHeight="false" outlineLevel="0" collapsed="false">
      <c r="B103" s="3" t="s">
        <v>212</v>
      </c>
      <c r="C103" s="19" t="n">
        <v>444868</v>
      </c>
      <c r="D103" s="49" t="n">
        <f aca="false">ROUND('Sensitivities, the data'!$C$89,0)</f>
        <v>444868</v>
      </c>
      <c r="E103" s="11" t="n">
        <f aca="false">D103-C103</f>
        <v>0</v>
      </c>
      <c r="F103" s="22" t="str">
        <f aca="false">IF(ABS(E103)&lt;0.00000001,"PASS","FAIL")</f>
        <v>PASS</v>
      </c>
    </row>
    <row r="104" customFormat="false" ht="15" hidden="false" customHeight="false" outlineLevel="0" collapsed="false">
      <c r="B104" s="6" t="s">
        <v>456</v>
      </c>
      <c r="C104" s="7"/>
      <c r="D104" s="7"/>
      <c r="E104" s="7"/>
      <c r="F104" s="7"/>
    </row>
    <row r="105" customFormat="false" ht="15" hidden="false" customHeight="false" outlineLevel="0" collapsed="false">
      <c r="B105" s="3" t="s">
        <v>457</v>
      </c>
      <c r="C105" s="19" t="n">
        <v>4053091</v>
      </c>
      <c r="D105" s="49" t="n">
        <f aca="false">ROUND('Sensitivities, the data'!$C$94,0)</f>
        <v>4053091</v>
      </c>
      <c r="E105" s="11" t="n">
        <f aca="false">D105-C105</f>
        <v>0</v>
      </c>
      <c r="F105" s="22" t="str">
        <f aca="false">IF(ABS(E105)&lt;0.00000001,"PASS","FAIL")</f>
        <v>PASS</v>
      </c>
    </row>
    <row r="106" customFormat="false" ht="15" hidden="false" customHeight="false" outlineLevel="0" collapsed="false">
      <c r="B106" s="3" t="s">
        <v>458</v>
      </c>
      <c r="C106" s="19" t="n">
        <v>4053091</v>
      </c>
      <c r="D106" s="49" t="n">
        <f aca="false">ROUND('Sensitivities, the data'!$C$95,0)</f>
        <v>4053091</v>
      </c>
      <c r="E106" s="11" t="n">
        <f aca="false">D106-C106</f>
        <v>0</v>
      </c>
      <c r="F106" s="22" t="str">
        <f aca="false">IF(ABS(E106)&lt;0.00000001,"PASS","FAIL")</f>
        <v>PASS</v>
      </c>
    </row>
    <row r="107" customFormat="false" ht="15" hidden="false" customHeight="false" outlineLevel="0" collapsed="false">
      <c r="B107" s="3" t="s">
        <v>459</v>
      </c>
      <c r="C107" s="19" t="n">
        <v>4053091</v>
      </c>
      <c r="D107" s="49" t="n">
        <f aca="false">ROUND('Sensitivities, the data'!$C$96,0)</f>
        <v>4053091</v>
      </c>
      <c r="E107" s="11" t="n">
        <f aca="false">D107-C107</f>
        <v>0</v>
      </c>
      <c r="F107" s="22" t="str">
        <f aca="false">IF(ABS(E107)&lt;0.00000001,"PASS","FAIL")</f>
        <v>PASS</v>
      </c>
    </row>
    <row r="108" customFormat="false" ht="15" hidden="false" customHeight="false" outlineLevel="0" collapsed="false">
      <c r="B108" s="3" t="s">
        <v>460</v>
      </c>
      <c r="C108" s="19" t="n">
        <v>4053091</v>
      </c>
      <c r="D108" s="49" t="n">
        <f aca="false">ROUND('Sensitivities, the data'!$C$97,0)</f>
        <v>4053091</v>
      </c>
      <c r="E108" s="11" t="n">
        <f aca="false">D108-C108</f>
        <v>0</v>
      </c>
      <c r="F108" s="22" t="str">
        <f aca="false">IF(ABS(E108)&lt;0.00000001,"PASS","FAIL")</f>
        <v>PASS</v>
      </c>
    </row>
    <row r="109" customFormat="false" ht="15" hidden="false" customHeight="false" outlineLevel="0" collapsed="false">
      <c r="B109" s="3" t="s">
        <v>461</v>
      </c>
      <c r="C109" s="19" t="n">
        <v>4053091</v>
      </c>
      <c r="D109" s="49" t="n">
        <f aca="false">ROUND('Sensitivities, the data'!$C$98,0)</f>
        <v>4053091</v>
      </c>
      <c r="E109" s="11" t="n">
        <f aca="false">D109-C109</f>
        <v>0</v>
      </c>
      <c r="F109" s="22" t="str">
        <f aca="false">IF(ABS(E109)&lt;0.00000001,"PASS","FAIL")</f>
        <v>PASS</v>
      </c>
    </row>
    <row r="110" customFormat="false" ht="15" hidden="false" customHeight="false" outlineLevel="0" collapsed="false">
      <c r="B110" s="6" t="s">
        <v>462</v>
      </c>
      <c r="C110" s="7"/>
      <c r="D110" s="7"/>
      <c r="E110" s="7"/>
      <c r="F110" s="7"/>
    </row>
    <row r="111" customFormat="false" ht="15" hidden="false" customHeight="false" outlineLevel="0" collapsed="false">
      <c r="B111" s="3" t="s">
        <v>457</v>
      </c>
      <c r="C111" s="52" t="n">
        <v>0.481</v>
      </c>
      <c r="D111" s="53" t="n">
        <f aca="false">ROUND('Sensitivities, the data'!$D$94,3)</f>
        <v>0.481</v>
      </c>
      <c r="E111" s="11" t="n">
        <f aca="false">D111-C111</f>
        <v>0</v>
      </c>
      <c r="F111" s="22" t="str">
        <f aca="false">IF(ABS(E111)&lt;0.00000001,"PASS","FAIL")</f>
        <v>PASS</v>
      </c>
    </row>
    <row r="112" customFormat="false" ht="15" hidden="false" customHeight="false" outlineLevel="0" collapsed="false">
      <c r="B112" s="3" t="s">
        <v>458</v>
      </c>
      <c r="C112" s="52" t="n">
        <v>0.519</v>
      </c>
      <c r="D112" s="53" t="n">
        <f aca="false">ROUND('Sensitivities, the data'!$D$95,3)</f>
        <v>0.519</v>
      </c>
      <c r="E112" s="11" t="n">
        <f aca="false">D112-C112</f>
        <v>0</v>
      </c>
      <c r="F112" s="22" t="str">
        <f aca="false">IF(ABS(E112)&lt;0.00000001,"PASS","FAIL")</f>
        <v>PASS</v>
      </c>
    </row>
    <row r="113" customFormat="false" ht="15" hidden="false" customHeight="false" outlineLevel="0" collapsed="false">
      <c r="B113" s="3" t="s">
        <v>459</v>
      </c>
      <c r="C113" s="52" t="n">
        <v>0.556</v>
      </c>
      <c r="D113" s="53" t="n">
        <f aca="false">ROUND('Sensitivities, the data'!$D$96,3)</f>
        <v>0.556</v>
      </c>
      <c r="E113" s="11" t="n">
        <f aca="false">D113-C113</f>
        <v>0</v>
      </c>
      <c r="F113" s="22" t="str">
        <f aca="false">IF(ABS(E113)&lt;0.00000001,"PASS","FAIL")</f>
        <v>PASS</v>
      </c>
    </row>
    <row r="114" customFormat="false" ht="15" hidden="false" customHeight="false" outlineLevel="0" collapsed="false">
      <c r="B114" s="3" t="s">
        <v>460</v>
      </c>
      <c r="C114" s="52" t="n">
        <v>0.615</v>
      </c>
      <c r="D114" s="53" t="n">
        <f aca="false">ROUND('Sensitivities, the data'!$D$97,3)</f>
        <v>0.615</v>
      </c>
      <c r="E114" s="11" t="n">
        <f aca="false">D114-C114</f>
        <v>0</v>
      </c>
      <c r="F114" s="22" t="str">
        <f aca="false">IF(ABS(E114)&lt;0.00000001,"PASS","FAIL")</f>
        <v>PASS</v>
      </c>
    </row>
    <row r="115" customFormat="false" ht="15" hidden="false" customHeight="false" outlineLevel="0" collapsed="false">
      <c r="B115" s="3" t="s">
        <v>461</v>
      </c>
      <c r="C115" s="52" t="n">
        <v>0.715</v>
      </c>
      <c r="D115" s="53" t="n">
        <f aca="false">ROUND('Sensitivities, the data'!$D$98,3)</f>
        <v>0.715</v>
      </c>
      <c r="E115" s="11" t="n">
        <f aca="false">D115-C115</f>
        <v>0</v>
      </c>
      <c r="F115" s="22" t="str">
        <f aca="false">IF(ABS(E115)&lt;0.00000001,"PASS","FAIL")</f>
        <v>PASS</v>
      </c>
    </row>
    <row r="116" customFormat="false" ht="15" hidden="false" customHeight="false" outlineLevel="0" collapsed="false">
      <c r="B116" s="3" t="s">
        <v>212</v>
      </c>
      <c r="C116" s="19" t="n">
        <v>0</v>
      </c>
      <c r="D116" s="49" t="n">
        <f aca="false">ROUND('Sensitivities, the data'!$C$99,0)</f>
        <v>0</v>
      </c>
      <c r="E116" s="11" t="n">
        <f aca="false">D116-C116</f>
        <v>0</v>
      </c>
      <c r="F116" s="22" t="str">
        <f aca="false">IF(ABS(E116)&lt;0.00000001,"PASS","FAIL")</f>
        <v>PASS</v>
      </c>
    </row>
    <row r="117" customFormat="false" ht="15" hidden="false" customHeight="false" outlineLevel="0" collapsed="false">
      <c r="B117" s="6" t="s">
        <v>463</v>
      </c>
      <c r="C117" s="7"/>
      <c r="D117" s="7"/>
      <c r="E117" s="7"/>
      <c r="F117" s="7"/>
    </row>
    <row r="118" customFormat="false" ht="15" hidden="false" customHeight="false" outlineLevel="0" collapsed="false">
      <c r="B118" s="3" t="s">
        <v>464</v>
      </c>
      <c r="C118" s="19" t="n">
        <v>3039819</v>
      </c>
      <c r="D118" s="49" t="n">
        <f aca="false">ROUND('Sensitivities, the data'!$C$108,0)</f>
        <v>3039819</v>
      </c>
      <c r="E118" s="11" t="n">
        <f aca="false">D118-C118</f>
        <v>0</v>
      </c>
      <c r="F118" s="22" t="str">
        <f aca="false">IF(ABS(E118)&lt;0.00000001,"PASS","FAIL")</f>
        <v>PASS</v>
      </c>
    </row>
    <row r="119" customFormat="false" ht="15" hidden="false" customHeight="false" outlineLevel="0" collapsed="false">
      <c r="B119" s="3" t="s">
        <v>465</v>
      </c>
      <c r="C119" s="19" t="n">
        <v>3647782</v>
      </c>
      <c r="D119" s="49" t="n">
        <f aca="false">ROUND('Sensitivities, the data'!$C$109,0)</f>
        <v>3647782</v>
      </c>
      <c r="E119" s="11" t="n">
        <f aca="false">D119-C119</f>
        <v>0</v>
      </c>
      <c r="F119" s="22" t="str">
        <f aca="false">IF(ABS(E119)&lt;0.00000001,"PASS","FAIL")</f>
        <v>PASS</v>
      </c>
    </row>
    <row r="120" customFormat="false" ht="15" hidden="false" customHeight="false" outlineLevel="0" collapsed="false">
      <c r="B120" s="3" t="s">
        <v>448</v>
      </c>
      <c r="C120" s="19" t="n">
        <v>4053091</v>
      </c>
      <c r="D120" s="49" t="n">
        <f aca="false">ROUND('Sensitivities, the data'!$C$110,0)</f>
        <v>4053091</v>
      </c>
      <c r="E120" s="11" t="n">
        <f aca="false">D120-C120</f>
        <v>0</v>
      </c>
      <c r="F120" s="22" t="str">
        <f aca="false">IF(ABS(E120)&lt;0.00000001,"PASS","FAIL")</f>
        <v>PASS</v>
      </c>
    </row>
    <row r="121" customFormat="false" ht="15" hidden="false" customHeight="false" outlineLevel="0" collapsed="false">
      <c r="B121" s="3" t="s">
        <v>466</v>
      </c>
      <c r="C121" s="19" t="n">
        <v>4661055</v>
      </c>
      <c r="D121" s="49" t="n">
        <f aca="false">ROUND('Sensitivities, the data'!$C$111,0)</f>
        <v>4661055</v>
      </c>
      <c r="E121" s="11" t="n">
        <f aca="false">D121-C121</f>
        <v>0</v>
      </c>
      <c r="F121" s="22" t="str">
        <f aca="false">IF(ABS(E121)&lt;0.00000001,"PASS","FAIL")</f>
        <v>PASS</v>
      </c>
    </row>
    <row r="122" customFormat="false" ht="15" hidden="false" customHeight="false" outlineLevel="0" collapsed="false">
      <c r="B122" s="3" t="s">
        <v>467</v>
      </c>
      <c r="C122" s="19" t="n">
        <v>5471674</v>
      </c>
      <c r="D122" s="49" t="n">
        <f aca="false">ROUND('Sensitivities, the data'!$C$112,0)</f>
        <v>5471674</v>
      </c>
      <c r="E122" s="11" t="n">
        <f aca="false">D122-C122</f>
        <v>0</v>
      </c>
      <c r="F122" s="22" t="str">
        <f aca="false">IF(ABS(E122)&lt;0.00000001,"PASS","FAIL")</f>
        <v>PASS</v>
      </c>
    </row>
    <row r="123" customFormat="false" ht="15" hidden="false" customHeight="false" outlineLevel="0" collapsed="false">
      <c r="B123" s="6" t="s">
        <v>468</v>
      </c>
      <c r="C123" s="7"/>
      <c r="D123" s="7"/>
      <c r="E123" s="7"/>
      <c r="F123" s="7"/>
    </row>
    <row r="124" customFormat="false" ht="15" hidden="false" customHeight="false" outlineLevel="0" collapsed="false">
      <c r="B124" s="3" t="s">
        <v>464</v>
      </c>
      <c r="C124" s="52" t="n">
        <v>0.285</v>
      </c>
      <c r="D124" s="53" t="n">
        <f aca="false">ROUND('Sensitivities, the data'!$D$108,3)</f>
        <v>0.285</v>
      </c>
      <c r="E124" s="11" t="n">
        <f aca="false">D124-C124</f>
        <v>0</v>
      </c>
      <c r="F124" s="22" t="str">
        <f aca="false">IF(ABS(E124)&lt;0.00000001,"PASS","FAIL")</f>
        <v>PASS</v>
      </c>
    </row>
    <row r="125" customFormat="false" ht="15" hidden="false" customHeight="false" outlineLevel="0" collapsed="false">
      <c r="B125" s="3" t="s">
        <v>465</v>
      </c>
      <c r="C125" s="52" t="n">
        <v>0.422</v>
      </c>
      <c r="D125" s="53" t="n">
        <f aca="false">ROUND('Sensitivities, the data'!$D$109,3)</f>
        <v>0.422</v>
      </c>
      <c r="E125" s="11" t="n">
        <f aca="false">D125-C125</f>
        <v>0</v>
      </c>
      <c r="F125" s="22" t="str">
        <f aca="false">IF(ABS(E125)&lt;0.00000001,"PASS","FAIL")</f>
        <v>PASS</v>
      </c>
    </row>
    <row r="126" customFormat="false" ht="15" hidden="false" customHeight="false" outlineLevel="0" collapsed="false">
      <c r="B126" s="3" t="s">
        <v>448</v>
      </c>
      <c r="C126" s="52" t="n">
        <v>0.556</v>
      </c>
      <c r="D126" s="53" t="n">
        <f aca="false">ROUND('Sensitivities, the data'!$D$110,3)</f>
        <v>0.556</v>
      </c>
      <c r="E126" s="11" t="n">
        <f aca="false">D126-C126</f>
        <v>0</v>
      </c>
      <c r="F126" s="22" t="str">
        <f aca="false">IF(ABS(E126)&lt;0.00000001,"PASS","FAIL")</f>
        <v>PASS</v>
      </c>
    </row>
    <row r="127" customFormat="false" ht="15" hidden="false" customHeight="false" outlineLevel="0" collapsed="false">
      <c r="B127" s="3" t="s">
        <v>466</v>
      </c>
      <c r="C127" s="52" t="n">
        <v>0.884</v>
      </c>
      <c r="D127" s="53" t="n">
        <f aca="false">ROUND('Sensitivities, the data'!$D$111,3)</f>
        <v>0.884</v>
      </c>
      <c r="E127" s="11" t="n">
        <f aca="false">D127-C127</f>
        <v>0</v>
      </c>
      <c r="F127" s="22" t="str">
        <f aca="false">IF(ABS(E127)&lt;0.00000001,"PASS","FAIL")</f>
        <v>PASS</v>
      </c>
    </row>
    <row r="128" customFormat="false" ht="15" hidden="false" customHeight="false" outlineLevel="0" collapsed="false">
      <c r="B128" s="3" t="s">
        <v>467</v>
      </c>
      <c r="C128" s="52" t="n">
        <v>2.115</v>
      </c>
      <c r="D128" s="53" t="n">
        <f aca="false">ROUND('Sensitivities, the data'!$D$112,3)</f>
        <v>2.115</v>
      </c>
      <c r="E128" s="11" t="n">
        <f aca="false">D128-C128</f>
        <v>0</v>
      </c>
      <c r="F128" s="22" t="str">
        <f aca="false">IF(ABS(E128)&lt;0.00000001,"PASS","FAIL")</f>
        <v>PASS</v>
      </c>
    </row>
    <row r="129" customFormat="false" ht="15" hidden="false" customHeight="false" outlineLevel="0" collapsed="false">
      <c r="B129" s="3" t="s">
        <v>212</v>
      </c>
      <c r="C129" s="19" t="n">
        <v>2431855</v>
      </c>
      <c r="D129" s="49" t="n">
        <f aca="false">ROUND('Sensitivities, the data'!$C$113,0)</f>
        <v>2431855</v>
      </c>
      <c r="E129" s="11" t="n">
        <f aca="false">D129-C129</f>
        <v>0</v>
      </c>
      <c r="F129" s="22" t="str">
        <f aca="false">IF(ABS(E129)&lt;0.00000001,"PASS","FAIL")</f>
        <v>PASS</v>
      </c>
    </row>
    <row r="130" customFormat="false" ht="15" hidden="false" customHeight="false" outlineLevel="0" collapsed="false">
      <c r="B130" s="6" t="s">
        <v>469</v>
      </c>
      <c r="C130" s="7"/>
      <c r="D130" s="7"/>
      <c r="E130" s="7"/>
      <c r="F130" s="7"/>
    </row>
    <row r="131" customFormat="false" ht="15" hidden="false" customHeight="false" outlineLevel="0" collapsed="false">
      <c r="B131" s="3" t="s">
        <v>470</v>
      </c>
      <c r="C131" s="19" t="n">
        <v>4612878</v>
      </c>
      <c r="D131" s="49" t="n">
        <f aca="false">ROUND('Sensitivities, the data'!$C$118,0)</f>
        <v>4612878</v>
      </c>
      <c r="E131" s="11" t="n">
        <f aca="false">D131-C131</f>
        <v>0</v>
      </c>
      <c r="F131" s="22" t="str">
        <f aca="false">IF(ABS(E131)&lt;0.00000001,"PASS","FAIL")</f>
        <v>PASS</v>
      </c>
    </row>
    <row r="132" customFormat="false" ht="15" hidden="false" customHeight="false" outlineLevel="0" collapsed="false">
      <c r="B132" s="3" t="s">
        <v>464</v>
      </c>
      <c r="C132" s="19" t="n">
        <v>4321489</v>
      </c>
      <c r="D132" s="49" t="n">
        <f aca="false">ROUND('Sensitivities, the data'!$C$119,0)</f>
        <v>4321489</v>
      </c>
      <c r="E132" s="11" t="n">
        <f aca="false">D132-C132</f>
        <v>0</v>
      </c>
      <c r="F132" s="22" t="str">
        <f aca="false">IF(ABS(E132)&lt;0.00000001,"PASS","FAIL")</f>
        <v>PASS</v>
      </c>
    </row>
    <row r="133" customFormat="false" ht="15" hidden="false" customHeight="false" outlineLevel="0" collapsed="false">
      <c r="B133" s="3" t="s">
        <v>448</v>
      </c>
      <c r="C133" s="19" t="n">
        <v>4053091</v>
      </c>
      <c r="D133" s="49" t="n">
        <f aca="false">ROUND('Sensitivities, the data'!$C$120,0)</f>
        <v>4053091</v>
      </c>
      <c r="E133" s="11" t="n">
        <f aca="false">D133-C133</f>
        <v>0</v>
      </c>
      <c r="F133" s="22" t="str">
        <f aca="false">IF(ABS(E133)&lt;0.00000001,"PASS","FAIL")</f>
        <v>PASS</v>
      </c>
    </row>
    <row r="134" customFormat="false" ht="15" hidden="false" customHeight="false" outlineLevel="0" collapsed="false">
      <c r="B134" s="3" t="s">
        <v>471</v>
      </c>
      <c r="C134" s="19" t="n">
        <v>3576423</v>
      </c>
      <c r="D134" s="49" t="n">
        <f aca="false">ROUND('Sensitivities, the data'!$C$121,0)</f>
        <v>3576423</v>
      </c>
      <c r="E134" s="11" t="n">
        <f aca="false">D134-C134</f>
        <v>0</v>
      </c>
      <c r="F134" s="22" t="str">
        <f aca="false">IF(ABS(E134)&lt;0.00000001,"PASS","FAIL")</f>
        <v>PASS</v>
      </c>
    </row>
    <row r="135" customFormat="false" ht="15" hidden="false" customHeight="false" outlineLevel="0" collapsed="false">
      <c r="B135" s="3" t="s">
        <v>472</v>
      </c>
      <c r="C135" s="19" t="n">
        <v>3167178</v>
      </c>
      <c r="D135" s="49" t="n">
        <f aca="false">ROUND('Sensitivities, the data'!$C$122,0)</f>
        <v>3167178</v>
      </c>
      <c r="E135" s="11" t="n">
        <f aca="false">D135-C135</f>
        <v>0</v>
      </c>
      <c r="F135" s="22" t="str">
        <f aca="false">IF(ABS(E135)&lt;0.00000001,"PASS","FAIL")</f>
        <v>PASS</v>
      </c>
    </row>
    <row r="136" customFormat="false" ht="15" hidden="false" customHeight="false" outlineLevel="0" collapsed="false">
      <c r="B136" s="6" t="s">
        <v>473</v>
      </c>
      <c r="C136" s="7"/>
      <c r="D136" s="7"/>
      <c r="E136" s="7"/>
      <c r="F136" s="7"/>
    </row>
    <row r="137" customFormat="false" ht="15" hidden="false" customHeight="false" outlineLevel="0" collapsed="false">
      <c r="B137" s="3" t="s">
        <v>470</v>
      </c>
      <c r="C137" s="52" t="n">
        <v>0.857</v>
      </c>
      <c r="D137" s="53" t="n">
        <f aca="false">ROUND('Sensitivities, the data'!$D$118,3)</f>
        <v>0.857</v>
      </c>
      <c r="E137" s="11" t="n">
        <f aca="false">D137-C137</f>
        <v>0</v>
      </c>
      <c r="F137" s="22" t="str">
        <f aca="false">IF(ABS(E137)&lt;0.00000001,"PASS","FAIL")</f>
        <v>PASS</v>
      </c>
    </row>
    <row r="138" customFormat="false" ht="15" hidden="false" customHeight="false" outlineLevel="0" collapsed="false">
      <c r="B138" s="3" t="s">
        <v>464</v>
      </c>
      <c r="C138" s="52" t="n">
        <v>0.682</v>
      </c>
      <c r="D138" s="53" t="n">
        <f aca="false">ROUND('Sensitivities, the data'!$D$119,3)</f>
        <v>0.682</v>
      </c>
      <c r="E138" s="11" t="n">
        <f aca="false">D138-C138</f>
        <v>0</v>
      </c>
      <c r="F138" s="22" t="str">
        <f aca="false">IF(ABS(E138)&lt;0.00000001,"PASS","FAIL")</f>
        <v>PASS</v>
      </c>
    </row>
    <row r="139" customFormat="false" ht="15" hidden="false" customHeight="false" outlineLevel="0" collapsed="false">
      <c r="B139" s="3" t="s">
        <v>448</v>
      </c>
      <c r="C139" s="52" t="n">
        <v>0.556</v>
      </c>
      <c r="D139" s="53" t="n">
        <f aca="false">ROUND('Sensitivities, the data'!$D$120,3)</f>
        <v>0.556</v>
      </c>
      <c r="E139" s="11" t="n">
        <f aca="false">D139-C139</f>
        <v>0</v>
      </c>
      <c r="F139" s="22" t="str">
        <f aca="false">IF(ABS(E139)&lt;0.00000001,"PASS","FAIL")</f>
        <v>PASS</v>
      </c>
    </row>
    <row r="140" customFormat="false" ht="15" hidden="false" customHeight="false" outlineLevel="0" collapsed="false">
      <c r="B140" s="3" t="s">
        <v>471</v>
      </c>
      <c r="C140" s="52" t="n">
        <v>0.389</v>
      </c>
      <c r="D140" s="53" t="n">
        <f aca="false">ROUND('Sensitivities, the data'!$D$121,3)</f>
        <v>0.389</v>
      </c>
      <c r="E140" s="11" t="n">
        <f aca="false">D140-C140</f>
        <v>0</v>
      </c>
      <c r="F140" s="22" t="str">
        <f aca="false">IF(ABS(E140)&lt;0.00000001,"PASS","FAIL")</f>
        <v>PASS</v>
      </c>
    </row>
    <row r="141" customFormat="false" ht="15" hidden="false" customHeight="false" outlineLevel="0" collapsed="false">
      <c r="B141" s="3" t="s">
        <v>472</v>
      </c>
      <c r="C141" s="52" t="n">
        <v>0.285</v>
      </c>
      <c r="D141" s="53" t="n">
        <f aca="false">ROUND('Sensitivities, the data'!$D$122,3)</f>
        <v>0.285</v>
      </c>
      <c r="E141" s="11" t="n">
        <f aca="false">D141-C141</f>
        <v>0</v>
      </c>
      <c r="F141" s="22" t="str">
        <f aca="false">IF(ABS(E141)&lt;0.00000001,"PASS","FAIL")</f>
        <v>PASS</v>
      </c>
    </row>
    <row r="142" customFormat="false" ht="15" hidden="false" customHeight="false" outlineLevel="0" collapsed="false">
      <c r="B142" s="3" t="s">
        <v>212</v>
      </c>
      <c r="C142" s="19" t="n">
        <v>1445701</v>
      </c>
      <c r="D142" s="49" t="n">
        <f aca="false">ROUND('Sensitivities, the data'!$C$123,0)</f>
        <v>1445701</v>
      </c>
      <c r="E142" s="11" t="n">
        <f aca="false">D142-C142</f>
        <v>0</v>
      </c>
      <c r="F142" s="22" t="str">
        <f aca="false">IF(ABS(E142)&lt;0.00000001,"PASS","FAIL")</f>
        <v>PASS</v>
      </c>
    </row>
    <row r="143" customFormat="false" ht="15" hidden="false" customHeight="false" outlineLevel="0" collapsed="false">
      <c r="B143" s="6" t="s">
        <v>474</v>
      </c>
      <c r="C143" s="7"/>
      <c r="D143" s="7"/>
      <c r="E143" s="7"/>
      <c r="F143" s="7"/>
    </row>
    <row r="144" customFormat="false" ht="15" hidden="false" customHeight="false" outlineLevel="0" collapsed="false">
      <c r="B144" s="3" t="s">
        <v>475</v>
      </c>
      <c r="C144" s="52" t="n">
        <v>0.51868</v>
      </c>
      <c r="D144" s="53" t="n">
        <f aca="false">ROUND('Sensitivities, the data'!$F$66,5)</f>
        <v>0.51868</v>
      </c>
      <c r="E144" s="11" t="n">
        <f aca="false">D144-C144</f>
        <v>0</v>
      </c>
      <c r="F144" s="22" t="str">
        <f aca="false">IF(ABS(E144)&lt;0.00000001,"PASS","FAIL")</f>
        <v>PASS</v>
      </c>
    </row>
    <row r="145" customFormat="false" ht="15" hidden="false" customHeight="false" outlineLevel="0" collapsed="false">
      <c r="B145" s="3" t="s">
        <v>476</v>
      </c>
      <c r="C145" s="52" t="n">
        <v>0.51868</v>
      </c>
      <c r="D145" s="53" t="n">
        <f aca="false">ROUND('Sensitivities, the data'!$F$76,5)</f>
        <v>0.51868</v>
      </c>
      <c r="E145" s="11" t="n">
        <f aca="false">D145-C145</f>
        <v>0</v>
      </c>
      <c r="F145" s="22" t="str">
        <f aca="false">IF(ABS(E145)&lt;0.00000001,"PASS","FAIL")</f>
        <v>PASS</v>
      </c>
    </row>
    <row r="146" customFormat="false" ht="15" hidden="false" customHeight="false" outlineLevel="0" collapsed="false">
      <c r="B146" s="3" t="s">
        <v>477</v>
      </c>
      <c r="C146" s="52" t="n">
        <v>0.51868</v>
      </c>
      <c r="D146" s="53" t="n">
        <f aca="false">ROUND('Sensitivities, the data'!$F$86,5)</f>
        <v>0.51868</v>
      </c>
      <c r="E146" s="11" t="n">
        <f aca="false">D146-C146</f>
        <v>0</v>
      </c>
      <c r="F146" s="22" t="str">
        <f aca="false">IF(ABS(E146)&lt;0.00000001,"PASS","FAIL")</f>
        <v>PASS</v>
      </c>
    </row>
    <row r="147" customFormat="false" ht="15" hidden="false" customHeight="false" outlineLevel="0" collapsed="false">
      <c r="B147" s="3" t="s">
        <v>478</v>
      </c>
      <c r="C147" s="52" t="n">
        <v>0.51868</v>
      </c>
      <c r="D147" s="53" t="n">
        <f aca="false">ROUND('Sensitivities, the data'!$F$96,5)</f>
        <v>0.51868</v>
      </c>
      <c r="E147" s="11" t="n">
        <f aca="false">D147-C147</f>
        <v>0</v>
      </c>
      <c r="F147" s="22" t="str">
        <f aca="false">IF(ABS(E147)&lt;0.00000001,"PASS","FAIL")</f>
        <v>PASS</v>
      </c>
    </row>
    <row r="148" customFormat="false" ht="15" hidden="false" customHeight="false" outlineLevel="0" collapsed="false">
      <c r="B148" s="3" t="s">
        <v>479</v>
      </c>
      <c r="C148" s="52" t="n">
        <v>0.51868</v>
      </c>
      <c r="D148" s="53" t="n">
        <f aca="false">ROUND('Sensitivities, the data'!$F$110,5)</f>
        <v>0.51868</v>
      </c>
      <c r="E148" s="11" t="n">
        <f aca="false">D148-C148</f>
        <v>0</v>
      </c>
      <c r="F148" s="22" t="str">
        <f aca="false">IF(ABS(E148)&lt;0.00000001,"PASS","FAIL")</f>
        <v>PASS</v>
      </c>
    </row>
    <row r="149" customFormat="false" ht="15" hidden="false" customHeight="false" outlineLevel="0" collapsed="false">
      <c r="B149" s="3" t="s">
        <v>480</v>
      </c>
      <c r="C149" s="52" t="n">
        <v>0.51868</v>
      </c>
      <c r="D149" s="53" t="n">
        <f aca="false">ROUND('Sensitivities, the data'!$F$120,5)</f>
        <v>0.51868</v>
      </c>
      <c r="E149" s="11" t="n">
        <f aca="false">D149-C149</f>
        <v>0</v>
      </c>
      <c r="F149" s="22" t="str">
        <f aca="false">IF(ABS(E149)&lt;0.00000001,"PASS","FAIL")</f>
        <v>PASS</v>
      </c>
    </row>
    <row r="150" customFormat="false" ht="15" hidden="false" customHeight="false" outlineLevel="0" collapsed="false">
      <c r="B150" s="3" t="s">
        <v>481</v>
      </c>
      <c r="C150" s="52" t="n">
        <v>-0.22305</v>
      </c>
      <c r="D150" s="53" t="n">
        <f aca="false">ROUND('Sensitivities, the data'!$F$122,5)</f>
        <v>-0.22305</v>
      </c>
      <c r="E150" s="11" t="n">
        <f aca="false">D150-C150</f>
        <v>0</v>
      </c>
      <c r="F150" s="22" t="str">
        <f aca="false">IF(ABS(E150)&lt;0.00000001,"PASS","FAIL")</f>
        <v>PASS</v>
      </c>
    </row>
    <row r="151" customFormat="false" ht="15" hidden="false" customHeight="false" outlineLevel="0" collapsed="false">
      <c r="B151" s="6" t="s">
        <v>482</v>
      </c>
      <c r="C151" s="7"/>
      <c r="D151" s="7"/>
      <c r="E151" s="7"/>
      <c r="F151" s="7"/>
    </row>
    <row r="152" customFormat="false" ht="15" hidden="false" customHeight="false" outlineLevel="0" collapsed="false">
      <c r="B152" s="3" t="s">
        <v>483</v>
      </c>
      <c r="C152" s="19" t="n">
        <v>4738289</v>
      </c>
      <c r="D152" s="49" t="n">
        <f aca="false">ROUND('Sensitivities, the judgments'!$C$16,0)</f>
        <v>4738289</v>
      </c>
      <c r="E152" s="11" t="n">
        <f aca="false">D152-C152</f>
        <v>0</v>
      </c>
      <c r="F152" s="22" t="str">
        <f aca="false">IF(ABS(E152)&lt;0.00000001,"PASS","FAIL")</f>
        <v>PASS</v>
      </c>
    </row>
    <row r="153" customFormat="false" ht="15" hidden="false" customHeight="false" outlineLevel="0" collapsed="false">
      <c r="B153" s="3" t="s">
        <v>484</v>
      </c>
      <c r="C153" s="19" t="n">
        <v>3576340</v>
      </c>
      <c r="D153" s="49" t="n">
        <f aca="false">ROUND('Sensitivities, the judgments'!$C$17,0)</f>
        <v>3576340</v>
      </c>
      <c r="E153" s="11" t="n">
        <f aca="false">D153-C153</f>
        <v>0</v>
      </c>
      <c r="F153" s="22" t="str">
        <f aca="false">IF(ABS(E153)&lt;0.00000001,"PASS","FAIL")</f>
        <v>PASS</v>
      </c>
    </row>
    <row r="154" customFormat="false" ht="15" hidden="false" customHeight="false" outlineLevel="0" collapsed="false">
      <c r="B154" s="3" t="s">
        <v>485</v>
      </c>
      <c r="C154" s="19" t="n">
        <v>2414392</v>
      </c>
      <c r="D154" s="49" t="n">
        <f aca="false">ROUND('Sensitivities, the judgments'!$C$18,0)</f>
        <v>2414392</v>
      </c>
      <c r="E154" s="11" t="n">
        <f aca="false">D154-C154</f>
        <v>0</v>
      </c>
      <c r="F154" s="22" t="str">
        <f aca="false">IF(ABS(E154)&lt;0.00000001,"PASS","FAIL")</f>
        <v>PASS</v>
      </c>
    </row>
    <row r="155" customFormat="false" ht="15" hidden="false" customHeight="false" outlineLevel="0" collapsed="false">
      <c r="B155" s="3" t="s">
        <v>486</v>
      </c>
      <c r="C155" s="19" t="n">
        <v>1481403</v>
      </c>
      <c r="D155" s="49" t="n">
        <f aca="false">ROUND('Sensitivities, the judgments'!$C$19,0)</f>
        <v>1481403</v>
      </c>
      <c r="E155" s="11" t="n">
        <f aca="false">D155-C155</f>
        <v>0</v>
      </c>
      <c r="F155" s="22" t="str">
        <f aca="false">IF(ABS(E155)&lt;0.00000001,"PASS","FAIL")</f>
        <v>PASS</v>
      </c>
    </row>
    <row r="156" customFormat="false" ht="15" hidden="false" customHeight="false" outlineLevel="0" collapsed="false">
      <c r="B156" s="3" t="s">
        <v>464</v>
      </c>
      <c r="C156" s="19" t="n">
        <v>590717</v>
      </c>
      <c r="D156" s="49" t="n">
        <f aca="false">ROUND('Sensitivities, the judgments'!$C$20,0)</f>
        <v>590717</v>
      </c>
      <c r="E156" s="11" t="n">
        <f aca="false">D156-C156</f>
        <v>0</v>
      </c>
      <c r="F156" s="22" t="str">
        <f aca="false">IF(ABS(E156)&lt;0.00000001,"PASS","FAIL")</f>
        <v>PASS</v>
      </c>
    </row>
    <row r="157" customFormat="false" ht="15" hidden="false" customHeight="false" outlineLevel="0" collapsed="false">
      <c r="B157" s="3" t="s">
        <v>212</v>
      </c>
      <c r="C157" s="19" t="n">
        <v>4147573</v>
      </c>
      <c r="D157" s="49" t="n">
        <f aca="false">ROUND('Sensitivities, the judgments'!$C$21,0)</f>
        <v>4147573</v>
      </c>
      <c r="E157" s="11" t="n">
        <f aca="false">D157-C157</f>
        <v>0</v>
      </c>
      <c r="F157" s="22" t="str">
        <f aca="false">IF(ABS(E157)&lt;0.00000001,"PASS","FAIL")</f>
        <v>PASS</v>
      </c>
    </row>
    <row r="158" customFormat="false" ht="15" hidden="false" customHeight="false" outlineLevel="0" collapsed="false">
      <c r="B158" s="6" t="s">
        <v>487</v>
      </c>
      <c r="C158" s="7"/>
      <c r="D158" s="7"/>
      <c r="E158" s="7"/>
      <c r="F158" s="7"/>
    </row>
    <row r="159" customFormat="false" ht="15" hidden="false" customHeight="false" outlineLevel="0" collapsed="false">
      <c r="B159" s="3" t="s">
        <v>485</v>
      </c>
      <c r="C159" s="19" t="n">
        <v>499004</v>
      </c>
      <c r="D159" s="49" t="n">
        <f aca="false">ROUND('Sensitivities, the judgments'!$C$29,0)</f>
        <v>499004</v>
      </c>
      <c r="E159" s="11" t="n">
        <f aca="false">D159-C159</f>
        <v>0</v>
      </c>
      <c r="F159" s="22" t="str">
        <f aca="false">IF(ABS(E159)&lt;0.00000001,"PASS","FAIL")</f>
        <v>PASS</v>
      </c>
    </row>
    <row r="160" customFormat="false" ht="15" hidden="false" customHeight="false" outlineLevel="0" collapsed="false">
      <c r="B160" s="3" t="s">
        <v>488</v>
      </c>
      <c r="C160" s="19" t="n">
        <v>13240</v>
      </c>
      <c r="D160" s="49" t="n">
        <f aca="false">ROUND('Sensitivities, the judgments'!$C$30,0)</f>
        <v>13240</v>
      </c>
      <c r="E160" s="11" t="n">
        <f aca="false">D160-C160</f>
        <v>0</v>
      </c>
      <c r="F160" s="22" t="str">
        <f aca="false">IF(ABS(E160)&lt;0.00000001,"PASS","FAIL")</f>
        <v>PASS</v>
      </c>
    </row>
    <row r="161" customFormat="false" ht="15" hidden="false" customHeight="false" outlineLevel="0" collapsed="false">
      <c r="B161" s="3" t="s">
        <v>489</v>
      </c>
      <c r="C161" s="19" t="n">
        <v>-431133</v>
      </c>
      <c r="D161" s="49" t="n">
        <f aca="false">ROUND('Sensitivities, the judgments'!$C$31,0)</f>
        <v>-431133</v>
      </c>
      <c r="E161" s="11" t="n">
        <f aca="false">D161-C161</f>
        <v>0</v>
      </c>
      <c r="F161" s="22" t="str">
        <f aca="false">IF(ABS(E161)&lt;0.00000001,"PASS","FAIL")</f>
        <v>PASS</v>
      </c>
    </row>
    <row r="162" customFormat="false" ht="15" hidden="false" customHeight="false" outlineLevel="0" collapsed="false">
      <c r="B162" s="3" t="s">
        <v>490</v>
      </c>
      <c r="C162" s="19" t="n">
        <v>-863653</v>
      </c>
      <c r="D162" s="49" t="n">
        <f aca="false">ROUND('Sensitivities, the judgments'!$C$32,0)</f>
        <v>-863653</v>
      </c>
      <c r="E162" s="11" t="n">
        <f aca="false">D162-C162</f>
        <v>0</v>
      </c>
      <c r="F162" s="22" t="str">
        <f aca="false">IF(ABS(E162)&lt;0.00000001,"PASS","FAIL")</f>
        <v>PASS</v>
      </c>
    </row>
    <row r="163" customFormat="false" ht="15" hidden="false" customHeight="false" outlineLevel="0" collapsed="false">
      <c r="B163" s="3" t="s">
        <v>491</v>
      </c>
      <c r="C163" s="19" t="n">
        <v>-1242641</v>
      </c>
      <c r="D163" s="49" t="n">
        <f aca="false">ROUND('Sensitivities, the judgments'!$C$33,0)</f>
        <v>-1242641</v>
      </c>
      <c r="E163" s="11" t="n">
        <f aca="false">D163-C163</f>
        <v>0</v>
      </c>
      <c r="F163" s="22" t="str">
        <f aca="false">IF(ABS(E163)&lt;0.00000001,"PASS","FAIL")</f>
        <v>PASS</v>
      </c>
    </row>
    <row r="164" customFormat="false" ht="15" hidden="false" customHeight="false" outlineLevel="0" collapsed="false">
      <c r="B164" s="3" t="s">
        <v>212</v>
      </c>
      <c r="C164" s="19" t="n">
        <v>1741645</v>
      </c>
      <c r="D164" s="49" t="n">
        <f aca="false">ROUND('Sensitivities, the judgments'!$C$34,0)</f>
        <v>1741645</v>
      </c>
      <c r="E164" s="11" t="n">
        <f aca="false">D164-C164</f>
        <v>0</v>
      </c>
      <c r="F164" s="22" t="str">
        <f aca="false">IF(ABS(E164)&lt;0.00000001,"PASS","FAIL")</f>
        <v>PASS</v>
      </c>
    </row>
    <row r="165" customFormat="false" ht="15" hidden="false" customHeight="false" outlineLevel="0" collapsed="false">
      <c r="B165" s="6" t="s">
        <v>492</v>
      </c>
      <c r="C165" s="7"/>
      <c r="D165" s="7"/>
      <c r="E165" s="7"/>
      <c r="F165" s="7"/>
    </row>
    <row r="166" customFormat="false" ht="15" hidden="false" customHeight="false" outlineLevel="0" collapsed="false">
      <c r="B166" s="3" t="s">
        <v>493</v>
      </c>
      <c r="C166" s="52" t="n">
        <v>0.798</v>
      </c>
      <c r="D166" s="53" t="n">
        <f aca="false">ROUND('Sensitivities, the judgments'!$C$42,3)</f>
        <v>0.798</v>
      </c>
      <c r="E166" s="11" t="n">
        <f aca="false">D166-C166</f>
        <v>0</v>
      </c>
      <c r="F166" s="22" t="str">
        <f aca="false">IF(ABS(E166)&lt;0.00000001,"PASS","FAIL")</f>
        <v>PASS</v>
      </c>
    </row>
    <row r="167" customFormat="false" ht="15" hidden="false" customHeight="false" outlineLevel="0" collapsed="false">
      <c r="B167" s="3" t="s">
        <v>491</v>
      </c>
      <c r="C167" s="52" t="n">
        <v>0.548</v>
      </c>
      <c r="D167" s="53" t="n">
        <f aca="false">ROUND('Sensitivities, the judgments'!$C$43,3)</f>
        <v>0.548</v>
      </c>
      <c r="E167" s="11" t="n">
        <f aca="false">D167-C167</f>
        <v>0</v>
      </c>
      <c r="F167" s="22" t="str">
        <f aca="false">IF(ABS(E167)&lt;0.00000001,"PASS","FAIL")</f>
        <v>PASS</v>
      </c>
    </row>
    <row r="168" customFormat="false" ht="15" hidden="false" customHeight="false" outlineLevel="0" collapsed="false">
      <c r="B168" s="3" t="s">
        <v>467</v>
      </c>
      <c r="C168" s="52" t="n">
        <v>0.289</v>
      </c>
      <c r="D168" s="53" t="n">
        <f aca="false">ROUND('Sensitivities, the judgments'!$C$44,3)</f>
        <v>0.289</v>
      </c>
      <c r="E168" s="11" t="n">
        <f aca="false">D168-C168</f>
        <v>0</v>
      </c>
      <c r="F168" s="22" t="str">
        <f aca="false">IF(ABS(E168)&lt;0.00000001,"PASS","FAIL")</f>
        <v>PASS</v>
      </c>
    </row>
    <row r="169" customFormat="false" ht="15" hidden="false" customHeight="false" outlineLevel="0" collapsed="false">
      <c r="B169" s="3" t="s">
        <v>494</v>
      </c>
      <c r="C169" s="52" t="n">
        <v>0.137</v>
      </c>
      <c r="D169" s="53" t="n">
        <f aca="false">ROUND('Sensitivities, the judgments'!$C$45,3)</f>
        <v>0.137</v>
      </c>
      <c r="E169" s="11" t="n">
        <f aca="false">D169-C169</f>
        <v>0</v>
      </c>
      <c r="F169" s="22" t="str">
        <f aca="false">IF(ABS(E169)&lt;0.00000001,"PASS","FAIL")</f>
        <v>PASS</v>
      </c>
    </row>
    <row r="170" customFormat="false" ht="15" hidden="false" customHeight="false" outlineLevel="0" collapsed="false">
      <c r="B170" s="3" t="s">
        <v>495</v>
      </c>
      <c r="C170" s="52" t="n">
        <v>0.048</v>
      </c>
      <c r="D170" s="53" t="n">
        <f aca="false">ROUND('Sensitivities, the judgments'!$C$46,3)</f>
        <v>0.048</v>
      </c>
      <c r="E170" s="11" t="n">
        <f aca="false">D170-C170</f>
        <v>0</v>
      </c>
      <c r="F170" s="22" t="str">
        <f aca="false">IF(ABS(E170)&lt;0.00000001,"PASS","FAIL")</f>
        <v>PASS</v>
      </c>
    </row>
    <row r="171" customFormat="false" ht="15" hidden="false" customHeight="false" outlineLevel="0" collapsed="false">
      <c r="B171" s="3" t="s">
        <v>496</v>
      </c>
      <c r="C171" s="52" t="n">
        <v>0.75</v>
      </c>
      <c r="D171" s="53" t="n">
        <f aca="false">ROUND('Sensitivities, the judgments'!$C$47,3)</f>
        <v>0.75</v>
      </c>
      <c r="E171" s="11" t="n">
        <f aca="false">D171-C171</f>
        <v>0</v>
      </c>
      <c r="F171" s="22" t="str">
        <f aca="false">IF(ABS(E171)&lt;0.00000001,"PASS","FAIL")</f>
        <v>PASS</v>
      </c>
    </row>
    <row r="172" customFormat="false" ht="15" hidden="false" customHeight="false" outlineLevel="0" collapsed="false">
      <c r="B172" s="6" t="s">
        <v>497</v>
      </c>
      <c r="C172" s="7"/>
      <c r="D172" s="7"/>
      <c r="E172" s="7"/>
      <c r="F172" s="7"/>
    </row>
    <row r="173" customFormat="false" ht="15" hidden="false" customHeight="false" outlineLevel="0" collapsed="false">
      <c r="B173" s="3" t="s">
        <v>498</v>
      </c>
      <c r="C173" s="19" t="n">
        <v>48050000</v>
      </c>
      <c r="D173" s="49" t="n">
        <f aca="false">ROUND('Case B'!$C$36,0)</f>
        <v>48050000</v>
      </c>
      <c r="E173" s="11" t="n">
        <f aca="false">D173-C173</f>
        <v>0</v>
      </c>
      <c r="F173" s="22" t="str">
        <f aca="false">IF(ABS(E173)&lt;0.00000001,"PASS","FAIL")</f>
        <v>PASS</v>
      </c>
    </row>
    <row r="174" customFormat="false" ht="15" hidden="false" customHeight="false" outlineLevel="0" collapsed="false">
      <c r="B174" s="3" t="s">
        <v>358</v>
      </c>
      <c r="C174" s="19" t="n">
        <v>52997520</v>
      </c>
      <c r="D174" s="49" t="n">
        <f aca="false">ROUND('Case B'!$D$36,0)</f>
        <v>52997520</v>
      </c>
      <c r="E174" s="11" t="n">
        <f aca="false">D174-C174</f>
        <v>0</v>
      </c>
      <c r="F174" s="22" t="str">
        <f aca="false">IF(ABS(E174)&lt;0.00000001,"PASS","FAIL")</f>
        <v>PASS</v>
      </c>
    </row>
    <row r="175" customFormat="false" ht="15" hidden="false" customHeight="false" outlineLevel="0" collapsed="false">
      <c r="B175" s="3" t="s">
        <v>499</v>
      </c>
      <c r="C175" s="52" t="n">
        <v>0.103</v>
      </c>
      <c r="D175" s="53" t="n">
        <f aca="false">ROUND('Case B'!$F$36,3)</f>
        <v>0.103</v>
      </c>
      <c r="E175" s="11" t="n">
        <f aca="false">D175-C175</f>
        <v>0</v>
      </c>
      <c r="F175" s="22" t="str">
        <f aca="false">IF(ABS(E175)&lt;0.00000001,"PASS","FAIL")</f>
        <v>PASS</v>
      </c>
    </row>
    <row r="176" customFormat="false" ht="15" hidden="false" customHeight="false" outlineLevel="0" collapsed="false">
      <c r="B176" s="3" t="s">
        <v>376</v>
      </c>
      <c r="C176" s="19" t="n">
        <v>3900</v>
      </c>
      <c r="D176" s="49" t="n">
        <f aca="false">ROUND('Case B'!$C$37,0)</f>
        <v>3900</v>
      </c>
      <c r="E176" s="11" t="n">
        <f aca="false">D176-C176</f>
        <v>0</v>
      </c>
      <c r="F176" s="22" t="str">
        <f aca="false">IF(ABS(E176)&lt;0.00000001,"PASS","FAIL")</f>
        <v>PASS</v>
      </c>
    </row>
    <row r="177" customFormat="false" ht="15" hidden="false" customHeight="false" outlineLevel="0" collapsed="false">
      <c r="B177" s="3" t="s">
        <v>377</v>
      </c>
      <c r="C177" s="19" t="n">
        <v>4842</v>
      </c>
      <c r="D177" s="49" t="n">
        <f aca="false">ROUND('Case B'!$D$37,0)</f>
        <v>4842</v>
      </c>
      <c r="E177" s="11" t="n">
        <f aca="false">D177-C177</f>
        <v>0</v>
      </c>
      <c r="F177" s="22" t="str">
        <f aca="false">IF(ABS(E177)&lt;0.00000001,"PASS","FAIL")</f>
        <v>PASS</v>
      </c>
    </row>
    <row r="178" customFormat="false" ht="15" hidden="false" customHeight="false" outlineLevel="0" collapsed="false">
      <c r="B178" s="3" t="s">
        <v>380</v>
      </c>
      <c r="C178" s="19" t="n">
        <v>980</v>
      </c>
      <c r="D178" s="49" t="n">
        <f aca="false">ROUND('Case B'!$C$39,0)</f>
        <v>980</v>
      </c>
      <c r="E178" s="11" t="n">
        <f aca="false">D178-C178</f>
        <v>0</v>
      </c>
      <c r="F178" s="22" t="str">
        <f aca="false">IF(ABS(E178)&lt;0.00000001,"PASS","FAIL")</f>
        <v>PASS</v>
      </c>
    </row>
    <row r="179" customFormat="false" ht="15" hidden="false" customHeight="false" outlineLevel="0" collapsed="false">
      <c r="B179" s="3" t="s">
        <v>381</v>
      </c>
      <c r="C179" s="19" t="n">
        <v>1317</v>
      </c>
      <c r="D179" s="49" t="n">
        <f aca="false">ROUND('Case B'!$D$39,0)</f>
        <v>1317</v>
      </c>
      <c r="E179" s="11" t="n">
        <f aca="false">D179-C179</f>
        <v>0</v>
      </c>
      <c r="F179" s="22" t="str">
        <f aca="false">IF(ABS(E179)&lt;0.00000001,"PASS","FAIL")</f>
        <v>PASS</v>
      </c>
    </row>
    <row r="180" customFormat="false" ht="15" hidden="false" customHeight="false" outlineLevel="0" collapsed="false">
      <c r="B180" s="3" t="s">
        <v>500</v>
      </c>
      <c r="C180" s="19" t="n">
        <v>13440000</v>
      </c>
      <c r="D180" s="49" t="n">
        <f aca="false">ROUND('Case B'!$C$49,0)</f>
        <v>13440000</v>
      </c>
      <c r="E180" s="11" t="n">
        <f aca="false">D180-C180</f>
        <v>0</v>
      </c>
      <c r="F180" s="22" t="str">
        <f aca="false">IF(ABS(E180)&lt;0.00000001,"PASS","FAIL")</f>
        <v>PASS</v>
      </c>
    </row>
    <row r="181" customFormat="false" ht="15" hidden="false" customHeight="false" outlineLevel="0" collapsed="false">
      <c r="B181" s="3" t="s">
        <v>501</v>
      </c>
      <c r="C181" s="19" t="n">
        <v>16639817</v>
      </c>
      <c r="D181" s="49" t="n">
        <f aca="false">ROUND('Case B'!$D$49,0)</f>
        <v>16639817</v>
      </c>
      <c r="E181" s="11" t="n">
        <f aca="false">D181-C181</f>
        <v>0</v>
      </c>
      <c r="F181" s="22" t="str">
        <f aca="false">IF(ABS(E181)&lt;0.00000001,"PASS","FAIL")</f>
        <v>PASS</v>
      </c>
    </row>
    <row r="182" customFormat="false" ht="15" hidden="false" customHeight="false" outlineLevel="0" collapsed="false">
      <c r="B182" s="3" t="s">
        <v>502</v>
      </c>
      <c r="C182" s="52" t="n">
        <v>0.238</v>
      </c>
      <c r="D182" s="53" t="n">
        <f aca="false">ROUND('Case B'!$F$49,3)</f>
        <v>0.238</v>
      </c>
      <c r="E182" s="11" t="n">
        <f aca="false">D182-C182</f>
        <v>0</v>
      </c>
      <c r="F182" s="22" t="str">
        <f aca="false">IF(ABS(E182)&lt;0.00000001,"PASS","FAIL")</f>
        <v>PASS</v>
      </c>
    </row>
    <row r="183" customFormat="false" ht="15" hidden="false" customHeight="false" outlineLevel="0" collapsed="false">
      <c r="B183" s="3" t="s">
        <v>503</v>
      </c>
      <c r="C183" s="19" t="n">
        <v>15796500</v>
      </c>
      <c r="D183" s="49" t="n">
        <f aca="false">ROUND('Case B'!$C$50,0)</f>
        <v>15796500</v>
      </c>
      <c r="E183" s="11" t="n">
        <f aca="false">D183-C183</f>
        <v>0</v>
      </c>
      <c r="F183" s="22" t="str">
        <f aca="false">IF(ABS(E183)&lt;0.00000001,"PASS","FAIL")</f>
        <v>PASS</v>
      </c>
    </row>
    <row r="184" customFormat="false" ht="15" hidden="false" customHeight="false" outlineLevel="0" collapsed="false">
      <c r="B184" s="3" t="s">
        <v>359</v>
      </c>
      <c r="C184" s="19" t="n">
        <v>17346425</v>
      </c>
      <c r="D184" s="49" t="n">
        <f aca="false">ROUND('Case B'!$D$50,0)</f>
        <v>17346425</v>
      </c>
      <c r="E184" s="11" t="n">
        <f aca="false">D184-C184</f>
        <v>0</v>
      </c>
      <c r="F184" s="22" t="str">
        <f aca="false">IF(ABS(E184)&lt;0.00000001,"PASS","FAIL")</f>
        <v>PASS</v>
      </c>
    </row>
    <row r="185" customFormat="false" ht="15" hidden="false" customHeight="false" outlineLevel="0" collapsed="false">
      <c r="B185" s="3" t="s">
        <v>504</v>
      </c>
      <c r="C185" s="19" t="n">
        <v>4802316</v>
      </c>
      <c r="D185" s="49" t="n">
        <f aca="false">ROUND('Case B'!$C$51,0)</f>
        <v>4802316</v>
      </c>
      <c r="E185" s="11" t="n">
        <f aca="false">D185-C185</f>
        <v>0</v>
      </c>
      <c r="F185" s="22" t="str">
        <f aca="false">IF(ABS(E185)&lt;0.00000001,"PASS","FAIL")</f>
        <v>PASS</v>
      </c>
    </row>
    <row r="186" customFormat="false" ht="15" hidden="false" customHeight="false" outlineLevel="0" collapsed="false">
      <c r="B186" s="3" t="s">
        <v>360</v>
      </c>
      <c r="C186" s="19" t="n">
        <v>5431227</v>
      </c>
      <c r="D186" s="49" t="n">
        <f aca="false">ROUND('Case B'!$D$51,0)</f>
        <v>5431227</v>
      </c>
      <c r="E186" s="11" t="n">
        <f aca="false">D186-C186</f>
        <v>0</v>
      </c>
      <c r="F186" s="22" t="str">
        <f aca="false">IF(ABS(E186)&lt;0.00000001,"PASS","FAIL")</f>
        <v>PASS</v>
      </c>
    </row>
    <row r="187" customFormat="false" ht="15" hidden="false" customHeight="false" outlineLevel="0" collapsed="false">
      <c r="B187" s="3" t="s">
        <v>505</v>
      </c>
      <c r="C187" s="19" t="n">
        <v>14011184</v>
      </c>
      <c r="D187" s="49" t="n">
        <f aca="false">ROUND('Case B'!$C$53,0)</f>
        <v>14011184</v>
      </c>
      <c r="E187" s="11" t="n">
        <f aca="false">D187-C187</f>
        <v>0</v>
      </c>
      <c r="F187" s="22" t="str">
        <f aca="false">IF(ABS(E187)&lt;0.00000001,"PASS","FAIL")</f>
        <v>PASS</v>
      </c>
    </row>
    <row r="188" customFormat="false" ht="15" hidden="false" customHeight="false" outlineLevel="0" collapsed="false">
      <c r="B188" s="3" t="s">
        <v>506</v>
      </c>
      <c r="C188" s="19" t="n">
        <v>13580051</v>
      </c>
      <c r="D188" s="49" t="n">
        <f aca="false">ROUND('Case B'!$D$53,0)</f>
        <v>13580051</v>
      </c>
      <c r="E188" s="11" t="n">
        <f aca="false">D188-C188</f>
        <v>0</v>
      </c>
      <c r="F188" s="22" t="str">
        <f aca="false">IF(ABS(E188)&lt;0.00000001,"PASS","FAIL")</f>
        <v>PASS</v>
      </c>
    </row>
    <row r="189" customFormat="false" ht="15" hidden="false" customHeight="false" outlineLevel="0" collapsed="false">
      <c r="B189" s="3" t="s">
        <v>362</v>
      </c>
      <c r="C189" s="19" t="n">
        <v>7291184</v>
      </c>
      <c r="D189" s="49" t="n">
        <f aca="false">ROUND('Case B'!$C$55,0)</f>
        <v>7291184</v>
      </c>
      <c r="E189" s="11" t="n">
        <f aca="false">D189-C189</f>
        <v>0</v>
      </c>
      <c r="F189" s="22" t="str">
        <f aca="false">IF(ABS(E189)&lt;0.00000001,"PASS","FAIL")</f>
        <v>PASS</v>
      </c>
    </row>
    <row r="190" customFormat="false" ht="15" hidden="false" customHeight="false" outlineLevel="0" collapsed="false">
      <c r="B190" s="3" t="s">
        <v>361</v>
      </c>
      <c r="C190" s="19" t="n">
        <v>6860051</v>
      </c>
      <c r="D190" s="49" t="n">
        <f aca="false">ROUND('Case B'!$D$55,0)</f>
        <v>6860051</v>
      </c>
      <c r="E190" s="11" t="n">
        <f aca="false">D190-C190</f>
        <v>0</v>
      </c>
      <c r="F190" s="22" t="str">
        <f aca="false">IF(ABS(E190)&lt;0.00000001,"PASS","FAIL")</f>
        <v>PASS</v>
      </c>
    </row>
    <row r="191" customFormat="false" ht="15" hidden="false" customHeight="false" outlineLevel="0" collapsed="false">
      <c r="B191" s="3" t="s">
        <v>363</v>
      </c>
      <c r="C191" s="19" t="n">
        <v>-431133</v>
      </c>
      <c r="D191" s="49" t="n">
        <f aca="false">ROUND('Case B'!$E$55,0)</f>
        <v>-431133</v>
      </c>
      <c r="E191" s="11" t="n">
        <f aca="false">D191-C191</f>
        <v>0</v>
      </c>
      <c r="F191" s="22" t="str">
        <f aca="false">IF(ABS(E191)&lt;0.00000001,"PASS","FAIL")</f>
        <v>PASS</v>
      </c>
    </row>
    <row r="192" customFormat="false" ht="15" hidden="false" customHeight="false" outlineLevel="0" collapsed="false">
      <c r="B192" s="3" t="s">
        <v>507</v>
      </c>
      <c r="C192" s="52" t="n">
        <v>0.152</v>
      </c>
      <c r="D192" s="53" t="n">
        <f aca="false">ROUND('Case B'!$C$56,3)</f>
        <v>0.152</v>
      </c>
      <c r="E192" s="11" t="n">
        <f aca="false">D192-C192</f>
        <v>0</v>
      </c>
      <c r="F192" s="22" t="str">
        <f aca="false">IF(ABS(E192)&lt;0.00000001,"PASS","FAIL")</f>
        <v>PASS</v>
      </c>
    </row>
    <row r="193" customFormat="false" ht="15" hidden="false" customHeight="false" outlineLevel="0" collapsed="false">
      <c r="B193" s="3" t="s">
        <v>508</v>
      </c>
      <c r="C193" s="52" t="n">
        <v>0.129</v>
      </c>
      <c r="D193" s="53" t="n">
        <f aca="false">ROUND('Case B'!$D$56,3)</f>
        <v>0.129</v>
      </c>
      <c r="E193" s="11" t="n">
        <f aca="false">D193-C193</f>
        <v>0</v>
      </c>
      <c r="F193" s="22" t="str">
        <f aca="false">IF(ABS(E193)&lt;0.00000001,"PASS","FAIL")</f>
        <v>PASS</v>
      </c>
    </row>
    <row r="194" customFormat="false" ht="15" hidden="false" customHeight="false" outlineLevel="0" collapsed="false">
      <c r="B194" s="3" t="s">
        <v>509</v>
      </c>
      <c r="C194" s="20" t="n">
        <v>87.88</v>
      </c>
      <c r="D194" s="51" t="n">
        <f aca="false">ROUND('Case B'!$C$57,2)</f>
        <v>87.88</v>
      </c>
      <c r="E194" s="11" t="n">
        <f aca="false">D194-C194</f>
        <v>0</v>
      </c>
      <c r="F194" s="22" t="str">
        <f aca="false">IF(ABS(E194)&lt;0.00000001,"PASS","FAIL")</f>
        <v>PASS</v>
      </c>
    </row>
    <row r="195" customFormat="false" ht="15" hidden="false" customHeight="false" outlineLevel="0" collapsed="false">
      <c r="B195" s="3" t="s">
        <v>510</v>
      </c>
      <c r="C195" s="20" t="n">
        <v>96.2</v>
      </c>
      <c r="D195" s="51" t="n">
        <f aca="false">ROUND('Case B'!$D$57,2)</f>
        <v>96.2</v>
      </c>
      <c r="E195" s="11" t="n">
        <f aca="false">D195-C195</f>
        <v>0</v>
      </c>
      <c r="F195" s="22" t="str">
        <f aca="false">IF(ABS(E195)&lt;0.00000001,"PASS","FAIL")</f>
        <v>PASS</v>
      </c>
    </row>
    <row r="196" customFormat="false" ht="15" hidden="false" customHeight="false" outlineLevel="0" collapsed="false">
      <c r="B196" s="6" t="s">
        <v>511</v>
      </c>
      <c r="C196" s="7"/>
      <c r="D196" s="7"/>
      <c r="E196" s="7"/>
      <c r="F196" s="7"/>
    </row>
    <row r="197" customFormat="false" ht="15" hidden="false" customHeight="false" outlineLevel="0" collapsed="false">
      <c r="B197" s="3" t="s">
        <v>512</v>
      </c>
      <c r="C197" s="19" t="n">
        <v>13440000</v>
      </c>
      <c r="D197" s="49" t="n">
        <f aca="false">ROUND('Sensitivities, the data'!$C$40*'Sensitivities, the data'!$G$32+'Sensitivities, the data'!$C$41*'Sensitivities, the data'!$G$33+'Sensitivities, the data'!$C$42*'Sensitivities, the data'!$G$31+'Sensitivities, the data'!$C$43*'Sensitivities, the data'!$G$34+'Sensitivities, the data'!$C$44*'Sensitivities, the data'!$G$35,0)</f>
        <v>13440000</v>
      </c>
      <c r="E197" s="11" t="n">
        <f aca="false">D197-C197</f>
        <v>0</v>
      </c>
      <c r="F197" s="22" t="str">
        <f aca="false">IF(ABS(E197)&lt;0.00000001,"PASS","FAIL")</f>
        <v>PASS</v>
      </c>
    </row>
    <row r="198" customFormat="false" ht="15" hidden="false" customHeight="false" outlineLevel="0" collapsed="false">
      <c r="B198" s="3" t="s">
        <v>513</v>
      </c>
      <c r="C198" s="19" t="n">
        <v>13440000</v>
      </c>
      <c r="D198" s="49" t="n">
        <f aca="false">ROUND(SUMPRODUCT('Sensitivities, the data'!$C$56:$F$56,'Sensitivities, the data'!$C$8:$F$8),0)</f>
        <v>13440000</v>
      </c>
      <c r="E198" s="11" t="n">
        <f aca="false">D198-C198</f>
        <v>0</v>
      </c>
      <c r="F198" s="22" t="str">
        <f aca="false">IF(ABS(E198)&lt;0.00000001,"PASS","FAIL")</f>
        <v>PASS</v>
      </c>
    </row>
    <row r="199" customFormat="false" ht="15" hidden="false" customHeight="false" outlineLevel="0" collapsed="false">
      <c r="B199" s="3" t="s">
        <v>514</v>
      </c>
      <c r="C199" s="11" t="n">
        <v>0</v>
      </c>
      <c r="D199" s="50" t="n">
        <f aca="false">ROUND(SUMPRODUCT('Sensitivities, the data'!$C$57:$F$57-'Sensitivities, the data'!$C$55:$F$55,'Sensitivities, the data'!$C$8:$F$8),0)</f>
        <v>0</v>
      </c>
      <c r="E199" s="11" t="n">
        <f aca="false">D199-C199</f>
        <v>0</v>
      </c>
      <c r="F199" s="22" t="str">
        <f aca="false">IF(ABS(E199)&lt;0.00000001,"PASS","FAIL")</f>
        <v>PASS</v>
      </c>
    </row>
    <row r="200" customFormat="false" ht="15" hidden="false" customHeight="false" outlineLevel="0" collapsed="false">
      <c r="B200" s="3" t="s">
        <v>515</v>
      </c>
      <c r="C200" s="19" t="n">
        <v>-431133</v>
      </c>
      <c r="D200" s="49" t="n">
        <f aca="false">ROUND('Sensitivities, the judgments'!$C$31,0)</f>
        <v>-431133</v>
      </c>
      <c r="E200" s="11" t="n">
        <f aca="false">D200-C200</f>
        <v>0</v>
      </c>
      <c r="F200" s="22" t="str">
        <f aca="false">IF(ABS(E200)&lt;0.00000001,"PASS","FAIL")</f>
        <v>PASS</v>
      </c>
    </row>
    <row r="201" customFormat="false" ht="15" hidden="false" customHeight="false" outlineLevel="0" collapsed="false">
      <c r="B201" s="3" t="s">
        <v>516</v>
      </c>
      <c r="C201" s="19" t="n">
        <v>16639817</v>
      </c>
      <c r="D201" s="49" t="n">
        <f aca="false">ROUND('Sensitivities, the judgments'!$AF$72,0)</f>
        <v>16639817</v>
      </c>
      <c r="E201" s="11" t="n">
        <f aca="false">D201-C201</f>
        <v>0</v>
      </c>
      <c r="F201" s="22" t="str">
        <f aca="false">IF(ABS(E201)&lt;0.00000001,"PASS","FAIL")</f>
        <v>PASS</v>
      </c>
    </row>
    <row r="202" customFormat="false" ht="15" hidden="false" customHeight="false" outlineLevel="0" collapsed="false">
      <c r="B202" s="3" t="s">
        <v>517</v>
      </c>
      <c r="C202" s="20" t="n">
        <v>301.78</v>
      </c>
      <c r="D202" s="51" t="n">
        <f aca="false">ROUND('Sensitivities, the judgments'!$L$18,2)</f>
        <v>301.78</v>
      </c>
      <c r="E202" s="11" t="n">
        <f aca="false">D202-C202</f>
        <v>0</v>
      </c>
      <c r="F202" s="22" t="str">
        <f aca="false">IF(ABS(E202)&lt;0.00000001,"PASS","FAIL")</f>
        <v>PASS</v>
      </c>
    </row>
    <row r="204" customFormat="false" ht="15" hidden="false" customHeight="false" outlineLevel="0" collapsed="false">
      <c r="B204" s="22" t="s">
        <v>518</v>
      </c>
      <c r="C204" s="22" t="n">
        <f aca="false">COUNTIF(F7:F202,"PASS")+COUNTIF(F7:F202,"FAIL")</f>
        <v>176</v>
      </c>
    </row>
    <row r="205" customFormat="false" ht="15" hidden="false" customHeight="false" outlineLevel="0" collapsed="false">
      <c r="B205" s="22" t="s">
        <v>519</v>
      </c>
      <c r="C205" s="22" t="n">
        <f aca="false">COUNTIF(F7:F202,"PASS")</f>
        <v>176</v>
      </c>
    </row>
    <row r="206" customFormat="false" ht="15" hidden="false" customHeight="false" outlineLevel="0" collapsed="false">
      <c r="B206" s="56" t="s">
        <v>520</v>
      </c>
      <c r="C206" s="56" t="n">
        <f aca="false">COUNTIF(F7:F202,"FAIL")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2026-09-11T18:59:55Z</dcterms:created>
  <dc:creator>openpyxl</dc:creator>
  <dc:description/>
  <dc:language>en-US</dc:language>
  <cp:lastModifiedBy/>
  <dcterms:modified xsi:type="dcterms:W3CDTF">2026-09-11T18:59:55Z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