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The Batch" sheetId="3" state="visible" r:id="rId5"/>
    <sheet name="Make or Buy" sheetId="4" state="visible" r:id="rId6"/>
    <sheet name="Cost to Serve" sheetId="5" state="visible" r:id="rId7"/>
    <sheet name="The Spiral" sheetId="6" state="visible" r:id="rId8"/>
    <sheet name="Price Correction" sheetId="7" state="visible" r:id="rId9"/>
    <sheet name="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<sst xmlns="http://schemas.openxmlformats.org/spreadsheetml/2006/main" count="791" uniqueCount="535">
  <si>
    <t xml:space="preserve">Cost Accounting -- Workbook 3 of 4</t>
  </si>
  <si>
    <t xml:space="preserve">The Decisions: every decision the corrected cost changes</t>
  </si>
  <si>
    <t xml:space="preserve">Julian R. Sterling. Companion files: julianrsterling.com/costing</t>
  </si>
  <si>
    <t xml:space="preserve">What this workbook does</t>
  </si>
  <si>
    <t xml:space="preserve">Workbooks 1 and 2 establish that Calderbrook Engineering's 13,440,000 of factory overhead is</t>
  </si>
  <si>
    <t xml:space="preserve">absorbed on direct labor hours at 87.8776 an hour and that not one of the five things that</t>
  </si>
  <si>
    <t xml:space="preserve">actually drives it is a direct labor hour. Re-assigning the SAME pool on those five drivers</t>
  </si>
  <si>
    <t xml:space="preserve">moves 4,053,091 between the four families, which is 55.6 per cent of the 7,291,184 of</t>
  </si>
  <si>
    <t xml:space="preserve">operating profit.</t>
  </si>
  <si>
    <t xml:space="preserve">This workbook takes that corrected cost into the five places where it changes what a manager</t>
  </si>
  <si>
    <t xml:space="preserve">does: the order quantity, the make-or-buy decision, the customer, the quotation, and the</t>
  </si>
  <si>
    <t xml:space="preserve">price list.</t>
  </si>
  <si>
    <t xml:space="preserve">THE IDEA THIS WORKBOOK CARRIES ON EVERY SHEET</t>
  </si>
  <si>
    <t xml:space="preserve">A driver rate is an AVERAGE OF A LARGELY FIXED CAPACITY COST. Nine hundred dollars a setup is</t>
  </si>
  <si>
    <t xml:space="preserve">the annual cost of the setup function divided by the setups it performed. It is not nine</t>
  </si>
  <si>
    <t xml:space="preserve">hundred dollars of cash that appears when you schedule one more changeover, and it is not</t>
  </si>
  <si>
    <t xml:space="preserve">nine hundred dollars of cash that disappears when you cancel one.</t>
  </si>
  <si>
    <t xml:space="preserve">So every decision on these sheets is taken TWICE.</t>
  </si>
  <si>
    <t xml:space="preserve">   FULL DRIVER COST answers the ANNUAL question. Over a year, does this family's order</t>
  </si>
  <si>
    <t xml:space="preserve">   pattern, this price, this customer, carry the whole cost of the capacity it occupies?</t>
  </si>
  <si>
    <t xml:space="preserve">   That is the question a price list and a product portfolio must answer.</t>
  </si>
  <si>
    <t xml:space="preserve">   AVOIDABLE COST answers the CASH question. Next week, with the building already paid for</t>
  </si>
  <si>
    <t xml:space="preserve">   and the planners already on the payroll, does this order, this part, this customer bring</t>
  </si>
  <si>
    <t xml:space="preserve">   in more cash than it consumes? That is the question one decision in front of you answers.</t>
  </si>
  <si>
    <t xml:space="preserve">Both are true at the same time and they frequently point opposite ways. The aerospace bracket</t>
  </si>
  <si>
    <t xml:space="preserve">is ordered in quantities of 8.9 against a FULL-cost break-even of 34.9, so the family's order</t>
  </si>
  <si>
    <t xml:space="preserve">pattern does not carry the cost of starting it over a year. On AVOIDABLE cost the break-even</t>
  </si>
  <si>
    <t xml:space="preserve">is 6.1, which the average order clears, so each individual order still generates cash.</t>
  </si>
  <si>
    <t xml:space="preserve">A factory that refuses an order on the full-cost test while it has idle capacity has destroyed</t>
  </si>
  <si>
    <t xml:space="preserve">money, not saved it. A factory that prices a year of work on the avoidable test has given the</t>
  </si>
  <si>
    <t xml:space="preserve">building away. Wherever a decision is taken on these sheets, both numbers are printed.</t>
  </si>
  <si>
    <t xml:space="preserve">What is on the other sheets</t>
  </si>
  <si>
    <t xml:space="preserve">Inputs            every number this workbook is allowed to start from, and nothing else</t>
  </si>
  <si>
    <t xml:space="preserve">The Batch         the cost of one order, the average order quantity, and BOTH break-evens</t>
  </si>
  <si>
    <t xml:space="preserve">Make or Buy       three quotes against three costs, and what the survivor's rate becomes</t>
  </si>
  <si>
    <t xml:space="preserve">Cost to Serve     the same part, two customers, 28.42 per cent against 14.66 per cent</t>
  </si>
  <si>
    <t xml:space="preserve">The Spiral        four rounds from a healthy factory to an empty one, and the assumption</t>
  </si>
  <si>
    <t xml:space="preserve">Price Correction  the target prices, and how much volume a rise can afford to lose</t>
  </si>
  <si>
    <t xml:space="preserve">Checks            every figure the book prints within this workbook's scope</t>
  </si>
  <si>
    <t xml:space="preserve">Conventions</t>
  </si>
  <si>
    <t xml:space="preserve">Blue text is an input. Change it and everything recomputes.</t>
  </si>
  <si>
    <t xml:space="preserve">A yellow fill marks an assumption that DECIDES the answer rather than merely feeding it.</t>
  </si>
  <si>
    <t xml:space="preserve">There are six: the five avoidable shares and the price elasticity of volume. A company must</t>
  </si>
  <si>
    <t xml:space="preserve">measure its own. The book's figures are plausible, they are not measurements, and the</t>
  </si>
  <si>
    <t xml:space="preserve">sensitivity sheets in Workbook 4 show how far the decisions move when they change.</t>
  </si>
  <si>
    <t xml:space="preserve">Black text is a formula. Do not overtype it.</t>
  </si>
  <si>
    <t xml:space="preserve">Green text on the Checks sheet is a link to a computed cell.</t>
  </si>
  <si>
    <t xml:space="preserve">The one thing that never changes</t>
  </si>
  <si>
    <t xml:space="preserve">NOTHING IN THIS WORKBOOK CREATES OR DESTROYS A DOLLAR OF OVERHEAD. The pool is 13,440,000 on</t>
  </si>
  <si>
    <t xml:space="preserve">the labor-hour method and 13,440,000 on the driver method. The two methods distribute the same</t>
  </si>
  <si>
    <t xml:space="preserve">money differently, which is why the margin shifts sum to nought. Where overhead does leave the</t>
  </si>
  <si>
    <t xml:space="preserve">business -- the Make or Buy sheet, where three families are outsourced -- it leaves because a</t>
  </si>
  <si>
    <t xml:space="preserve">real cost was removed, and the sheet shows exactly how much stayed behind.</t>
  </si>
  <si>
    <t xml:space="preserve">The Checks sheet</t>
  </si>
  <si>
    <t xml:space="preserve">Every figure the book prints within this workbook's scope appears there beside the figure this</t>
  </si>
  <si>
    <t xml:space="preserve">workbook computes, with the difference and PASS or FAIL. The book figure is typed; the</t>
  </si>
  <si>
    <t xml:space="preserve">workbook figure is a live link. If a check reads FAIL, the workbook is wrong, not the book.</t>
  </si>
  <si>
    <t xml:space="preserve">The tolerance on each row is half the last digit the book prints, so a PASS means the computed</t>
  </si>
  <si>
    <t xml:space="preserve">figure rounds to the printed one.</t>
  </si>
  <si>
    <t xml:space="preserve">There are no macros, no external links, no protection and no circular references. The one</t>
  </si>
  <si>
    <t xml:space="preserve">break-even that needs solving -- the largest price rise a family can carry once the surviving</t>
  </si>
  <si>
    <t xml:space="preserve">units are recosted -- is solved in CLOSED FORM, and the algebra is printed beside it.</t>
  </si>
  <si>
    <t xml:space="preserve">The file behaves identically in Excel, LibreOffice and Google Sheets.</t>
  </si>
  <si>
    <t xml:space="preserve">Revised 24 September 2026. Four corrections, all in this workbook; the other three were right. (1) Make or Buy: the absorbed cost says buy on all three quotes because every quote is below it, not because it is the largest of the three costs, which it is only on the bushings. (2) The Batch, rows 37 to 43: the average bracket order in money on the unrounded 8.945 units: 795.26 short of its full batch cost and 413.47 of cash left after the avoidable one. (3) Price Correction, rows 35 to 47: the brackets can be asked the question the other three are asked; lost volume deepens their loss. (4) The Spiral, rows 48 to 53: the tolerance changes nothing below 33.4 per cent. Fourteen checks added.</t>
  </si>
  <si>
    <t xml:space="preserve">Inputs</t>
  </si>
  <si>
    <t xml:space="preserve">Every number this workbook is allowed to start from. Nothing else on any sheet is typed.</t>
  </si>
  <si>
    <t xml:space="preserve">The block from row 56 down is COMPUTED from the block above it. It is black because it is formula, and it is here rather than scattered across the body sheets so that every sheet draws its rates from one place.</t>
  </si>
  <si>
    <t xml:space="preserve">The four families, as the factory knows them</t>
  </si>
  <si>
    <t xml:space="preserve">Standard bushings</t>
  </si>
  <si>
    <t xml:space="preserve">Hydraulic fittings</t>
  </si>
  <si>
    <t xml:space="preserve">Valve bodies</t>
  </si>
  <si>
    <t xml:space="preserve">Aerospace brackets</t>
  </si>
  <si>
    <t xml:space="preserve">Total</t>
  </si>
  <si>
    <t xml:space="preserve">Annual volume, units</t>
  </si>
  <si>
    <t xml:space="preserve">High volume and simple at one end, low volume and complex at the other. The whole finding lives in that spread.</t>
  </si>
  <si>
    <t xml:space="preserve">Price a unit</t>
  </si>
  <si>
    <t xml:space="preserve">Direct material a unit</t>
  </si>
  <si>
    <t xml:space="preserve">Direct labor hours a unit</t>
  </si>
  <si>
    <t xml:space="preserve">The base the factory absorbs its whole overhead on today</t>
  </si>
  <si>
    <t xml:space="preserve">Machine hours a unit</t>
  </si>
  <si>
    <t xml:space="preserve">Setups a year</t>
  </si>
  <si>
    <t xml:space="preserve">Units a setup: 5,968 on the bushings against 11.5 on the brackets. That single contrast is what the labor-hour base cannot see.</t>
  </si>
  <si>
    <t xml:space="preserve">Production orders a year</t>
  </si>
  <si>
    <t xml:space="preserve">Engineering changes a year</t>
  </si>
  <si>
    <t xml:space="preserve">Inspection events a year</t>
  </si>
  <si>
    <t xml:space="preserve">Outside supplier's quote a unit</t>
  </si>
  <si>
    <t xml:space="preserve">not quoted</t>
  </si>
  <si>
    <t xml:space="preserve">Three families have been quoted. The hydraulic fitting has not.</t>
  </si>
  <si>
    <t xml:space="preserve">The overhead pool, and what actually drives it</t>
  </si>
  <si>
    <t xml:space="preserve">Cost for the year</t>
  </si>
  <si>
    <t xml:space="preserve">What drives it</t>
  </si>
  <si>
    <t xml:space="preserve">Share that LEAVES if the family leaves</t>
  </si>
  <si>
    <t xml:space="preserve">Setup and changeover</t>
  </si>
  <si>
    <t xml:space="preserve">setups</t>
  </si>
  <si>
    <t xml:space="preserve">Stop making a family and its changeovers stop almost entirely</t>
  </si>
  <si>
    <t xml:space="preserve">Order handling and scheduling</t>
  </si>
  <si>
    <t xml:space="preserve">production orders</t>
  </si>
  <si>
    <t xml:space="preserve">Most of the planning goes; the planning system and its manager do not</t>
  </si>
  <si>
    <t xml:space="preserve">Machine running</t>
  </si>
  <si>
    <t xml:space="preserve">machine hours</t>
  </si>
  <si>
    <t xml:space="preserve">Power and consumables go. Depreciation and the building stay.</t>
  </si>
  <si>
    <t xml:space="preserve">Engineering and change notes</t>
  </si>
  <si>
    <t xml:space="preserve">engineering changes</t>
  </si>
  <si>
    <t xml:space="preserve">The engineers stay. This is the pool a flat avoidable share gets most wrong.</t>
  </si>
  <si>
    <t xml:space="preserve">Quality and inspection</t>
  </si>
  <si>
    <t xml:space="preserve">inspection events</t>
  </si>
  <si>
    <t xml:space="preserve">Inspectors go with the volume; the quality system and its accreditation do not</t>
  </si>
  <si>
    <t xml:space="preserve">TOTAL OVERHEAD POOL</t>
  </si>
  <si>
    <t xml:space="preserve">NOT ONE OF THOSE FIVE DRIVERS IS A DIRECT LABOR HOUR. The five avoidable shares are yellow because they are judgments and because they decide the make-or-buy answers outright. A single flat share across all five pools is indefensible: the four families have very different pool mixes.</t>
  </si>
  <si>
    <t xml:space="preserve">The factory and the accounts</t>
  </si>
  <si>
    <t xml:space="preserve">Direct labor rate an hour, fully loaded</t>
  </si>
  <si>
    <t xml:space="preserve">The line most often negotiated, and the one that moves the cross-subsidy least. Workbook 4 proves the span is exactly nought.</t>
  </si>
  <si>
    <t xml:space="preserve">Selling, general and administrative, the year</t>
  </si>
  <si>
    <t xml:space="preserve">A period cost. The cost-to-serve rates below are carved OUT of this, not added to it.</t>
  </si>
  <si>
    <t xml:space="preserve">Target gross margin the board underwrites on a part</t>
  </si>
  <si>
    <t xml:space="preserve">Every quotation and every target price on these sheets is the cost grossed up to this margin</t>
  </si>
  <si>
    <t xml:space="preserve">Gap above a driver-costing competitor at which a family is lost</t>
  </si>
  <si>
    <t xml:space="preserve">Used only on The Spiral. Quote more than two per cent above a rival who costs properly and the business goes.</t>
  </si>
  <si>
    <t xml:space="preserve">Cost to serve: rates carved OUT of the SG&amp;A already reported</t>
  </si>
  <si>
    <t xml:space="preserve">Cost of taking and handling one customer order</t>
  </si>
  <si>
    <t xml:space="preserve">Different people from the 371.48 a PRODUCTION order inside the factory pool. Nothing is counted twice.</t>
  </si>
  <si>
    <t xml:space="preserve">Cost of one order line</t>
  </si>
  <si>
    <t xml:space="preserve">Cost of one delivery</t>
  </si>
  <si>
    <t xml:space="preserve">Cost of one expedite</t>
  </si>
  <si>
    <t xml:space="preserve">An expedite is a whole schedule re-cut, and it is the line that separates the two customers</t>
  </si>
  <si>
    <t xml:space="preserve">Cost of one returned unit</t>
  </si>
  <si>
    <t xml:space="preserve">Cost of funds on the receivable, a year</t>
  </si>
  <si>
    <t xml:space="preserve">Actual/360, on the net revenue outstanding</t>
  </si>
  <si>
    <t xml:space="preserve">Days in a year for money, actual/360</t>
  </si>
  <si>
    <t xml:space="preserve">The two customers of the hydraulic fitting family</t>
  </si>
  <si>
    <t xml:space="preserve">Distributor A</t>
  </si>
  <si>
    <t xml:space="preserve">OEM B</t>
  </si>
  <si>
    <t xml:space="preserve">Units of Hydraulic fittings a year</t>
  </si>
  <si>
    <t xml:space="preserve">The same part and the same quantity. Only the behaviour differs.</t>
  </si>
  <si>
    <t xml:space="preserve">Orders a year</t>
  </si>
  <si>
    <t xml:space="preserve">Order lines</t>
  </si>
  <si>
    <t xml:space="preserve">Deliveries</t>
  </si>
  <si>
    <t xml:space="preserve">Expedites</t>
  </si>
  <si>
    <t xml:space="preserve">Returns rate</t>
  </si>
  <si>
    <t xml:space="preserve">Discount off list</t>
  </si>
  <si>
    <t xml:space="preserve">The larger discount goes to the customer that is cheaper to serve</t>
  </si>
  <si>
    <t xml:space="preserve">Payment days</t>
  </si>
  <si>
    <t xml:space="preserve">The judgment that is not a measurement</t>
  </si>
  <si>
    <t xml:space="preserve">Price elasticity of volume</t>
  </si>
  <si>
    <t xml:space="preserve">A ten per cent price rise loses 13.5 per cent of the units. This is an assumption and it is the one a reader should replace first with their own measurement.</t>
  </si>
  <si>
    <t xml:space="preserve">Totals, computed from the block above. Nothing here is typed.</t>
  </si>
  <si>
    <t xml:space="preserve">Revenue</t>
  </si>
  <si>
    <t xml:space="preserve">Direct labor hours</t>
  </si>
  <si>
    <t xml:space="preserve">Machine hours</t>
  </si>
  <si>
    <t xml:space="preserve">Setups</t>
  </si>
  <si>
    <t xml:space="preserve">Production orders</t>
  </si>
  <si>
    <t xml:space="preserve">Engineering changes</t>
  </si>
  <si>
    <t xml:space="preserve">Inspection events</t>
  </si>
  <si>
    <t xml:space="preserve">Direct material cost</t>
  </si>
  <si>
    <t xml:space="preserve">Direct labor cost</t>
  </si>
  <si>
    <t xml:space="preserve">The rates, computed. The pool is unchanged in total: only its distribution moves.</t>
  </si>
  <si>
    <t xml:space="preserve">Setup and changeover, a setup</t>
  </si>
  <si>
    <t xml:space="preserve">Order handling and scheduling, a production order</t>
  </si>
  <si>
    <t xml:space="preserve">Machine running, a machine hour</t>
  </si>
  <si>
    <t xml:space="preserve">Engineering and change notes, an engineering change</t>
  </si>
  <si>
    <t xml:space="preserve">Quality and inspection, an inspection event</t>
  </si>
  <si>
    <t xml:space="preserve">ABSORPTION RATE, a direct labor hour</t>
  </si>
  <si>
    <t xml:space="preserve">The five driver rates re-distribute exactly the same 13,440,000 the absorption rate distributes. Multiply each rate by its total driver count and the five products sum to the pool.</t>
  </si>
  <si>
    <t xml:space="preserve">Unit costs, computed three ways</t>
  </si>
  <si>
    <t xml:space="preserve">Overhead absorbed a unit, on labor hours</t>
  </si>
  <si>
    <t xml:space="preserve">ABSORBED UNIT COST</t>
  </si>
  <si>
    <t xml:space="preserve">Setup overhead, the family</t>
  </si>
  <si>
    <t xml:space="preserve">Order overhead, the family</t>
  </si>
  <si>
    <t xml:space="preserve">Machine overhead, the family</t>
  </si>
  <si>
    <t xml:space="preserve">Engineering overhead, the family</t>
  </si>
  <si>
    <t xml:space="preserve">Quality overhead, the family</t>
  </si>
  <si>
    <t xml:space="preserve">Driver overhead, the family</t>
  </si>
  <si>
    <t xml:space="preserve">Driver overhead a unit</t>
  </si>
  <si>
    <t xml:space="preserve">DRIVER UNIT COST</t>
  </si>
  <si>
    <t xml:space="preserve">Avoidable overhead, the family</t>
  </si>
  <si>
    <t xml:space="preserve">Avoidable overhead a unit</t>
  </si>
  <si>
    <t xml:space="preserve">AVOIDABLE UNIT COST</t>
  </si>
  <si>
    <t xml:space="preserve">Avoidable share of the family's own overhead</t>
  </si>
  <si>
    <t xml:space="preserve">Overhead that STAYS BEHIND if the family goes</t>
  </si>
  <si>
    <t xml:space="preserve">Row 87 across the four families sums to 13,440,000 and so does row 80 times volume. The methods distribute the same money. Row 90 is not a sixth method: it is what would actually stop being spent, and row 94 is what would not.</t>
  </si>
  <si>
    <t xml:space="preserve">The batch, the setup and the order quantity</t>
  </si>
  <si>
    <t xml:space="preserve">What one order costs before a single unit is made, and the quantity at which that charge stops eating the margin.</t>
  </si>
  <si>
    <t xml:space="preserve">Two break-evens, and they answer different questions</t>
  </si>
  <si>
    <t xml:space="preserve">FULL DRIVER COST answers the ANNUAL question: over a year, does this family's order pattern carry the whole cost of the setup and scheduling capacity it occupies? That is the question a price list and a product portfolio have to answer.</t>
  </si>
  <si>
    <t xml:space="preserve">AVOIDABLE COST answers the CASH question: next week, with the changeover crew already on the payroll, does one more order of this family bring in more cash than it consumes? That is the question one decision in front of you answers.</t>
  </si>
  <si>
    <t xml:space="preserve">Both are true at once. Refuse an order on the full-cost test while the machine stands idle and you have destroyed money, not saved it. Price a year of work on the avoidable test and you have given the building away.</t>
  </si>
  <si>
    <t xml:space="preserve">Family</t>
  </si>
  <si>
    <t xml:space="preserve">Setups an order</t>
  </si>
  <si>
    <t xml:space="preserve">Cost of one order, FULL rates</t>
  </si>
  <si>
    <t xml:space="preserve">Cost of one order, AVOIDABLE rates</t>
  </si>
  <si>
    <t xml:space="preserve">Average order quantity</t>
  </si>
  <si>
    <t xml:space="preserve">Unit cost excluding the batch charge, full</t>
  </si>
  <si>
    <t xml:space="preserve">Contribution a unit, full</t>
  </si>
  <si>
    <t xml:space="preserve">Unit cost excluding the batch charge, avoidable</t>
  </si>
  <si>
    <t xml:space="preserve">Contribution a unit, avoidable</t>
  </si>
  <si>
    <t xml:space="preserve">BREAK-EVEN QUANTITY, full cost</t>
  </si>
  <si>
    <t xml:space="preserve">BREAK-EVEN QUANTITY, avoidable</t>
  </si>
  <si>
    <t xml:space="preserve">Margin on the average order, full cost</t>
  </si>
  <si>
    <t xml:space="preserve">The ANNUAL question</t>
  </si>
  <si>
    <t xml:space="preserve">The CASH question</t>
  </si>
  <si>
    <t xml:space="preserve">Aerospace brackets is ordered in quantities of 8.9 against a full-cost break-even of 34.9, so the family's order pattern does not carry the cost of starting it over a year. On avoidable cost the break-even is 6.1, which the average order does clear, so each individual order still generates cash. Both statements are true and they answer different questions. The annual answer is to order in larger quantities or to reprice; the cash answer is to run the order that is in front of you.</t>
  </si>
  <si>
    <t xml:space="preserve">Aerospace brackets: unit cost against order quantity</t>
  </si>
  <si>
    <t xml:space="preserve">One order's batch charge spread over the order. Nothing else about the part changes: the material, the labor and the machine, engineering and quality overhead a unit are all held.</t>
  </si>
  <si>
    <t xml:space="preserve">Cost excluding the batch charge</t>
  </si>
  <si>
    <t xml:space="preserve">Contribution a unit above that</t>
  </si>
  <si>
    <t xml:space="preserve">Cost of starting one order, full rates</t>
  </si>
  <si>
    <t xml:space="preserve">Cost of starting one order, avoidable rates</t>
  </si>
  <si>
    <t xml:space="preserve">Order quantity</t>
  </si>
  <si>
    <t xml:space="preserve">Unit cost</t>
  </si>
  <si>
    <t xml:space="preserve">Unit margin</t>
  </si>
  <si>
    <t xml:space="preserve">Margin %</t>
  </si>
  <si>
    <t xml:space="preserve">Margin on the order</t>
  </si>
  <si>
    <t xml:space="preserve">Unit cost, avoidable rates</t>
  </si>
  <si>
    <t xml:space="preserve">Margin on the order, avoidable</t>
  </si>
  <si>
    <t xml:space="preserve">The curve is a hyperbola and it flattens fast. Going from 25 to 100 units an order is worth 32.07 a unit; going from 1,000 to 2,500 is worth 0.65. The money is made in the first hundred, which is why an order-quantity policy beats a price rise on a part like this.</t>
  </si>
  <si>
    <t xml:space="preserve">The average bracket order, in money (revised)</t>
  </si>
  <si>
    <t xml:space="preserve">Average order quantity, unrounded</t>
  </si>
  <si>
    <t xml:space="preserve">Contribution on the average order above the batch-free cost, full</t>
  </si>
  <si>
    <t xml:space="preserve">Short of the full cost of starting it</t>
  </si>
  <si>
    <t xml:space="preserve">Contribution on the average order, avoidable</t>
  </si>
  <si>
    <t xml:space="preserve">Left after the avoidable cost of starting it</t>
  </si>
  <si>
    <t xml:space="preserve">Revised 24 September 2026. The average bracket order is 19,500 over 2,180, which is 8.945 units, not 8.9. The book multiplied by the rounded figure and printed 272.52, 796.67, 1,294.86 and 406.89. On the unrounded order the full-cost shortfall is 795.26 an order and the cash left on the table is 413.47.</t>
  </si>
  <si>
    <t xml:space="preserve">Make or buy, decided on the wrong number</t>
  </si>
  <si>
    <t xml:space="preserve">An outside supplier quotes. The company compares the quote against a cost that contains overhead which does not leave when the part leaves.</t>
  </si>
  <si>
    <t xml:space="preserve">Three quotes, against three costs</t>
  </si>
  <si>
    <t xml:space="preserve">ABSORBED COST is what the reports show. It contains a share of the whole pool, distributed on labor hours, and most of that share stays in the building whatever happens to the part.</t>
  </si>
  <si>
    <t xml:space="preserve">AVOIDABLE COST is what actually stops being spent, pool by pool, at the five shares on Inputs. It is the CASH answer and it is the right test for one sourcing decision taken now.</t>
  </si>
  <si>
    <t xml:space="preserve">TRUE DRIVER COST is the whole cost of the capacity the family occupies. It is the ANNUAL answer and it is the right test for whether the family belongs in the plan at all.</t>
  </si>
  <si>
    <t xml:space="preserve">Outside quote</t>
  </si>
  <si>
    <t xml:space="preserve">Absorbed cost</t>
  </si>
  <si>
    <t xml:space="preserve">Absorbed says</t>
  </si>
  <si>
    <t xml:space="preserve">Avoidable cost</t>
  </si>
  <si>
    <t xml:space="preserve">Avoidable says</t>
  </si>
  <si>
    <t xml:space="preserve">True driver cost</t>
  </si>
  <si>
    <t xml:space="preserve">Driver cost says</t>
  </si>
  <si>
    <t xml:space="preserve">Avoidable share of its own overhead</t>
  </si>
  <si>
    <t xml:space="preserve">EFFECT OF BUYING, a year</t>
  </si>
  <si>
    <t xml:space="preserve">Overhead that STAYS BEHIND, a year</t>
  </si>
  <si>
    <t xml:space="preserve">Do the methods disagree</t>
  </si>
  <si>
    <t xml:space="preserve">A positive effect is a gain from buying; a negative one is the cost of buying.</t>
  </si>
  <si>
    <t xml:space="preserve">THE ABSORBED NUMBER IS WRONG ON ALL THREE AND RIGHT BY ACCIDENT ON TWO. It says buy every time because every quote came in under it, not because it is the largest cost: it is the largest of the three only on the bushings. On the valve bodies the driver cost is higher, and on the brackets the absorbed cost is the lowest of the three, 287.69 against 301.78 avoidable and 436.91 on the drivers. On the bushings that is a 2,857,439 mistake a year. On the other two it reaches the answer the avoidable cost also reaches, for a reason that has nothing to do with the case: a number that always says buy will be right whenever buying happens to be right.</t>
  </si>
  <si>
    <t xml:space="preserve">Read the two right-hand tests together. On the bushings the avoidable cost says MAKE and the driver cost says MAKE, and they agree. On the valve bodies the avoidable cost says buy by sixteen cents a unit while the driver cost says buy by thirteen dollars: the cash case is marginal and the annual case is not. Where the two disagree, the horizon decides.</t>
  </si>
  <si>
    <t xml:space="preserve">What happens to whoever is left</t>
  </si>
  <si>
    <t xml:space="preserve">Take all three quotes. ONLY THE AVOIDABLE OVERHEAD LEAVES WITH THE THREE FAMILIES. The rest -- the building, the engineers, the quality system, the planning system -- stays, and is now absorbed over the labor hours of the one family still being made.</t>
  </si>
  <si>
    <t xml:space="preserve">Overhead pool today</t>
  </si>
  <si>
    <t xml:space="preserve">Avoidable overhead that leaves with the three families</t>
  </si>
  <si>
    <t xml:space="preserve">SURVIVING POOL</t>
  </si>
  <si>
    <t xml:space="preserve">Direct labor hours that remain</t>
  </si>
  <si>
    <t xml:space="preserve">SURVIVING ABSORPTION RATE, a direct labor hour</t>
  </si>
  <si>
    <t xml:space="preserve">Absorption rate today</t>
  </si>
  <si>
    <t xml:space="preserve">The multiple</t>
  </si>
  <si>
    <t xml:space="preserve">The last family in the factory</t>
  </si>
  <si>
    <t xml:space="preserve">Price</t>
  </si>
  <si>
    <t xml:space="preserve">Margin % today, on the driver cost</t>
  </si>
  <si>
    <t xml:space="preserve">Margin % today, as the reports show it</t>
  </si>
  <si>
    <t xml:space="preserve">THREE SOURCING DECISIONS THAT EACH LOOKED SOUND ON THE ABSORBED NUMBER LEAVE THE LAST FAMILY IN THE FACTORY AT A MARGIN IT CANNOT LIVE ON. The hydraulic fitting was the second most profitable part in the building on the driver cost. It did not change. Everything around it did.</t>
  </si>
  <si>
    <t xml:space="preserve">Note what has and has not happened to the pool. Nothing here re-labels overhead or moves it between methods: 5,809,744 of it genuinely stopped being spent because three families genuinely stopped being made, and 7,630,256 of it did not stop being spent and now has one family to sit on.</t>
  </si>
  <si>
    <t xml:space="preserve">Cost to serve: the same part, two customers</t>
  </si>
  <si>
    <t xml:space="preserve">46,000 units of the same hydraulic fitting, made on the same machines, at the same factory cost. Everything that differs happens after the part is finished.</t>
  </si>
  <si>
    <t xml:space="preserve">How the two customers behave</t>
  </si>
  <si>
    <t xml:space="preserve">OEM B against A</t>
  </si>
  <si>
    <t xml:space="preserve">Units of Hydraulic fittings</t>
  </si>
  <si>
    <t xml:space="preserve">The account, line by line</t>
  </si>
  <si>
    <t xml:space="preserve">Gross revenue at list</t>
  </si>
  <si>
    <t xml:space="preserve">NET REVENUE</t>
  </si>
  <si>
    <t xml:space="preserve">Factory cost, on the DRIVER cost</t>
  </si>
  <si>
    <t xml:space="preserve">The same 13.95 a unit on both. Nothing in the factory knows which customer the part is for.</t>
  </si>
  <si>
    <t xml:space="preserve">Margin before cost to serve</t>
  </si>
  <si>
    <t xml:space="preserve">On this line the OEM looks like the better customer, and every reporting pack in the building stops here</t>
  </si>
  <si>
    <t xml:space="preserve">Order handling</t>
  </si>
  <si>
    <t xml:space="preserve">Eighty-four schedule re-cuts against two. This single line is a third of the difference between the two customers.</t>
  </si>
  <si>
    <t xml:space="preserve">Returns</t>
  </si>
  <si>
    <t xml:space="preserve">Carrying the receivable</t>
  </si>
  <si>
    <t xml:space="preserve">Net revenue at the cost of funds for the days it is outstanding, actual/360</t>
  </si>
  <si>
    <t xml:space="preserve">COST TO SERVE</t>
  </si>
  <si>
    <t xml:space="preserve">Cost to serve a unit</t>
  </si>
  <si>
    <t xml:space="preserve">PROFIT</t>
  </si>
  <si>
    <t xml:space="preserve">MARGIN</t>
  </si>
  <si>
    <t xml:space="preserve">Profit a unit</t>
  </si>
  <si>
    <t xml:space="preserve">THE CUSTOMER TAKING THE LARGER DISCOUNT IS THE MORE PROFITABLE ONE. Distributor A gives away 14.0 per cent of list and earns 28.42 per cent. OEM B gives away 6.0 per cent and earns 14.66 per cent. The 86,480 of extra discount the distributor takes is worth less than the 201,798 of extra cost the OEM imposes.</t>
  </si>
  <si>
    <t xml:space="preserve">Nothing on this sheet says fire the OEM. It says price the OEM: a delivery charge, an expedite charge, an order minimum, or 201,798 of price. What the reporting pack said -- that the OEM was the better customer at 36.9 per cent against 31.0 -- was the opposite of the truth, and it was the only number anyone saw.</t>
  </si>
  <si>
    <t xml:space="preserve">The carve-out proof: these rates come OUT of the SG&amp;A already reported</t>
  </si>
  <si>
    <t xml:space="preserve">Every rate on Inputs rows 35 to 39 is a share of the 6,720,000 of selling, general and administrative cost the company already reports. None of it is factory overhead and none of it is counted twice: the 371.48 a PRODUCTION order inside the factory pool and the 128.00 a CUSTOMER order here are different people doing different work.</t>
  </si>
  <si>
    <t xml:space="preserve">The test: scale the two customers' order pattern to the whole hydraulic fitting family and see whether the rates consume more of SG&amp;A than the family could plausibly be responsible for.</t>
  </si>
  <si>
    <t xml:space="preserve">Units covered by the two profiles</t>
  </si>
  <si>
    <t xml:space="preserve">Volume of the whole family</t>
  </si>
  <si>
    <t xml:space="preserve">Scale</t>
  </si>
  <si>
    <t xml:space="preserve">Orders, scaled to the family</t>
  </si>
  <si>
    <t xml:space="preserve">Order lines, scaled</t>
  </si>
  <si>
    <t xml:space="preserve">Deliveries, scaled</t>
  </si>
  <si>
    <t xml:space="preserve">Expedites, scaled</t>
  </si>
  <si>
    <t xml:space="preserve">Returned units, scaled</t>
  </si>
  <si>
    <t xml:space="preserve">WHAT THE RATES CONSUME</t>
  </si>
  <si>
    <t xml:space="preserve">Selling, general and administrative the company reports</t>
  </si>
  <si>
    <t xml:space="preserve">Share of SG&amp;A</t>
  </si>
  <si>
    <t xml:space="preserve">Headroom left</t>
  </si>
  <si>
    <t xml:space="preserve">The family's share of revenue</t>
  </si>
  <si>
    <t xml:space="preserve">31.3 per cent of revenue consuming 22.6 per cent of SG&amp;A. The rates fit inside the pool with room to spare.</t>
  </si>
  <si>
    <t xml:space="preserve">THAT IS A CEILING TEST, NOT A MEASUREMENT. A company-wide carve-out cannot be built from two customer profiles, and this book does not pretend otherwise. What the test establishes is the negative: the rates are not inventing cost, because scaled to a family that is 31.3 per cent of revenue they consume 22.6 per cent of the pool.</t>
  </si>
  <si>
    <t xml:space="preserve">The same full-versus-avoidable question applies here. 1,517,037 is the FULL cost-to-serve charge and it answers the annual question about the family's customers. Drop one customer next month and far less than their share of it stops being spent: the delivery fleet, the order desk and the credit function are capacity, like the factory.</t>
  </si>
  <si>
    <t xml:space="preserve">The spiral, computed</t>
  </si>
  <si>
    <t xml:space="preserve">A part that is over-costed is quoted too dear. A competitor that costs properly takes it. The labor hours leave. The overhead does not.</t>
  </si>
  <si>
    <t xml:space="preserve">THE ASSUMPTION THAT DOES THE WORK, AND THE BOOK MUST SAY SO</t>
  </si>
  <si>
    <t xml:space="preserve">OVERHEAD IS HELD FIXED AS VOLUME LEAVES. So is SG&amp;A. The 13,440,000 and the 6,720,000 are the same in round four, with nothing being made, as they were in round nought.</t>
  </si>
  <si>
    <t xml:space="preserve">That is RIGHT FOR A QUARTER and WRONG FOR A DECADE. Over the horizon in which a quotation is lost, almost none of the pool is removable: the building is leased, the planners are employed, the quality accreditation is annual, the engineers are mid-project. Over ten years most of it is removable, and a factory losing a family a year would remove it.</t>
  </si>
  <si>
    <t xml:space="preserve">SO READ WHAT FOLLOWS AS A MODELLED CONSEQUENCE OF THAT ASSUMPTION AND NOT AS A PREDICTION. The table does not forecast that Calderbrook reaches minus 20,160,000. It shows what the mechanism does if nobody intervenes and nothing is taken out, which is the only way to see the mechanism at all. The intervention this book argues for is to cost the parts properly before round one, not to cut the pool after round three.</t>
  </si>
  <si>
    <t xml:space="preserve">One family a round, because a factory does not lose two product lines in the same quarter. A family is lost when Calderbrook must quote more than two per cent above a competitor costing on drivers. Both quote the cost grossed up to the board's 28.0 per cent target, so the target is not what separates them: the cost is.</t>
  </si>
  <si>
    <t xml:space="preserve">Round</t>
  </si>
  <si>
    <t xml:space="preserve">Families left</t>
  </si>
  <si>
    <t xml:space="preserve">Absorption rate</t>
  </si>
  <si>
    <t xml:space="preserve">Operating profit</t>
  </si>
  <si>
    <t xml:space="preserve">Lost this round</t>
  </si>
  <si>
    <t xml:space="preserve">none -- the factory is empty</t>
  </si>
  <si>
    <t xml:space="preserve">Read the rate column. 87.88, then 137.93, then 232.69, then 447.55. The same 13,440,000 over ever fewer hours. Nobody at Calderbrook decided to raise the overhead rate by five times: it rose on its own, as arithmetic, because the denominator was leaving and the numerator was not.</t>
  </si>
  <si>
    <t xml:space="preserve">THE ORDER IN WHICH THE FAMILIES ARE LOST IS THE FINDING. The factory loses the parts it makes money on FIRST and keeps the part that loses money LONGEST, because the allocation base over-costs the profitable ones and under-costs the unprofitable one. The last thing left in the building is the only thing that should never have been quoted at that price.</t>
  </si>
  <si>
    <t xml:space="preserve">Round 0: what each family must be quoted at</t>
  </si>
  <si>
    <t xml:space="preserve">Calderbrook quotes</t>
  </si>
  <si>
    <t xml:space="preserve">Competitor quotes</t>
  </si>
  <si>
    <t xml:space="preserve">Gap</t>
  </si>
  <si>
    <t xml:space="preserve">Round 1: what each family must be quoted at</t>
  </si>
  <si>
    <t xml:space="preserve">Round 2: what each family must be quoted at</t>
  </si>
  <si>
    <t xml:space="preserve">Round 3: what each family must be quoted at</t>
  </si>
  <si>
    <t xml:space="preserve">Round nought is the quotation book as it stands today. Calderbrook must quote the standard bushing at 9.07 while a rival costing on drivers quotes 6.77: thirty-four per cent dearer on the part that is in fact the most profitable thing in the building. The bushing goes, and 55,500 labor hours go with it.</t>
  </si>
  <si>
    <t xml:space="preserve">By round three the aerospace bracket -- the part that loses 88.91 a unit -- is the only thing left, and it must be quoted at 1,168.87 against a rival's 606.81. It goes too, and the factory is empty with 20,160,000 a year of cost and nothing to absorb it into.</t>
  </si>
  <si>
    <t xml:space="preserve">How wide the tolerance would have to be to change anything (revised)</t>
  </si>
  <si>
    <t xml:space="preserve">The gap on the family lost in each round: 34.0, 33.4, 37.9 and 92.6 per cent.</t>
  </si>
  <si>
    <t xml:space="preserve">Smallest gap at which a family is lost</t>
  </si>
  <si>
    <t xml:space="preserve">Tolerance tested</t>
  </si>
  <si>
    <t xml:space="preserve">Families lost at that tolerance (the sequence stops at the first round nothing crosses it)</t>
  </si>
  <si>
    <t xml:space="preserve">Revised 24 September 2026. The book says a 10 per cent tolerance lets the valve bodies survive round 1 and changes the timing of the middle rounds. It changes nothing: one family goes a round, the valve bodies were never the one lost in round 1, and every family that goes is at least 33.4 per cent out when it goes. Any tolerance below 33.4 per cent gives these four rounds; one of 34.0 per cent or more stops the spiral before it starts.</t>
  </si>
  <si>
    <t xml:space="preserve">What a price correction would have to be</t>
  </si>
  <si>
    <t xml:space="preserve">Every price grossed up from the DRIVER cost to the margin the board underwrites, and what that does to revenue.</t>
  </si>
  <si>
    <t xml:space="preserve">The price each family needs to reach the board's target on the driver cost</t>
  </si>
  <si>
    <t xml:space="preserve">Price now</t>
  </si>
  <si>
    <t xml:space="preserve">PRICE NEEDED</t>
  </si>
  <si>
    <t xml:space="preserve">Change</t>
  </si>
  <si>
    <t xml:space="preserve">Change %</t>
  </si>
  <si>
    <t xml:space="preserve">Volume</t>
  </si>
  <si>
    <t xml:space="preserve">Effect on revenue</t>
  </si>
  <si>
    <t xml:space="preserve">Margin now, the family</t>
  </si>
  <si>
    <t xml:space="preserve">NET EFFECT ON REVENUE IF EVERY PRICE MOVED TO ITS TARGET</t>
  </si>
  <si>
    <t xml:space="preserve">Minus 773,867 on 48,050,000. THE CORRECTION IS VERY NEARLY REVENUE-NEUTRAL AND COMPLETELY MARGIN-TRANSFORMING, because two prices come down by more than the other two go up in money while every one of them goes up in margin. That is what a cross-subsidy looks like when you unwind it.</t>
  </si>
  <si>
    <t xml:space="preserve">No company moves four prices 26 per cent down and 74 per cent up in one letter. The table is the destination, not the route. What it establishes is the SIZE and the DIRECTION of the error, and that the direction is the opposite of what the reports say on two of the four families.</t>
  </si>
  <si>
    <t xml:space="preserve">How much volume a price rise can afford to lose</t>
  </si>
  <si>
    <t xml:space="preserve">Raise the price by p and lose elasticity times p of the volume. THE SURVIVING UNITS ARE THEN RECOSTED, which is the whole point: lose units off the end of existing runs and the setups, the orders, the engineering changes and the inspections DO NOT GO WITH THEM. The same batch and product overhead is spread over fewer units, so the unit cost RISES as the volume falls. Only the machine pool, which is genuinely unit-level, falls with the units.</t>
  </si>
  <si>
    <t xml:space="preserve">A table that held unit cost constant while volume fell would contradict the whole argument of this book and would hand a reader a tolerance it does not have.</t>
  </si>
  <si>
    <t xml:space="preserve">SOLVED IN CLOSED FORM, so there is no circular reference and no iterative setting. Write k for the cost that genuinely falls with the units -- material, labor and machine overhead a unit -- and F for the fixed batch and product overhead of the family. Profit at rise p is V(1-ep)(P(1+p)-k) - F. Setting that equal to today's V(P-k) - F and cancelling gives p[(P - e(P-k)) - ePp] = 0, so the rise at which a further rise stops paying is p* = (P - e(P-k)) / (eP). The margin at p* equals the margin today, which column M proves.</t>
  </si>
  <si>
    <t xml:space="preserve">Cost that falls with the units, a unit (k)</t>
  </si>
  <si>
    <t xml:space="preserve">Contribution above k (P - k)</t>
  </si>
  <si>
    <t xml:space="preserve">LARGEST RISE THAT STILL PAYS</t>
  </si>
  <si>
    <t xml:space="preserve">Units kept</t>
  </si>
  <si>
    <t xml:space="preserve">Units lost %</t>
  </si>
  <si>
    <t xml:space="preserve">Unit cost now</t>
  </si>
  <si>
    <t xml:space="preserve">UNIT COST AT THE SURVIVING VOLUME</t>
  </si>
  <si>
    <t xml:space="preserve">Price at that rise</t>
  </si>
  <si>
    <t xml:space="preserve">Margin at that rise</t>
  </si>
  <si>
    <t xml:space="preserve">Column M equals column C on every row that has an answer. That is the test, not a tautology: the two sides are built from different formulas. The rise is the point at which the family is exactly as well off as it is today, having sold a third fewer units at a quarter more money.</t>
  </si>
  <si>
    <t xml:space="preserve">LOOK AT COLUMNS J AND K. The standard bushing costs 4.87 today and 5.02 at the surviving volume; the valve body costs 64.22 today and 77.95, a rise of 21 per cent, because it loses 39 per cent of its units and keeps every one of its 1,180 setups, 1,640 orders, 214 engineering changes and 4,920 inspections. THE SURVIVING UNITS GET DEARER. Any tolerance computed without that recosting is too generous, and on the valve body it is too generous by a wide margin.</t>
  </si>
  <si>
    <t xml:space="preserve">Aerospace brackets loses money at today's price, so the table above marks it and the same question is asked of it separately, in the block below row 34.</t>
  </si>
  <si>
    <t xml:space="preserve">Price at which the loss stops</t>
  </si>
  <si>
    <t xml:space="preserve">Rise required to get there</t>
  </si>
  <si>
    <t xml:space="preserve">Price needed for the board's target margin</t>
  </si>
  <si>
    <t xml:space="preserve">Rise required to get THERE</t>
  </si>
  <si>
    <t xml:space="preserve">Twenty-five and a half per cent to stop losing money, seventy-four to earn the target. On an aerospace part on a multi-year contract, neither is a letter you write. It is a conversation about order quantity, engineering change discipline and whether the part belongs in this factory, and the Batch and Make or Buy sheets are where it goes.</t>
  </si>
  <si>
    <t xml:space="preserve">Aerospace brackets, asked the same question (revised)</t>
  </si>
  <si>
    <t xml:space="preserve">Batch and program cost that stays when units leave</t>
  </si>
  <si>
    <t xml:space="preserve">LARGEST RISE THAT STILL PAYS: the loss no deeper than today</t>
  </si>
  <si>
    <t xml:space="preserve">Units kept at that rise</t>
  </si>
  <si>
    <t xml:space="preserve">The rise that does least harm (half the largest)</t>
  </si>
  <si>
    <t xml:space="preserve">Family result at that rise</t>
  </si>
  <si>
    <t xml:space="preserve">Family result at 436.91, once volume responds</t>
  </si>
  <si>
    <t xml:space="preserve">Units left at the target price</t>
  </si>
  <si>
    <t xml:space="preserve">Family result at the target price</t>
  </si>
  <si>
    <t xml:space="preserve">Elasticity at which the target price still pays</t>
  </si>
  <si>
    <t xml:space="preserve">Family result at the largest rise (equals today)</t>
  </si>
  <si>
    <t xml:space="preserve">Revised 24 September 2026. The book says the question cannot be asked of the brackets and that losing units on a loss-making part improves the result. On this sheet's own recosting a bracket lost off an existing run takes only 213.08 of material, labor and machine time with it and gives up 134.92 of contribution, so lost volume deepens the loss. The bracket can carry a rise of 35.3 per cent; the least harmful rise is 17.7 per cent and it trims the loss to 1,448,227. At 436.91 the loss is still 1,505,346, and at the target of 606.81 an elasticity of 1.35 takes every unit and leaves the 4,364,667 of batch and program cost uncovered.</t>
  </si>
  <si>
    <t xml:space="preserve">Checks</t>
  </si>
  <si>
    <t xml:space="preserve">Every figure the book prints within this workbook's scope, beside the figure this workbook computes.</t>
  </si>
  <si>
    <t xml:space="preserve">The book figure is typed. The workbook figure is a live link, rounded to the precision the book prints.</t>
  </si>
  <si>
    <t xml:space="preserve">A FAIL means the workbook is wrong, not the book.</t>
  </si>
  <si>
    <t xml:space="preserve">The factory, as Inputs computes it</t>
  </si>
  <si>
    <t xml:space="preserve">Direct material</t>
  </si>
  <si>
    <t xml:space="preserve">Direct labor</t>
  </si>
  <si>
    <t xml:space="preserve">Total factory overhead pool</t>
  </si>
  <si>
    <t xml:space="preserve">Total direct labor hours</t>
  </si>
  <si>
    <t xml:space="preserve">Total machine hours</t>
  </si>
  <si>
    <t xml:space="preserve">Total setups</t>
  </si>
  <si>
    <t xml:space="preserve">Total production orders</t>
  </si>
  <si>
    <t xml:space="preserve">Total engineering changes</t>
  </si>
  <si>
    <t xml:space="preserve">Total inspection events</t>
  </si>
  <si>
    <t xml:space="preserve">Absorption rate, a direct labor hour</t>
  </si>
  <si>
    <t xml:space="preserve">The five driver rates</t>
  </si>
  <si>
    <t xml:space="preserve">Order handling, a production order</t>
  </si>
  <si>
    <t xml:space="preserve">Engineering, an engineering change</t>
  </si>
  <si>
    <t xml:space="preserve">Quality, an inspection event</t>
  </si>
  <si>
    <t xml:space="preserve">IDENTITY: the five rates redistribute the whole pool</t>
  </si>
  <si>
    <t xml:space="preserve">IDENTITY: driver overhead across the four families</t>
  </si>
  <si>
    <t xml:space="preserve">Unit costs, absorbed</t>
  </si>
  <si>
    <t xml:space="preserve">Unit costs, on drivers</t>
  </si>
  <si>
    <t xml:space="preserve">Avoidable share of each family's own overhead</t>
  </si>
  <si>
    <t xml:space="preserve">The batch: setups an order</t>
  </si>
  <si>
    <t xml:space="preserve">The batch: cost of one order, full rates</t>
  </si>
  <si>
    <t xml:space="preserve">The batch: cost of one order, avoidable rates</t>
  </si>
  <si>
    <t xml:space="preserve">The batch: average order quantity</t>
  </si>
  <si>
    <t xml:space="preserve">The batch: contribution a unit, full</t>
  </si>
  <si>
    <t xml:space="preserve">The batch: contribution a unit, avoidable</t>
  </si>
  <si>
    <t xml:space="preserve">The batch: BREAK-EVEN ORDER QUANTITY, full cost -- the annual question</t>
  </si>
  <si>
    <t xml:space="preserve">The batch: BREAK-EVEN ORDER QUANTITY, avoidable -- the cash question</t>
  </si>
  <si>
    <t xml:space="preserve">Cost of starting one order</t>
  </si>
  <si>
    <t xml:space="preserve">Unit cost at 25</t>
  </si>
  <si>
    <t xml:space="preserve">Unit cost at 50</t>
  </si>
  <si>
    <t xml:space="preserve">Unit cost at 100</t>
  </si>
  <si>
    <t xml:space="preserve">Unit cost at 250</t>
  </si>
  <si>
    <t xml:space="preserve">Unit cost at 500</t>
  </si>
  <si>
    <t xml:space="preserve">Unit cost at 1000</t>
  </si>
  <si>
    <t xml:space="preserve">Unit cost at 2500</t>
  </si>
  <si>
    <t xml:space="preserve">Unit margin at 25</t>
  </si>
  <si>
    <t xml:space="preserve">Unit margin at 50</t>
  </si>
  <si>
    <t xml:space="preserve">Unit margin at 100</t>
  </si>
  <si>
    <t xml:space="preserve">Unit margin at 250</t>
  </si>
  <si>
    <t xml:space="preserve">Unit margin at 500</t>
  </si>
  <si>
    <t xml:space="preserve">Unit margin at 1000</t>
  </si>
  <si>
    <t xml:space="preserve">Unit margin at 2500</t>
  </si>
  <si>
    <t xml:space="preserve">Margin per cent at 25</t>
  </si>
  <si>
    <t xml:space="preserve">Margin per cent at 50</t>
  </si>
  <si>
    <t xml:space="preserve">Margin per cent at 100</t>
  </si>
  <si>
    <t xml:space="preserve">Margin per cent at 250</t>
  </si>
  <si>
    <t xml:space="preserve">Margin per cent at 500</t>
  </si>
  <si>
    <t xml:space="preserve">Margin per cent at 1000</t>
  </si>
  <si>
    <t xml:space="preserve">Margin per cent at 2500</t>
  </si>
  <si>
    <t xml:space="preserve">Margin on the order at 25</t>
  </si>
  <si>
    <t xml:space="preserve">Margin on the order at 50</t>
  </si>
  <si>
    <t xml:space="preserve">Margin on the order at 100</t>
  </si>
  <si>
    <t xml:space="preserve">Margin on the order at 250</t>
  </si>
  <si>
    <t xml:space="preserve">Margin on the order at 500</t>
  </si>
  <si>
    <t xml:space="preserve">Margin on the order at 1000</t>
  </si>
  <si>
    <t xml:space="preserve">Margin on the order at 2500</t>
  </si>
  <si>
    <t xml:space="preserve">Make or buy: the quotes</t>
  </si>
  <si>
    <t xml:space="preserve">Make or buy: absorbed cost, and what it says</t>
  </si>
  <si>
    <t xml:space="preserve">Make or buy: avoidable cost, and what it says</t>
  </si>
  <si>
    <t xml:space="preserve">Make or buy: true driver cost</t>
  </si>
  <si>
    <t xml:space="preserve">Make or buy: effect of buying, a year</t>
  </si>
  <si>
    <t xml:space="preserve">Make or buy: overhead that stays behind, a year</t>
  </si>
  <si>
    <t xml:space="preserve">Make or buy: what happens to whoever is left</t>
  </si>
  <si>
    <t xml:space="preserve">Surviving pool</t>
  </si>
  <si>
    <t xml:space="preserve">Surviving absorption rate</t>
  </si>
  <si>
    <t xml:space="preserve">Hydraulic fittings unit cost for the survivor</t>
  </si>
  <si>
    <t xml:space="preserve">Hydraulic fittings price</t>
  </si>
  <si>
    <t xml:space="preserve">Hydraulic fittings margin for the survivor</t>
  </si>
  <si>
    <t xml:space="preserve">Hydraulic fittings margin today, on the driver cost</t>
  </si>
  <si>
    <t xml:space="preserve">Cost to serve: Distributor A</t>
  </si>
  <si>
    <t xml:space="preserve">Net revenue</t>
  </si>
  <si>
    <t xml:space="preserve">Discount</t>
  </si>
  <si>
    <t xml:space="preserve">Factory cost</t>
  </si>
  <si>
    <t xml:space="preserve">Cost to serve: OEM B</t>
  </si>
  <si>
    <t xml:space="preserve">Difference in cost to serve</t>
  </si>
  <si>
    <t xml:space="preserve">Cost to serve: the carve-out proof</t>
  </si>
  <si>
    <t xml:space="preserve">What the rates consume, scaled to the family</t>
  </si>
  <si>
    <t xml:space="preserve">The spiral, round by round</t>
  </si>
  <si>
    <t xml:space="preserve">Round 0 revenue</t>
  </si>
  <si>
    <t xml:space="preserve">Round 1 revenue</t>
  </si>
  <si>
    <t xml:space="preserve">Round 2 revenue</t>
  </si>
  <si>
    <t xml:space="preserve">Round 3 revenue</t>
  </si>
  <si>
    <t xml:space="preserve">Round 4 revenue</t>
  </si>
  <si>
    <t xml:space="preserve">Round 0 direct labor hours</t>
  </si>
  <si>
    <t xml:space="preserve">Round 1 direct labor hours</t>
  </si>
  <si>
    <t xml:space="preserve">Round 2 direct labor hours</t>
  </si>
  <si>
    <t xml:space="preserve">Round 3 direct labor hours</t>
  </si>
  <si>
    <t xml:space="preserve">Round 4 direct labor hours</t>
  </si>
  <si>
    <t xml:space="preserve">Round 0 absorption rate</t>
  </si>
  <si>
    <t xml:space="preserve">Round 1 absorption rate</t>
  </si>
  <si>
    <t xml:space="preserve">Round 2 absorption rate</t>
  </si>
  <si>
    <t xml:space="preserve">Round 3 absorption rate</t>
  </si>
  <si>
    <t xml:space="preserve">Round 0 operating profit</t>
  </si>
  <si>
    <t xml:space="preserve">Round 1 operating profit</t>
  </si>
  <si>
    <t xml:space="preserve">Round 2 operating profit</t>
  </si>
  <si>
    <t xml:space="preserve">Round 3 operating profit</t>
  </si>
  <si>
    <t xml:space="preserve">Round 4 operating profit</t>
  </si>
  <si>
    <t xml:space="preserve">Round 0 quotations</t>
  </si>
  <si>
    <t xml:space="preserve">Standard bushings, absorbed cost</t>
  </si>
  <si>
    <t xml:space="preserve">Standard bushings, Calderbrook quotes</t>
  </si>
  <si>
    <t xml:space="preserve">Standard bushings, competitor quotes</t>
  </si>
  <si>
    <t xml:space="preserve">Standard bushings, gap</t>
  </si>
  <si>
    <t xml:space="preserve">Hydraulic fittings, absorbed cost</t>
  </si>
  <si>
    <t xml:space="preserve">Hydraulic fittings, Calderbrook quotes</t>
  </si>
  <si>
    <t xml:space="preserve">Hydraulic fittings, competitor quotes</t>
  </si>
  <si>
    <t xml:space="preserve">Hydraulic fittings, gap</t>
  </si>
  <si>
    <t xml:space="preserve">Valve bodies, absorbed cost</t>
  </si>
  <si>
    <t xml:space="preserve">Valve bodies, Calderbrook quotes</t>
  </si>
  <si>
    <t xml:space="preserve">Valve bodies, competitor quotes</t>
  </si>
  <si>
    <t xml:space="preserve">Valve bodies, gap</t>
  </si>
  <si>
    <t xml:space="preserve">Aerospace brackets, absorbed cost</t>
  </si>
  <si>
    <t xml:space="preserve">Aerospace brackets, Calderbrook quotes</t>
  </si>
  <si>
    <t xml:space="preserve">Aerospace brackets, competitor quotes</t>
  </si>
  <si>
    <t xml:space="preserve">Aerospace brackets, gap</t>
  </si>
  <si>
    <t xml:space="preserve">Round 1 quotations</t>
  </si>
  <si>
    <t xml:space="preserve">Round 2 quotations</t>
  </si>
  <si>
    <t xml:space="preserve">Round 3 quotations</t>
  </si>
  <si>
    <t xml:space="preserve">Price correction: the target prices</t>
  </si>
  <si>
    <t xml:space="preserve">Price correction: the change a unit</t>
  </si>
  <si>
    <t xml:space="preserve">Price correction: the change per cent</t>
  </si>
  <si>
    <t xml:space="preserve">Price correction: the effect on revenue</t>
  </si>
  <si>
    <t xml:space="preserve">NET EFFECT ON REVENUE</t>
  </si>
  <si>
    <t xml:space="preserve">Price correction: margin now, by family</t>
  </si>
  <si>
    <t xml:space="preserve">Price correction: the largest rise that still pays, with the survivors recosted</t>
  </si>
  <si>
    <t xml:space="preserve">Price correction: units kept</t>
  </si>
  <si>
    <t xml:space="preserve">Price correction: units lost per cent</t>
  </si>
  <si>
    <t xml:space="preserve">Price correction: unit cost at the surviving volume</t>
  </si>
  <si>
    <t xml:space="preserve">Price correction: the aerospace bracket, which loses money today</t>
  </si>
  <si>
    <t xml:space="preserve">Identities. Built from two independently computed sides.</t>
  </si>
  <si>
    <t xml:space="preserve">Margin at the largest rise equals the margin today: Standard bushings</t>
  </si>
  <si>
    <t xml:space="preserve">Margin at the largest rise equals the margin today: Hydraulic fittings</t>
  </si>
  <si>
    <t xml:space="preserve">Margin at the largest rise equals the margin today: Valve bodies</t>
  </si>
  <si>
    <t xml:space="preserve">Overhead absorbed on labor hours equals the pool</t>
  </si>
  <si>
    <t xml:space="preserve">Overhead on drivers equals the pool</t>
  </si>
  <si>
    <t xml:space="preserve">Avoidable plus stranded equals driver overhead</t>
  </si>
  <si>
    <t xml:space="preserve">Round 4 operating profit equals minus overhead minus SG&amp;A</t>
  </si>
  <si>
    <t xml:space="preserve">Added 24 September 2026: the figures the revised book prints</t>
  </si>
  <si>
    <t xml:space="preserve">Average bracket order: contribution above the batch-free cost, full</t>
  </si>
  <si>
    <t xml:space="preserve">Average bracket order: short of the full cost of starting it</t>
  </si>
  <si>
    <t xml:space="preserve">Average bracket order: contribution, avoidable</t>
  </si>
  <si>
    <t xml:space="preserve">Average bracket order: left after the avoidable cost of starting it</t>
  </si>
  <si>
    <t xml:space="preserve">Brackets: largest rise that still pays</t>
  </si>
  <si>
    <t xml:space="preserve">Brackets: the rise that does least harm</t>
  </si>
  <si>
    <t xml:space="preserve">Brackets: family result at that rise</t>
  </si>
  <si>
    <t xml:space="preserve">Brackets: family result at 436.91 once volume responds</t>
  </si>
  <si>
    <t xml:space="preserve">Brackets: units left at the target price</t>
  </si>
  <si>
    <t xml:space="preserve">Brackets: family result at the target price</t>
  </si>
  <si>
    <t xml:space="preserve">Brackets: elasticity at which the target price still pays</t>
  </si>
  <si>
    <t xml:space="preserve">Spiral: smallest gap at which a family is lost</t>
  </si>
  <si>
    <t xml:space="preserve">Spiral: families lost with a 10 per cent tolerance</t>
  </si>
  <si>
    <t xml:space="preserve">Brackets: result at the largest rise equals the result today</t>
  </si>
  <si>
    <t xml:space="preserve">Checks run</t>
  </si>
  <si>
    <t xml:space="preserve">PASS</t>
  </si>
  <si>
    <t xml:space="preserve">FAIL</t>
  </si>
</sst>
</file>

<file path=xl/styles.xml><?xml version="1.0" encoding="utf-8"?>
<styleSheet xmlns="http://schemas.openxmlformats.org/spreadsheetml/2006/main">
  <numFmts count="14">
    <numFmt numFmtId="164" formatCode="General"/>
    <numFmt numFmtId="165" formatCode="#,##0"/>
    <numFmt numFmtId="166" formatCode="#,##0.00"/>
    <numFmt numFmtId="167" formatCode="#,##0.000"/>
    <numFmt numFmtId="168" formatCode="0.0%"/>
    <numFmt numFmtId="169" formatCode="0.00%"/>
    <numFmt numFmtId="170" formatCode="#,##0.0000"/>
    <numFmt numFmtId="171" formatCode="#,##0.0"/>
    <numFmt numFmtId="172" formatCode="@"/>
    <numFmt numFmtId="173" formatCode="#,##0.0\x"/>
    <numFmt numFmtId="174" formatCode="0%"/>
    <numFmt numFmtId="175" formatCode="0"/>
    <numFmt numFmtId="176" formatCode="0.00"/>
    <numFmt numFmtId="177" formatCode="0.0000%"/>
  </numFmts>
  <fonts count="12">
    <font>
      <sz val="11"/>
      <color theme="1"/>
      <name val="Calibri"/>
      <family val="2"/>
      <charset val="1"/>
    </font>
    <font>
      <sz val="10"/>
      <name val="Arial"/>
      <family val="0"/>
    </font>
    <font>
      <sz val="10"/>
      <name val="Arial"/>
      <family val="0"/>
    </font>
    <font>
      <sz val="10"/>
      <name val="Arial"/>
      <family val="0"/>
    </font>
    <font>
      <b val="true"/>
      <sz val="14"/>
      <color rgb="FF14283A"/>
      <name val="Calibri"/>
      <family val="0"/>
      <charset val="1"/>
    </font>
    <font>
      <b val="true"/>
      <sz val="11"/>
      <color rgb="FF14283A"/>
      <name val="Calibri"/>
      <family val="0"/>
      <charset val="1"/>
    </font>
    <font>
      <sz val="10"/>
      <name val="Calibri"/>
      <family val="0"/>
      <charset val="1"/>
    </font>
    <font>
      <sz val="9"/>
      <color rgb="FF666666"/>
      <name val="Calibri"/>
      <family val="0"/>
      <charset val="1"/>
    </font>
    <font>
      <b val="true"/>
      <sz val="10"/>
      <name val="Calibri"/>
      <family val="0"/>
      <charset val="1"/>
    </font>
    <font>
      <sz val="10"/>
      <color rgb="FF0000CC"/>
      <name val="Calibri"/>
      <family val="0"/>
      <charset val="1"/>
    </font>
    <font>
      <b val="true"/>
      <sz val="10"/>
      <color rgb="FFA02020"/>
      <name val="Calibri"/>
      <family val="0"/>
      <charset val="1"/>
    </font>
    <font>
      <sz val="10"/>
      <color rgb="FF006600"/>
      <name val="Calibri"/>
      <family val="0"/>
      <charset val="1"/>
    </font>
  </fonts>
  <fills count="4">
    <fill>
      <patternFill patternType="none"/>
    </fill>
    <fill>
      <patternFill patternType="gray125"/>
    </fill>
    <fill>
      <patternFill patternType="solid">
        <fgColor rgb="FFFFF2CC"/>
        <bgColor rgb="FFEDF2F7"/>
      </patternFill>
    </fill>
    <fill>
      <patternFill patternType="solid">
        <fgColor rgb="FFEDF2F7"/>
        <bgColor rgb="FFFFF2CC"/>
      </patternFill>
    </fill>
  </fills>
  <borders count="3">
    <border diagonalUp="false" diagonalDown="false">
      <left/>
      <right/>
      <top/>
      <bottom/>
      <diagonal/>
    </border>
    <border diagonalUp="false" diagonalDown="false">
      <left/>
      <right/>
      <top/>
      <bottom style="thin">
        <color rgb="FFBBBBBB"/>
      </bottom>
      <diagonal/>
    </border>
    <border diagonalUp="false" diagonalDown="false">
      <left/>
      <right/>
      <top style="thin">
        <color rgb="FF333333"/>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bottom" textRotation="0" wrapText="tru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right"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8" fontId="9"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8" fillId="0" borderId="2" xfId="0" applyFont="true" applyBorder="tru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69" fontId="9" fillId="0" borderId="0" xfId="0" applyFont="true" applyBorder="false" applyAlignment="false" applyProtection="false">
      <alignment horizontal="general" vertical="bottom" textRotation="0" wrapText="false" indent="0" shrinkToFit="false"/>
      <protection locked="true" hidden="false"/>
    </xf>
    <xf numFmtId="166" fontId="9" fillId="2"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71" fontId="8" fillId="0" borderId="0" xfId="0" applyFont="true" applyBorder="false" applyAlignment="false" applyProtection="false">
      <alignment horizontal="general" vertical="bottom" textRotation="0" wrapText="false" indent="0" shrinkToFit="false"/>
      <protection locked="true" hidden="false"/>
    </xf>
    <xf numFmtId="172" fontId="6" fillId="0" borderId="0" xfId="0" applyFont="true" applyBorder="false" applyAlignment="false" applyProtection="false">
      <alignment horizontal="general" vertical="bottom" textRotation="0" wrapText="false" indent="0" shrinkToFit="false"/>
      <protection locked="true" hidden="false"/>
    </xf>
    <xf numFmtId="172" fontId="8" fillId="0"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5" fontId="8" fillId="3" borderId="0" xfId="0" applyFont="true" applyBorder="false" applyAlignment="false" applyProtection="false">
      <alignment horizontal="general" vertical="bottom" textRotation="0" wrapText="false" indent="0" shrinkToFit="false"/>
      <protection locked="true" hidden="false"/>
    </xf>
    <xf numFmtId="166" fontId="8" fillId="3" borderId="0" xfId="0" applyFont="tru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73" fontId="6"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5" fontId="8" fillId="3" borderId="2" xfId="0" applyFont="true" applyBorder="true" applyAlignment="false" applyProtection="false">
      <alignment horizontal="general" vertical="bottom" textRotation="0" wrapText="false" indent="0" shrinkToFit="false"/>
      <protection locked="true" hidden="false"/>
    </xf>
    <xf numFmtId="169" fontId="8" fillId="3" borderId="0" xfId="0" applyFont="true" applyBorder="false" applyAlignment="false" applyProtection="false">
      <alignment horizontal="general" vertical="bottom" textRotation="0" wrapText="false" indent="0" shrinkToFit="false"/>
      <protection locked="true" hidden="false"/>
    </xf>
    <xf numFmtId="168" fontId="8" fillId="3" borderId="0" xfId="0" applyFont="true" applyBorder="false" applyAlignment="false" applyProtection="false">
      <alignment horizontal="general" vertical="bottom" textRotation="0" wrapText="false" indent="0" shrinkToFit="false"/>
      <protection locked="true" hidden="false"/>
    </xf>
    <xf numFmtId="164" fontId="5"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5" fontId="9" fillId="0" borderId="2" xfId="0" applyFont="true" applyBorder="true" applyAlignment="false" applyProtection="false">
      <alignment horizontal="general" vertical="bottom" textRotation="0" wrapText="false" indent="0" shrinkToFit="false"/>
      <protection locked="true" hidden="false"/>
    </xf>
    <xf numFmtId="165" fontId="6" fillId="0" borderId="2" xfId="0" applyFont="true" applyBorder="true" applyAlignment="false" applyProtection="false">
      <alignment horizontal="general" vertical="bottom" textRotation="0" wrapText="false" indent="0" shrinkToFit="false"/>
      <protection locked="true" hidden="false"/>
    </xf>
    <xf numFmtId="166" fontId="6" fillId="0" borderId="2" xfId="0" applyFont="tru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74" fontId="9" fillId="0" borderId="0" xfId="0" applyFont="true" applyBorder="false" applyAlignment="false" applyProtection="false">
      <alignment horizontal="general" vertical="bottom" textRotation="0" wrapText="false" indent="0" shrinkToFit="false"/>
      <protection locked="true" hidden="false"/>
    </xf>
    <xf numFmtId="175" fontId="9" fillId="0" borderId="0" xfId="0" applyFont="true" applyBorder="false" applyAlignment="false" applyProtection="false">
      <alignment horizontal="general" vertical="bottom" textRotation="0" wrapText="false" indent="0" shrinkToFit="false"/>
      <protection locked="true" hidden="false"/>
    </xf>
    <xf numFmtId="176" fontId="8"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70" fontId="11"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77" fontId="6" fillId="0" borderId="0" xfId="0" applyFont="true" applyBorder="false" applyAlignment="false" applyProtection="false">
      <alignment horizontal="general" vertical="bottom" textRotation="0" wrapText="false" indent="0" shrinkToFit="false"/>
      <protection locked="true" hidden="false"/>
    </xf>
    <xf numFmtId="177" fontId="11" fillId="0"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71" fontId="11" fillId="0" borderId="0" xfId="0" applyFont="true" applyBorder="fals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76" fontId="6" fillId="0" borderId="0" xfId="0" applyFont="true" applyBorder="false" applyAlignment="false" applyProtection="false">
      <alignment horizontal="general" vertical="bottom" textRotation="0" wrapText="false" indent="0" shrinkToFit="false"/>
      <protection locked="true" hidden="false"/>
    </xf>
    <xf numFmtId="176" fontId="11" fillId="0" borderId="0" xfId="0" applyFont="true" applyBorder="false" applyAlignment="false" applyProtection="false">
      <alignment horizontal="general" vertical="bottom" textRotation="0" wrapText="false" indent="0" shrinkToFit="false"/>
      <protection locked="true" hidden="false"/>
    </xf>
    <xf numFmtId="175" fontId="6" fillId="0" borderId="0" xfId="0" applyFont="true" applyBorder="false" applyAlignment="false" applyProtection="false">
      <alignment horizontal="general" vertical="bottom" textRotation="0" wrapText="false" indent="0" shrinkToFit="false"/>
      <protection locked="true" hidden="false"/>
    </xf>
    <xf numFmtId="175"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DF2F7"/>
      <rgbColor rgb="FFFF0000"/>
      <rgbColor rgb="FF00FF00"/>
      <rgbColor rgb="FF0000CC"/>
      <rgbColor rgb="FFFFFF00"/>
      <rgbColor rgb="FFFF00FF"/>
      <rgbColor rgb="FF00FFFF"/>
      <rgbColor rgb="FF800000"/>
      <rgbColor rgb="FF006600"/>
      <rgbColor rgb="FF000080"/>
      <rgbColor rgb="FF808000"/>
      <rgbColor rgb="FF800080"/>
      <rgbColor rgb="FF008080"/>
      <rgbColor rgb="FFBBBBBB"/>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14283A"/>
      <rgbColor rgb="FF339966"/>
      <rgbColor rgb="FF003300"/>
      <rgbColor rgb="FF333300"/>
      <rgbColor rgb="FFA0202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7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104"/>
  </cols>
  <sheetData>
    <row r="2" customFormat="false" ht="17.3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3" t="s">
        <v>2</v>
      </c>
    </row>
    <row r="6" customFormat="false" ht="15" hidden="false" customHeight="false" outlineLevel="0" collapsed="false">
      <c r="B6" s="3"/>
    </row>
    <row r="7" customFormat="false" ht="15" hidden="false" customHeight="false" outlineLevel="0" collapsed="false">
      <c r="B7" s="2" t="s">
        <v>3</v>
      </c>
    </row>
    <row r="8" customFormat="false" ht="15" hidden="false" customHeight="false" outlineLevel="0" collapsed="false">
      <c r="B8" s="3" t="s">
        <v>4</v>
      </c>
    </row>
    <row r="9" customFormat="false" ht="15" hidden="false" customHeight="false" outlineLevel="0" collapsed="false">
      <c r="B9" s="3" t="s">
        <v>5</v>
      </c>
    </row>
    <row r="10" customFormat="false" ht="15" hidden="false" customHeight="false" outlineLevel="0" collapsed="false">
      <c r="B10" s="3" t="s">
        <v>6</v>
      </c>
    </row>
    <row r="11" customFormat="false" ht="15" hidden="false" customHeight="false" outlineLevel="0" collapsed="false">
      <c r="B11" s="3" t="s">
        <v>7</v>
      </c>
    </row>
    <row r="12" customFormat="false" ht="15" hidden="false" customHeight="false" outlineLevel="0" collapsed="false">
      <c r="B12" s="3" t="s">
        <v>8</v>
      </c>
    </row>
    <row r="13" customFormat="false" ht="15" hidden="false" customHeight="false" outlineLevel="0" collapsed="false">
      <c r="B13" s="3" t="s">
        <v>9</v>
      </c>
    </row>
    <row r="14" customFormat="false" ht="15" hidden="false" customHeight="false" outlineLevel="0" collapsed="false">
      <c r="B14" s="3" t="s">
        <v>10</v>
      </c>
    </row>
    <row r="15" customFormat="false" ht="15" hidden="false" customHeight="false" outlineLevel="0" collapsed="false">
      <c r="B15" s="3" t="s">
        <v>11</v>
      </c>
    </row>
    <row r="16" customFormat="false" ht="15" hidden="false" customHeight="false" outlineLevel="0" collapsed="false">
      <c r="B16" s="3"/>
    </row>
    <row r="17" customFormat="false" ht="15" hidden="false" customHeight="false" outlineLevel="0" collapsed="false">
      <c r="B17" s="2" t="s">
        <v>12</v>
      </c>
    </row>
    <row r="18" customFormat="false" ht="15" hidden="false" customHeight="false" outlineLevel="0" collapsed="false">
      <c r="B18" s="3" t="s">
        <v>13</v>
      </c>
    </row>
    <row r="19" customFormat="false" ht="15" hidden="false" customHeight="false" outlineLevel="0" collapsed="false">
      <c r="B19" s="3" t="s">
        <v>14</v>
      </c>
    </row>
    <row r="20" customFormat="false" ht="15" hidden="false" customHeight="false" outlineLevel="0" collapsed="false">
      <c r="B20" s="3" t="s">
        <v>15</v>
      </c>
    </row>
    <row r="21" customFormat="false" ht="15" hidden="false" customHeight="false" outlineLevel="0" collapsed="false">
      <c r="B21" s="3" t="s">
        <v>16</v>
      </c>
    </row>
    <row r="22" customFormat="false" ht="15" hidden="false" customHeight="false" outlineLevel="0" collapsed="false">
      <c r="B22" s="3" t="s">
        <v>17</v>
      </c>
    </row>
    <row r="23" customFormat="false" ht="15" hidden="false" customHeight="false" outlineLevel="0" collapsed="false">
      <c r="B23" s="3"/>
    </row>
    <row r="24" customFormat="false" ht="15" hidden="false" customHeight="false" outlineLevel="0" collapsed="false">
      <c r="B24" s="3" t="s">
        <v>18</v>
      </c>
    </row>
    <row r="25" customFormat="false" ht="15" hidden="false" customHeight="false" outlineLevel="0" collapsed="false">
      <c r="B25" s="3" t="s">
        <v>19</v>
      </c>
    </row>
    <row r="26" customFormat="false" ht="15" hidden="false" customHeight="false" outlineLevel="0" collapsed="false">
      <c r="B26" s="3" t="s">
        <v>20</v>
      </c>
    </row>
    <row r="27" customFormat="false" ht="15" hidden="false" customHeight="false" outlineLevel="0" collapsed="false">
      <c r="B27" s="3"/>
    </row>
    <row r="28" customFormat="false" ht="15" hidden="false" customHeight="false" outlineLevel="0" collapsed="false">
      <c r="B28" s="3" t="s">
        <v>21</v>
      </c>
    </row>
    <row r="29" customFormat="false" ht="15" hidden="false" customHeight="false" outlineLevel="0" collapsed="false">
      <c r="B29" s="3" t="s">
        <v>22</v>
      </c>
    </row>
    <row r="30" customFormat="false" ht="15" hidden="false" customHeight="false" outlineLevel="0" collapsed="false">
      <c r="B30" s="3" t="s">
        <v>23</v>
      </c>
    </row>
    <row r="31" customFormat="false" ht="15" hidden="false" customHeight="false" outlineLevel="0" collapsed="false">
      <c r="B31" s="3"/>
    </row>
    <row r="32" customFormat="false" ht="15" hidden="false" customHeight="false" outlineLevel="0" collapsed="false">
      <c r="B32" s="3" t="s">
        <v>24</v>
      </c>
    </row>
    <row r="33" customFormat="false" ht="15" hidden="false" customHeight="false" outlineLevel="0" collapsed="false">
      <c r="B33" s="3" t="s">
        <v>25</v>
      </c>
    </row>
    <row r="34" customFormat="false" ht="15" hidden="false" customHeight="false" outlineLevel="0" collapsed="false">
      <c r="B34" s="3" t="s">
        <v>26</v>
      </c>
    </row>
    <row r="35" customFormat="false" ht="15" hidden="false" customHeight="false" outlineLevel="0" collapsed="false">
      <c r="B35" s="3" t="s">
        <v>27</v>
      </c>
    </row>
    <row r="36" customFormat="false" ht="15" hidden="false" customHeight="false" outlineLevel="0" collapsed="false">
      <c r="B36" s="3" t="s">
        <v>28</v>
      </c>
    </row>
    <row r="37" customFormat="false" ht="15" hidden="false" customHeight="false" outlineLevel="0" collapsed="false">
      <c r="B37" s="3" t="s">
        <v>29</v>
      </c>
    </row>
    <row r="38" customFormat="false" ht="15" hidden="false" customHeight="false" outlineLevel="0" collapsed="false">
      <c r="B38" s="3" t="s">
        <v>30</v>
      </c>
    </row>
    <row r="39" customFormat="false" ht="15" hidden="false" customHeight="false" outlineLevel="0" collapsed="false">
      <c r="B39" s="3"/>
    </row>
    <row r="40" customFormat="false" ht="15" hidden="false" customHeight="false" outlineLevel="0" collapsed="false">
      <c r="B40" s="2" t="s">
        <v>31</v>
      </c>
    </row>
    <row r="41" customFormat="false" ht="15" hidden="false" customHeight="false" outlineLevel="0" collapsed="false">
      <c r="B41" s="3" t="s">
        <v>32</v>
      </c>
    </row>
    <row r="42" customFormat="false" ht="15" hidden="false" customHeight="false" outlineLevel="0" collapsed="false">
      <c r="B42" s="3" t="s">
        <v>33</v>
      </c>
    </row>
    <row r="43" customFormat="false" ht="15" hidden="false" customHeight="false" outlineLevel="0" collapsed="false">
      <c r="B43" s="3" t="s">
        <v>34</v>
      </c>
    </row>
    <row r="44" customFormat="false" ht="15" hidden="false" customHeight="false" outlineLevel="0" collapsed="false">
      <c r="B44" s="3" t="s">
        <v>35</v>
      </c>
    </row>
    <row r="45" customFormat="false" ht="15" hidden="false" customHeight="false" outlineLevel="0" collapsed="false">
      <c r="B45" s="3" t="s">
        <v>36</v>
      </c>
    </row>
    <row r="46" customFormat="false" ht="15" hidden="false" customHeight="false" outlineLevel="0" collapsed="false">
      <c r="B46" s="3" t="s">
        <v>37</v>
      </c>
    </row>
    <row r="47" customFormat="false" ht="15" hidden="false" customHeight="false" outlineLevel="0" collapsed="false">
      <c r="B47" s="3" t="s">
        <v>38</v>
      </c>
    </row>
    <row r="48" customFormat="false" ht="15" hidden="false" customHeight="false" outlineLevel="0" collapsed="false">
      <c r="B48" s="3"/>
    </row>
    <row r="49" customFormat="false" ht="15" hidden="false" customHeight="false" outlineLevel="0" collapsed="false">
      <c r="B49" s="2" t="s">
        <v>39</v>
      </c>
    </row>
    <row r="50" customFormat="false" ht="15" hidden="false" customHeight="false" outlineLevel="0" collapsed="false">
      <c r="B50" s="3" t="s">
        <v>40</v>
      </c>
    </row>
    <row r="51" customFormat="false" ht="15" hidden="false" customHeight="false" outlineLevel="0" collapsed="false">
      <c r="B51" s="3" t="s">
        <v>41</v>
      </c>
    </row>
    <row r="52" customFormat="false" ht="15" hidden="false" customHeight="false" outlineLevel="0" collapsed="false">
      <c r="B52" s="3" t="s">
        <v>42</v>
      </c>
    </row>
    <row r="53" customFormat="false" ht="15" hidden="false" customHeight="false" outlineLevel="0" collapsed="false">
      <c r="B53" s="3" t="s">
        <v>43</v>
      </c>
    </row>
    <row r="54" customFormat="false" ht="15" hidden="false" customHeight="false" outlineLevel="0" collapsed="false">
      <c r="B54" s="3" t="s">
        <v>44</v>
      </c>
    </row>
    <row r="55" customFormat="false" ht="15" hidden="false" customHeight="false" outlineLevel="0" collapsed="false">
      <c r="B55" s="3" t="s">
        <v>45</v>
      </c>
    </row>
    <row r="56" customFormat="false" ht="15" hidden="false" customHeight="false" outlineLevel="0" collapsed="false">
      <c r="B56" s="3" t="s">
        <v>46</v>
      </c>
    </row>
    <row r="57" customFormat="false" ht="15" hidden="false" customHeight="false" outlineLevel="0" collapsed="false">
      <c r="B57" s="3"/>
    </row>
    <row r="58" customFormat="false" ht="15" hidden="false" customHeight="false" outlineLevel="0" collapsed="false">
      <c r="B58" s="2" t="s">
        <v>47</v>
      </c>
    </row>
    <row r="59" customFormat="false" ht="15" hidden="false" customHeight="false" outlineLevel="0" collapsed="false">
      <c r="B59" s="3" t="s">
        <v>48</v>
      </c>
    </row>
    <row r="60" customFormat="false" ht="15" hidden="false" customHeight="false" outlineLevel="0" collapsed="false">
      <c r="B60" s="3" t="s">
        <v>49</v>
      </c>
    </row>
    <row r="61" customFormat="false" ht="15" hidden="false" customHeight="false" outlineLevel="0" collapsed="false">
      <c r="B61" s="3" t="s">
        <v>50</v>
      </c>
    </row>
    <row r="62" customFormat="false" ht="15" hidden="false" customHeight="false" outlineLevel="0" collapsed="false">
      <c r="B62" s="3" t="s">
        <v>51</v>
      </c>
    </row>
    <row r="63" customFormat="false" ht="15" hidden="false" customHeight="false" outlineLevel="0" collapsed="false">
      <c r="B63" s="3" t="s">
        <v>52</v>
      </c>
    </row>
    <row r="64" customFormat="false" ht="15" hidden="false" customHeight="false" outlineLevel="0" collapsed="false">
      <c r="B64" s="3"/>
    </row>
    <row r="65" customFormat="false" ht="15" hidden="false" customHeight="false" outlineLevel="0" collapsed="false">
      <c r="B65" s="2" t="s">
        <v>53</v>
      </c>
    </row>
    <row r="66" customFormat="false" ht="15" hidden="false" customHeight="false" outlineLevel="0" collapsed="false">
      <c r="B66" s="3" t="s">
        <v>54</v>
      </c>
    </row>
    <row r="67" customFormat="false" ht="15" hidden="false" customHeight="false" outlineLevel="0" collapsed="false">
      <c r="B67" s="3" t="s">
        <v>55</v>
      </c>
    </row>
    <row r="68" customFormat="false" ht="15" hidden="false" customHeight="false" outlineLevel="0" collapsed="false">
      <c r="B68" s="3" t="s">
        <v>56</v>
      </c>
    </row>
    <row r="69" customFormat="false" ht="15" hidden="false" customHeight="false" outlineLevel="0" collapsed="false">
      <c r="B69" s="3" t="s">
        <v>57</v>
      </c>
    </row>
    <row r="70" customFormat="false" ht="15" hidden="false" customHeight="false" outlineLevel="0" collapsed="false">
      <c r="B70" s="3" t="s">
        <v>58</v>
      </c>
    </row>
    <row r="71" customFormat="false" ht="15" hidden="false" customHeight="false" outlineLevel="0" collapsed="false">
      <c r="B71" s="3"/>
    </row>
    <row r="72" customFormat="false" ht="15" hidden="false" customHeight="false" outlineLevel="0" collapsed="false">
      <c r="B72" s="3" t="s">
        <v>59</v>
      </c>
    </row>
    <row r="73" customFormat="false" ht="15" hidden="false" customHeight="false" outlineLevel="0" collapsed="false">
      <c r="B73" s="3" t="s">
        <v>60</v>
      </c>
    </row>
    <row r="74" customFormat="false" ht="15" hidden="false" customHeight="false" outlineLevel="0" collapsed="false">
      <c r="B74" s="3" t="s">
        <v>61</v>
      </c>
    </row>
    <row r="75" customFormat="false" ht="15" hidden="false" customHeight="false" outlineLevel="0" collapsed="false">
      <c r="B75" s="3" t="s">
        <v>62</v>
      </c>
    </row>
    <row r="77" customFormat="false" ht="15" hidden="false" customHeight="false" outlineLevel="0" collapsed="false">
      <c r="B77" s="3" t="s">
        <v>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I9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3" min="3" style="0" width="15"/>
    <col collapsed="false" customWidth="true" hidden="false" outlineLevel="0" max="4" min="4" style="0" width="17"/>
    <col collapsed="false" customWidth="true" hidden="false" outlineLevel="0" max="7" min="5" style="0" width="15"/>
    <col collapsed="false" customWidth="true" hidden="false" outlineLevel="0" max="8" min="8" style="0" width="2"/>
    <col collapsed="false" customWidth="true" hidden="false" outlineLevel="0" max="9" min="9" style="0" width="84"/>
  </cols>
  <sheetData>
    <row r="2" customFormat="false" ht="17.35" hidden="false" customHeight="false" outlineLevel="0" collapsed="false">
      <c r="B2" s="1" t="s">
        <v>64</v>
      </c>
    </row>
    <row r="3" customFormat="false" ht="15" hidden="false" customHeight="false" outlineLevel="0" collapsed="false">
      <c r="B3" s="3" t="s">
        <v>65</v>
      </c>
    </row>
    <row r="4" customFormat="false" ht="15" hidden="false" customHeight="false" outlineLevel="0" collapsed="false">
      <c r="B4" s="4" t="s">
        <v>66</v>
      </c>
    </row>
    <row r="5" customFormat="false" ht="15" hidden="false" customHeight="false" outlineLevel="0" collapsed="false">
      <c r="B5" s="5" t="s">
        <v>67</v>
      </c>
      <c r="C5" s="6"/>
      <c r="D5" s="6"/>
      <c r="E5" s="6"/>
      <c r="F5" s="6"/>
      <c r="G5" s="6"/>
    </row>
    <row r="6" customFormat="false" ht="23.85" hidden="false" customHeight="false" outlineLevel="0" collapsed="false">
      <c r="C6" s="7" t="s">
        <v>68</v>
      </c>
      <c r="D6" s="7" t="s">
        <v>69</v>
      </c>
      <c r="E6" s="7" t="s">
        <v>70</v>
      </c>
      <c r="F6" s="7" t="s">
        <v>71</v>
      </c>
      <c r="G6" s="7" t="s">
        <v>72</v>
      </c>
    </row>
    <row r="7" customFormat="false" ht="15" hidden="false" customHeight="false" outlineLevel="0" collapsed="false">
      <c r="B7" s="3" t="s">
        <v>73</v>
      </c>
      <c r="C7" s="8" t="n">
        <v>1850000</v>
      </c>
      <c r="D7" s="8" t="n">
        <v>640000</v>
      </c>
      <c r="E7" s="8" t="n">
        <v>118000</v>
      </c>
      <c r="F7" s="8" t="n">
        <v>19500</v>
      </c>
      <c r="I7" s="4" t="s">
        <v>74</v>
      </c>
    </row>
    <row r="8" customFormat="false" ht="15" hidden="false" customHeight="false" outlineLevel="0" collapsed="false">
      <c r="B8" s="3" t="s">
        <v>75</v>
      </c>
      <c r="C8" s="9" t="n">
        <v>9.2</v>
      </c>
      <c r="D8" s="9" t="n">
        <v>23.5</v>
      </c>
      <c r="E8" s="9" t="n">
        <v>78</v>
      </c>
      <c r="F8" s="9" t="n">
        <v>348</v>
      </c>
    </row>
    <row r="9" customFormat="false" ht="15" hidden="false" customHeight="false" outlineLevel="0" collapsed="false">
      <c r="B9" s="3" t="s">
        <v>76</v>
      </c>
      <c r="C9" s="9" t="n">
        <v>2.95</v>
      </c>
      <c r="D9" s="9" t="n">
        <v>8.1</v>
      </c>
      <c r="E9" s="9" t="n">
        <v>26.5</v>
      </c>
      <c r="F9" s="9" t="n">
        <v>104</v>
      </c>
    </row>
    <row r="10" customFormat="false" ht="15" hidden="false" customHeight="false" outlineLevel="0" collapsed="false">
      <c r="B10" s="3" t="s">
        <v>77</v>
      </c>
      <c r="C10" s="10" t="n">
        <v>0.03</v>
      </c>
      <c r="D10" s="10" t="n">
        <v>0.062</v>
      </c>
      <c r="E10" s="10" t="n">
        <v>0.235</v>
      </c>
      <c r="F10" s="10" t="n">
        <v>1.54</v>
      </c>
      <c r="I10" s="4" t="s">
        <v>78</v>
      </c>
    </row>
    <row r="11" customFormat="false" ht="15" hidden="false" customHeight="false" outlineLevel="0" collapsed="false">
      <c r="B11" s="3" t="s">
        <v>79</v>
      </c>
      <c r="C11" s="10" t="n">
        <v>0.022</v>
      </c>
      <c r="D11" s="10" t="n">
        <v>0.058</v>
      </c>
      <c r="E11" s="10" t="n">
        <v>0.29</v>
      </c>
      <c r="F11" s="10" t="n">
        <v>1.98</v>
      </c>
    </row>
    <row r="12" customFormat="false" ht="15" hidden="false" customHeight="false" outlineLevel="0" collapsed="false">
      <c r="B12" s="3" t="s">
        <v>80</v>
      </c>
      <c r="C12" s="8" t="n">
        <v>310</v>
      </c>
      <c r="D12" s="8" t="n">
        <v>720</v>
      </c>
      <c r="E12" s="8" t="n">
        <v>1180</v>
      </c>
      <c r="F12" s="8" t="n">
        <v>1690</v>
      </c>
      <c r="I12" s="4" t="s">
        <v>81</v>
      </c>
    </row>
    <row r="13" customFormat="false" ht="15" hidden="false" customHeight="false" outlineLevel="0" collapsed="false">
      <c r="B13" s="3" t="s">
        <v>82</v>
      </c>
      <c r="C13" s="8" t="n">
        <v>460</v>
      </c>
      <c r="D13" s="8" t="n">
        <v>1050</v>
      </c>
      <c r="E13" s="8" t="n">
        <v>1640</v>
      </c>
      <c r="F13" s="8" t="n">
        <v>2180</v>
      </c>
    </row>
    <row r="14" customFormat="false" ht="15" hidden="false" customHeight="false" outlineLevel="0" collapsed="false">
      <c r="B14" s="3" t="s">
        <v>83</v>
      </c>
      <c r="C14" s="8" t="n">
        <v>14</v>
      </c>
      <c r="D14" s="8" t="n">
        <v>62</v>
      </c>
      <c r="E14" s="8" t="n">
        <v>214</v>
      </c>
      <c r="F14" s="8" t="n">
        <v>690</v>
      </c>
    </row>
    <row r="15" customFormat="false" ht="15" hidden="false" customHeight="false" outlineLevel="0" collapsed="false">
      <c r="B15" s="3" t="s">
        <v>84</v>
      </c>
      <c r="C15" s="8" t="n">
        <v>920</v>
      </c>
      <c r="D15" s="8" t="n">
        <v>2100</v>
      </c>
      <c r="E15" s="8" t="n">
        <v>4920</v>
      </c>
      <c r="F15" s="8" t="n">
        <v>8720</v>
      </c>
    </row>
    <row r="16" customFormat="false" ht="15" hidden="false" customHeight="false" outlineLevel="0" collapsed="false">
      <c r="B16" s="3" t="s">
        <v>85</v>
      </c>
      <c r="C16" s="9" t="n">
        <v>5.9</v>
      </c>
      <c r="D16" s="11" t="s">
        <v>86</v>
      </c>
      <c r="E16" s="9" t="n">
        <v>51</v>
      </c>
      <c r="F16" s="9" t="n">
        <v>280</v>
      </c>
      <c r="I16" s="4" t="s">
        <v>87</v>
      </c>
    </row>
    <row r="18" customFormat="false" ht="15" hidden="false" customHeight="false" outlineLevel="0" collapsed="false">
      <c r="B18" s="5" t="s">
        <v>88</v>
      </c>
      <c r="C18" s="6"/>
      <c r="D18" s="6"/>
      <c r="E18" s="6"/>
      <c r="F18" s="6"/>
      <c r="G18" s="6"/>
    </row>
    <row r="19" customFormat="false" ht="35.05" hidden="false" customHeight="false" outlineLevel="0" collapsed="false">
      <c r="C19" s="7" t="s">
        <v>89</v>
      </c>
      <c r="D19" s="7" t="s">
        <v>90</v>
      </c>
      <c r="E19" s="7" t="s">
        <v>91</v>
      </c>
    </row>
    <row r="20" customFormat="false" ht="15" hidden="false" customHeight="false" outlineLevel="0" collapsed="false">
      <c r="B20" s="3" t="s">
        <v>92</v>
      </c>
      <c r="C20" s="8" t="n">
        <v>3510000</v>
      </c>
      <c r="D20" s="12" t="s">
        <v>93</v>
      </c>
      <c r="E20" s="13" t="n">
        <v>0.9</v>
      </c>
      <c r="I20" s="4" t="s">
        <v>94</v>
      </c>
    </row>
    <row r="21" customFormat="false" ht="15" hidden="false" customHeight="false" outlineLevel="0" collapsed="false">
      <c r="B21" s="3" t="s">
        <v>95</v>
      </c>
      <c r="C21" s="8" t="n">
        <v>1980000</v>
      </c>
      <c r="D21" s="12" t="s">
        <v>96</v>
      </c>
      <c r="E21" s="13" t="n">
        <v>0.7</v>
      </c>
      <c r="I21" s="4" t="s">
        <v>97</v>
      </c>
    </row>
    <row r="22" customFormat="false" ht="15" hidden="false" customHeight="false" outlineLevel="0" collapsed="false">
      <c r="B22" s="3" t="s">
        <v>98</v>
      </c>
      <c r="C22" s="8" t="n">
        <v>4620000</v>
      </c>
      <c r="D22" s="12" t="s">
        <v>99</v>
      </c>
      <c r="E22" s="13" t="n">
        <v>0.35</v>
      </c>
      <c r="I22" s="4" t="s">
        <v>100</v>
      </c>
    </row>
    <row r="23" customFormat="false" ht="15" hidden="false" customHeight="false" outlineLevel="0" collapsed="false">
      <c r="B23" s="3" t="s">
        <v>101</v>
      </c>
      <c r="C23" s="8" t="n">
        <v>1610000</v>
      </c>
      <c r="D23" s="12" t="s">
        <v>102</v>
      </c>
      <c r="E23" s="13" t="n">
        <v>0.1</v>
      </c>
      <c r="I23" s="4" t="s">
        <v>103</v>
      </c>
    </row>
    <row r="24" customFormat="false" ht="15" hidden="false" customHeight="false" outlineLevel="0" collapsed="false">
      <c r="B24" s="3" t="s">
        <v>104</v>
      </c>
      <c r="C24" s="8" t="n">
        <v>1720000</v>
      </c>
      <c r="D24" s="12" t="s">
        <v>105</v>
      </c>
      <c r="E24" s="13" t="n">
        <v>0.5</v>
      </c>
      <c r="I24" s="4" t="s">
        <v>106</v>
      </c>
    </row>
    <row r="25" customFormat="false" ht="15" hidden="false" customHeight="false" outlineLevel="0" collapsed="false">
      <c r="B25" s="14" t="s">
        <v>107</v>
      </c>
      <c r="C25" s="15" t="n">
        <f aca="false">SUM(C20:C24)</f>
        <v>13440000</v>
      </c>
    </row>
    <row r="26" customFormat="false" ht="15" hidden="false" customHeight="false" outlineLevel="0" collapsed="false">
      <c r="B26" s="4" t="s">
        <v>108</v>
      </c>
    </row>
    <row r="28" customFormat="false" ht="15" hidden="false" customHeight="false" outlineLevel="0" collapsed="false">
      <c r="B28" s="5" t="s">
        <v>109</v>
      </c>
      <c r="C28" s="6"/>
      <c r="D28" s="6"/>
      <c r="E28" s="6"/>
      <c r="F28" s="6"/>
      <c r="G28" s="6"/>
    </row>
    <row r="29" customFormat="false" ht="15" hidden="false" customHeight="false" outlineLevel="0" collapsed="false">
      <c r="B29" s="3" t="s">
        <v>110</v>
      </c>
      <c r="C29" s="9" t="n">
        <v>31.4</v>
      </c>
      <c r="I29" s="4" t="s">
        <v>111</v>
      </c>
    </row>
    <row r="30" customFormat="false" ht="15" hidden="false" customHeight="false" outlineLevel="0" collapsed="false">
      <c r="B30" s="3" t="s">
        <v>112</v>
      </c>
      <c r="C30" s="8" t="n">
        <v>6720000</v>
      </c>
      <c r="I30" s="4" t="s">
        <v>113</v>
      </c>
    </row>
    <row r="31" customFormat="false" ht="15" hidden="false" customHeight="false" outlineLevel="0" collapsed="false">
      <c r="B31" s="3" t="s">
        <v>114</v>
      </c>
      <c r="C31" s="16" t="n">
        <v>0.28</v>
      </c>
      <c r="I31" s="4" t="s">
        <v>115</v>
      </c>
    </row>
    <row r="32" customFormat="false" ht="15" hidden="false" customHeight="false" outlineLevel="0" collapsed="false">
      <c r="B32" s="3" t="s">
        <v>116</v>
      </c>
      <c r="C32" s="16" t="n">
        <v>0.02</v>
      </c>
      <c r="I32" s="4" t="s">
        <v>117</v>
      </c>
    </row>
    <row r="34" customFormat="false" ht="15" hidden="false" customHeight="false" outlineLevel="0" collapsed="false">
      <c r="B34" s="5" t="s">
        <v>118</v>
      </c>
      <c r="C34" s="6"/>
      <c r="D34" s="6"/>
      <c r="E34" s="6"/>
      <c r="F34" s="6"/>
      <c r="G34" s="6"/>
    </row>
    <row r="35" customFormat="false" ht="15" hidden="false" customHeight="false" outlineLevel="0" collapsed="false">
      <c r="B35" s="3" t="s">
        <v>119</v>
      </c>
      <c r="C35" s="9" t="n">
        <v>128</v>
      </c>
      <c r="I35" s="4" t="s">
        <v>120</v>
      </c>
    </row>
    <row r="36" customFormat="false" ht="15" hidden="false" customHeight="false" outlineLevel="0" collapsed="false">
      <c r="B36" s="3" t="s">
        <v>121</v>
      </c>
      <c r="C36" s="9" t="n">
        <v>18</v>
      </c>
    </row>
    <row r="37" customFormat="false" ht="15" hidden="false" customHeight="false" outlineLevel="0" collapsed="false">
      <c r="B37" s="3" t="s">
        <v>122</v>
      </c>
      <c r="C37" s="9" t="n">
        <v>245</v>
      </c>
    </row>
    <row r="38" customFormat="false" ht="15" hidden="false" customHeight="false" outlineLevel="0" collapsed="false">
      <c r="B38" s="3" t="s">
        <v>123</v>
      </c>
      <c r="C38" s="9" t="n">
        <v>640</v>
      </c>
      <c r="I38" s="4" t="s">
        <v>124</v>
      </c>
    </row>
    <row r="39" customFormat="false" ht="15" hidden="false" customHeight="false" outlineLevel="0" collapsed="false">
      <c r="B39" s="3" t="s">
        <v>125</v>
      </c>
      <c r="C39" s="9" t="n">
        <v>41</v>
      </c>
    </row>
    <row r="40" customFormat="false" ht="15" hidden="false" customHeight="false" outlineLevel="0" collapsed="false">
      <c r="B40" s="3" t="s">
        <v>126</v>
      </c>
      <c r="C40" s="17" t="n">
        <v>0.084</v>
      </c>
      <c r="I40" s="4" t="s">
        <v>127</v>
      </c>
    </row>
    <row r="41" customFormat="false" ht="15" hidden="false" customHeight="false" outlineLevel="0" collapsed="false">
      <c r="B41" s="3" t="s">
        <v>128</v>
      </c>
      <c r="C41" s="8" t="n">
        <v>360</v>
      </c>
    </row>
    <row r="43" customFormat="false" ht="15" hidden="false" customHeight="false" outlineLevel="0" collapsed="false">
      <c r="B43" s="5" t="s">
        <v>129</v>
      </c>
      <c r="C43" s="6"/>
      <c r="D43" s="6"/>
      <c r="E43" s="6"/>
      <c r="F43" s="6"/>
      <c r="G43" s="6"/>
    </row>
    <row r="44" customFormat="false" ht="15" hidden="false" customHeight="false" outlineLevel="0" collapsed="false">
      <c r="C44" s="7" t="s">
        <v>130</v>
      </c>
      <c r="D44" s="7" t="s">
        <v>131</v>
      </c>
    </row>
    <row r="45" customFormat="false" ht="15" hidden="false" customHeight="false" outlineLevel="0" collapsed="false">
      <c r="B45" s="3" t="s">
        <v>132</v>
      </c>
      <c r="C45" s="8" t="n">
        <v>46000</v>
      </c>
      <c r="D45" s="8" t="n">
        <v>46000</v>
      </c>
      <c r="I45" s="4" t="s">
        <v>133</v>
      </c>
    </row>
    <row r="46" customFormat="false" ht="15" hidden="false" customHeight="false" outlineLevel="0" collapsed="false">
      <c r="B46" s="3" t="s">
        <v>134</v>
      </c>
      <c r="C46" s="8" t="n">
        <v>12</v>
      </c>
      <c r="D46" s="8" t="n">
        <v>196</v>
      </c>
    </row>
    <row r="47" customFormat="false" ht="15" hidden="false" customHeight="false" outlineLevel="0" collapsed="false">
      <c r="B47" s="3" t="s">
        <v>135</v>
      </c>
      <c r="C47" s="8" t="n">
        <v>48</v>
      </c>
      <c r="D47" s="8" t="n">
        <v>1372</v>
      </c>
    </row>
    <row r="48" customFormat="false" ht="15" hidden="false" customHeight="false" outlineLevel="0" collapsed="false">
      <c r="B48" s="3" t="s">
        <v>136</v>
      </c>
      <c r="C48" s="8" t="n">
        <v>12</v>
      </c>
      <c r="D48" s="8" t="n">
        <v>248</v>
      </c>
    </row>
    <row r="49" customFormat="false" ht="15" hidden="false" customHeight="false" outlineLevel="0" collapsed="false">
      <c r="B49" s="3" t="s">
        <v>137</v>
      </c>
      <c r="C49" s="8" t="n">
        <v>2</v>
      </c>
      <c r="D49" s="8" t="n">
        <v>84</v>
      </c>
    </row>
    <row r="50" customFormat="false" ht="15" hidden="false" customHeight="false" outlineLevel="0" collapsed="false">
      <c r="B50" s="3" t="s">
        <v>138</v>
      </c>
      <c r="C50" s="17" t="n">
        <v>0.004</v>
      </c>
      <c r="D50" s="17" t="n">
        <v>0.021</v>
      </c>
    </row>
    <row r="51" customFormat="false" ht="15" hidden="false" customHeight="false" outlineLevel="0" collapsed="false">
      <c r="B51" s="3" t="s">
        <v>139</v>
      </c>
      <c r="C51" s="16" t="n">
        <v>0.14</v>
      </c>
      <c r="D51" s="16" t="n">
        <v>0.06</v>
      </c>
      <c r="I51" s="4" t="s">
        <v>140</v>
      </c>
    </row>
    <row r="52" customFormat="false" ht="15" hidden="false" customHeight="false" outlineLevel="0" collapsed="false">
      <c r="B52" s="3" t="s">
        <v>141</v>
      </c>
      <c r="C52" s="8" t="n">
        <v>45</v>
      </c>
      <c r="D52" s="8" t="n">
        <v>92</v>
      </c>
    </row>
    <row r="54" customFormat="false" ht="15" hidden="false" customHeight="false" outlineLevel="0" collapsed="false">
      <c r="B54" s="5" t="s">
        <v>142</v>
      </c>
      <c r="C54" s="6"/>
      <c r="D54" s="6"/>
      <c r="E54" s="6"/>
      <c r="F54" s="6"/>
      <c r="G54" s="6"/>
    </row>
    <row r="55" customFormat="false" ht="15" hidden="false" customHeight="false" outlineLevel="0" collapsed="false">
      <c r="B55" s="3" t="s">
        <v>143</v>
      </c>
      <c r="C55" s="18" t="n">
        <v>1.35</v>
      </c>
      <c r="I55" s="4" t="s">
        <v>144</v>
      </c>
    </row>
    <row r="57" customFormat="false" ht="15" hidden="false" customHeight="false" outlineLevel="0" collapsed="false">
      <c r="B57" s="5" t="s">
        <v>145</v>
      </c>
      <c r="C57" s="6"/>
      <c r="D57" s="6"/>
      <c r="E57" s="6"/>
      <c r="F57" s="6"/>
      <c r="G57" s="6"/>
    </row>
    <row r="58" customFormat="false" ht="23.85" hidden="false" customHeight="false" outlineLevel="0" collapsed="false">
      <c r="C58" s="7" t="s">
        <v>68</v>
      </c>
      <c r="D58" s="7" t="s">
        <v>69</v>
      </c>
      <c r="E58" s="7" t="s">
        <v>70</v>
      </c>
      <c r="F58" s="7" t="s">
        <v>71</v>
      </c>
      <c r="G58" s="7" t="s">
        <v>72</v>
      </c>
    </row>
    <row r="59" customFormat="false" ht="15" hidden="false" customHeight="false" outlineLevel="0" collapsed="false">
      <c r="B59" s="3" t="s">
        <v>146</v>
      </c>
      <c r="C59" s="19" t="n">
        <f aca="false">C$7*C$8</f>
        <v>17020000</v>
      </c>
      <c r="D59" s="19" t="n">
        <f aca="false">D$7*D$8</f>
        <v>15040000</v>
      </c>
      <c r="E59" s="19" t="n">
        <f aca="false">E$7*E$8</f>
        <v>9204000</v>
      </c>
      <c r="F59" s="19" t="n">
        <f aca="false">F$7*F$8</f>
        <v>6786000</v>
      </c>
      <c r="G59" s="20" t="n">
        <f aca="false">SUM(C59:F59)</f>
        <v>48050000</v>
      </c>
    </row>
    <row r="60" customFormat="false" ht="15" hidden="false" customHeight="false" outlineLevel="0" collapsed="false">
      <c r="B60" s="3" t="s">
        <v>147</v>
      </c>
      <c r="C60" s="19" t="n">
        <f aca="false">C$7*C$10</f>
        <v>55500</v>
      </c>
      <c r="D60" s="19" t="n">
        <f aca="false">D$7*D$10</f>
        <v>39680</v>
      </c>
      <c r="E60" s="19" t="n">
        <f aca="false">E$7*E$10</f>
        <v>27730</v>
      </c>
      <c r="F60" s="19" t="n">
        <f aca="false">F$7*F$10</f>
        <v>30030</v>
      </c>
      <c r="G60" s="20" t="n">
        <f aca="false">SUM(C60:F60)</f>
        <v>152940</v>
      </c>
    </row>
    <row r="61" customFormat="false" ht="15" hidden="false" customHeight="false" outlineLevel="0" collapsed="false">
      <c r="B61" s="3" t="s">
        <v>148</v>
      </c>
      <c r="C61" s="19" t="n">
        <f aca="false">C$7*C$11</f>
        <v>40700</v>
      </c>
      <c r="D61" s="19" t="n">
        <f aca="false">D$7*D$11</f>
        <v>37120</v>
      </c>
      <c r="E61" s="19" t="n">
        <f aca="false">E$7*E$11</f>
        <v>34220</v>
      </c>
      <c r="F61" s="19" t="n">
        <f aca="false">F$7*F$11</f>
        <v>38610</v>
      </c>
      <c r="G61" s="20" t="n">
        <f aca="false">SUM(C61:F61)</f>
        <v>150650</v>
      </c>
    </row>
    <row r="62" customFormat="false" ht="15" hidden="false" customHeight="false" outlineLevel="0" collapsed="false">
      <c r="B62" s="3" t="s">
        <v>149</v>
      </c>
      <c r="C62" s="19" t="n">
        <f aca="false">C$12</f>
        <v>310</v>
      </c>
      <c r="D62" s="19" t="n">
        <f aca="false">D$12</f>
        <v>720</v>
      </c>
      <c r="E62" s="19" t="n">
        <f aca="false">E$12</f>
        <v>1180</v>
      </c>
      <c r="F62" s="19" t="n">
        <f aca="false">F$12</f>
        <v>1690</v>
      </c>
      <c r="G62" s="20" t="n">
        <f aca="false">SUM(C62:F62)</f>
        <v>3900</v>
      </c>
    </row>
    <row r="63" customFormat="false" ht="15" hidden="false" customHeight="false" outlineLevel="0" collapsed="false">
      <c r="B63" s="3" t="s">
        <v>150</v>
      </c>
      <c r="C63" s="19" t="n">
        <f aca="false">C$13</f>
        <v>460</v>
      </c>
      <c r="D63" s="19" t="n">
        <f aca="false">D$13</f>
        <v>1050</v>
      </c>
      <c r="E63" s="19" t="n">
        <f aca="false">E$13</f>
        <v>1640</v>
      </c>
      <c r="F63" s="19" t="n">
        <f aca="false">F$13</f>
        <v>2180</v>
      </c>
      <c r="G63" s="20" t="n">
        <f aca="false">SUM(C63:F63)</f>
        <v>5330</v>
      </c>
    </row>
    <row r="64" customFormat="false" ht="15" hidden="false" customHeight="false" outlineLevel="0" collapsed="false">
      <c r="B64" s="3" t="s">
        <v>151</v>
      </c>
      <c r="C64" s="19" t="n">
        <f aca="false">C$14</f>
        <v>14</v>
      </c>
      <c r="D64" s="19" t="n">
        <f aca="false">D$14</f>
        <v>62</v>
      </c>
      <c r="E64" s="19" t="n">
        <f aca="false">E$14</f>
        <v>214</v>
      </c>
      <c r="F64" s="19" t="n">
        <f aca="false">F$14</f>
        <v>690</v>
      </c>
      <c r="G64" s="20" t="n">
        <f aca="false">SUM(C64:F64)</f>
        <v>980</v>
      </c>
    </row>
    <row r="65" customFormat="false" ht="15" hidden="false" customHeight="false" outlineLevel="0" collapsed="false">
      <c r="B65" s="3" t="s">
        <v>152</v>
      </c>
      <c r="C65" s="19" t="n">
        <f aca="false">C$15</f>
        <v>920</v>
      </c>
      <c r="D65" s="19" t="n">
        <f aca="false">D$15</f>
        <v>2100</v>
      </c>
      <c r="E65" s="19" t="n">
        <f aca="false">E$15</f>
        <v>4920</v>
      </c>
      <c r="F65" s="19" t="n">
        <f aca="false">F$15</f>
        <v>8720</v>
      </c>
      <c r="G65" s="20" t="n">
        <f aca="false">SUM(C65:F65)</f>
        <v>16660</v>
      </c>
    </row>
    <row r="66" customFormat="false" ht="15" hidden="false" customHeight="false" outlineLevel="0" collapsed="false">
      <c r="B66" s="3" t="s">
        <v>153</v>
      </c>
      <c r="C66" s="19" t="n">
        <f aca="false">C$7*C$9</f>
        <v>5457500</v>
      </c>
      <c r="D66" s="19" t="n">
        <f aca="false">D$7*D$9</f>
        <v>5184000</v>
      </c>
      <c r="E66" s="19" t="n">
        <f aca="false">E$7*E$9</f>
        <v>3127000</v>
      </c>
      <c r="F66" s="19" t="n">
        <f aca="false">F$7*F$9</f>
        <v>2028000</v>
      </c>
      <c r="G66" s="20" t="n">
        <f aca="false">SUM(C66:F66)</f>
        <v>15796500</v>
      </c>
    </row>
    <row r="67" customFormat="false" ht="15" hidden="false" customHeight="false" outlineLevel="0" collapsed="false">
      <c r="B67" s="3" t="s">
        <v>154</v>
      </c>
      <c r="C67" s="19" t="n">
        <f aca="false">C$7*C$10*$C$29</f>
        <v>1742700</v>
      </c>
      <c r="D67" s="19" t="n">
        <f aca="false">D$7*D$10*$C$29</f>
        <v>1245952</v>
      </c>
      <c r="E67" s="19" t="n">
        <f aca="false">E$7*E$10*$C$29</f>
        <v>870722</v>
      </c>
      <c r="F67" s="19" t="n">
        <f aca="false">F$7*F$10*$C$29</f>
        <v>942942</v>
      </c>
      <c r="G67" s="20" t="n">
        <f aca="false">SUM(C67:F67)</f>
        <v>4802316</v>
      </c>
    </row>
    <row r="69" customFormat="false" ht="15" hidden="false" customHeight="false" outlineLevel="0" collapsed="false">
      <c r="B69" s="5" t="s">
        <v>155</v>
      </c>
      <c r="C69" s="6"/>
      <c r="D69" s="6"/>
      <c r="E69" s="6"/>
      <c r="F69" s="6"/>
      <c r="G69" s="6"/>
    </row>
    <row r="70" customFormat="false" ht="15" hidden="false" customHeight="false" outlineLevel="0" collapsed="false">
      <c r="B70" s="3" t="s">
        <v>156</v>
      </c>
      <c r="C70" s="21" t="n">
        <f aca="false">C20/$G$62</f>
        <v>900</v>
      </c>
    </row>
    <row r="71" customFormat="false" ht="15" hidden="false" customHeight="false" outlineLevel="0" collapsed="false">
      <c r="B71" s="3" t="s">
        <v>157</v>
      </c>
      <c r="C71" s="21" t="n">
        <f aca="false">C21/$G$63</f>
        <v>371.482176360225</v>
      </c>
    </row>
    <row r="72" customFormat="false" ht="15" hidden="false" customHeight="false" outlineLevel="0" collapsed="false">
      <c r="B72" s="3" t="s">
        <v>158</v>
      </c>
      <c r="C72" s="21" t="n">
        <f aca="false">C22/$G$61</f>
        <v>30.6671091934949</v>
      </c>
    </row>
    <row r="73" customFormat="false" ht="15" hidden="false" customHeight="false" outlineLevel="0" collapsed="false">
      <c r="B73" s="3" t="s">
        <v>159</v>
      </c>
      <c r="C73" s="21" t="n">
        <f aca="false">C23/$G$64</f>
        <v>1642.85714285714</v>
      </c>
    </row>
    <row r="74" customFormat="false" ht="15" hidden="false" customHeight="false" outlineLevel="0" collapsed="false">
      <c r="B74" s="3" t="s">
        <v>160</v>
      </c>
      <c r="C74" s="21" t="n">
        <f aca="false">C24/$G$65</f>
        <v>103.241296518607</v>
      </c>
    </row>
    <row r="75" customFormat="false" ht="15" hidden="false" customHeight="false" outlineLevel="0" collapsed="false">
      <c r="B75" s="3" t="s">
        <v>161</v>
      </c>
      <c r="C75" s="22" t="n">
        <f aca="false">C25/$G$60</f>
        <v>87.8775990584543</v>
      </c>
    </row>
    <row r="76" customFormat="false" ht="15" hidden="false" customHeight="false" outlineLevel="0" collapsed="false">
      <c r="B76" s="4" t="s">
        <v>162</v>
      </c>
    </row>
    <row r="78" customFormat="false" ht="15" hidden="false" customHeight="false" outlineLevel="0" collapsed="false">
      <c r="B78" s="5" t="s">
        <v>163</v>
      </c>
      <c r="C78" s="6"/>
      <c r="D78" s="6"/>
      <c r="E78" s="6"/>
      <c r="F78" s="6"/>
      <c r="G78" s="6"/>
    </row>
    <row r="79" customFormat="false" ht="23.85" hidden="false" customHeight="false" outlineLevel="0" collapsed="false">
      <c r="C79" s="7" t="s">
        <v>68</v>
      </c>
      <c r="D79" s="7" t="s">
        <v>69</v>
      </c>
      <c r="E79" s="7" t="s">
        <v>70</v>
      </c>
      <c r="F79" s="7" t="s">
        <v>71</v>
      </c>
      <c r="G79" s="7" t="s">
        <v>72</v>
      </c>
    </row>
    <row r="80" customFormat="false" ht="15" hidden="false" customHeight="false" outlineLevel="0" collapsed="false">
      <c r="B80" s="3" t="s">
        <v>164</v>
      </c>
      <c r="C80" s="23" t="n">
        <f aca="false">C$10*$C$75</f>
        <v>2.63632797175363</v>
      </c>
      <c r="D80" s="23" t="n">
        <f aca="false">D$10*$C$75</f>
        <v>5.44841114162417</v>
      </c>
      <c r="E80" s="23" t="n">
        <f aca="false">E$10*$C$75</f>
        <v>20.6512357787368</v>
      </c>
      <c r="F80" s="23" t="n">
        <f aca="false">F$10*$C$75</f>
        <v>135.33150255002</v>
      </c>
    </row>
    <row r="81" customFormat="false" ht="15" hidden="false" customHeight="false" outlineLevel="0" collapsed="false">
      <c r="B81" s="14" t="s">
        <v>165</v>
      </c>
      <c r="C81" s="24" t="n">
        <f aca="false">C$9+C$10*$C$29+C$80</f>
        <v>6.52832797175363</v>
      </c>
      <c r="D81" s="24" t="n">
        <f aca="false">D$9+D$10*$C$29+D$80</f>
        <v>15.4952111416242</v>
      </c>
      <c r="E81" s="24" t="n">
        <f aca="false">E$9+E$10*$C$29+E$80</f>
        <v>54.5302357787368</v>
      </c>
      <c r="F81" s="24" t="n">
        <f aca="false">F$9+F$10*$C$29+F$80</f>
        <v>287.68750255002</v>
      </c>
    </row>
    <row r="82" customFormat="false" ht="15" hidden="false" customHeight="false" outlineLevel="0" collapsed="false">
      <c r="B82" s="3" t="s">
        <v>166</v>
      </c>
      <c r="C82" s="19" t="n">
        <f aca="false">C$12*$C$70</f>
        <v>279000</v>
      </c>
      <c r="D82" s="19" t="n">
        <f aca="false">D$12*$C$70</f>
        <v>648000</v>
      </c>
      <c r="E82" s="19" t="n">
        <f aca="false">E$12*$C$70</f>
        <v>1062000</v>
      </c>
      <c r="F82" s="19" t="n">
        <f aca="false">F$12*$C$70</f>
        <v>1521000</v>
      </c>
      <c r="G82" s="20" t="n">
        <f aca="false">SUM(C82:F82)</f>
        <v>3510000</v>
      </c>
    </row>
    <row r="83" customFormat="false" ht="15" hidden="false" customHeight="false" outlineLevel="0" collapsed="false">
      <c r="B83" s="3" t="s">
        <v>167</v>
      </c>
      <c r="C83" s="19" t="n">
        <f aca="false">C$13*$C$71</f>
        <v>170881.801125704</v>
      </c>
      <c r="D83" s="19" t="n">
        <f aca="false">D$13*$C$71</f>
        <v>390056.285178236</v>
      </c>
      <c r="E83" s="19" t="n">
        <f aca="false">E$13*$C$71</f>
        <v>609230.769230769</v>
      </c>
      <c r="F83" s="19" t="n">
        <f aca="false">F$13*$C$71</f>
        <v>809831.144465291</v>
      </c>
      <c r="G83" s="20" t="n">
        <f aca="false">SUM(C83:F83)</f>
        <v>1980000</v>
      </c>
    </row>
    <row r="84" customFormat="false" ht="15" hidden="false" customHeight="false" outlineLevel="0" collapsed="false">
      <c r="B84" s="3" t="s">
        <v>168</v>
      </c>
      <c r="C84" s="19" t="n">
        <f aca="false">C$61*$C$72</f>
        <v>1248151.34417524</v>
      </c>
      <c r="D84" s="19" t="n">
        <f aca="false">D$61*$C$72</f>
        <v>1138363.09326253</v>
      </c>
      <c r="E84" s="19" t="n">
        <f aca="false">E$61*$C$72</f>
        <v>1049428.47660139</v>
      </c>
      <c r="F84" s="19" t="n">
        <f aca="false">F$61*$C$72</f>
        <v>1184057.08596084</v>
      </c>
      <c r="G84" s="20" t="n">
        <f aca="false">SUM(C84:F84)</f>
        <v>4620000</v>
      </c>
    </row>
    <row r="85" customFormat="false" ht="15" hidden="false" customHeight="false" outlineLevel="0" collapsed="false">
      <c r="B85" s="3" t="s">
        <v>169</v>
      </c>
      <c r="C85" s="19" t="n">
        <f aca="false">C$14*$C$73</f>
        <v>23000</v>
      </c>
      <c r="D85" s="19" t="n">
        <f aca="false">D$14*$C$73</f>
        <v>101857.142857143</v>
      </c>
      <c r="E85" s="19" t="n">
        <f aca="false">E$14*$C$73</f>
        <v>351571.428571429</v>
      </c>
      <c r="F85" s="19" t="n">
        <f aca="false">F$14*$C$73</f>
        <v>1133571.42857143</v>
      </c>
      <c r="G85" s="20" t="n">
        <f aca="false">SUM(C85:F85)</f>
        <v>1610000</v>
      </c>
    </row>
    <row r="86" customFormat="false" ht="15" hidden="false" customHeight="false" outlineLevel="0" collapsed="false">
      <c r="B86" s="3" t="s">
        <v>170</v>
      </c>
      <c r="C86" s="19" t="n">
        <f aca="false">C$15*$C$74</f>
        <v>94981.9927971188</v>
      </c>
      <c r="D86" s="19" t="n">
        <f aca="false">D$15*$C$74</f>
        <v>216806.722689076</v>
      </c>
      <c r="E86" s="19" t="n">
        <f aca="false">E$15*$C$74</f>
        <v>507947.178871549</v>
      </c>
      <c r="F86" s="19" t="n">
        <f aca="false">F$15*$C$74</f>
        <v>900264.105642257</v>
      </c>
      <c r="G86" s="20" t="n">
        <f aca="false">SUM(C86:F86)</f>
        <v>1720000</v>
      </c>
    </row>
    <row r="87" customFormat="false" ht="15" hidden="false" customHeight="false" outlineLevel="0" collapsed="false">
      <c r="B87" s="14" t="s">
        <v>171</v>
      </c>
      <c r="C87" s="20" t="n">
        <f aca="false">SUM(C$82:C$86)</f>
        <v>1816015.13809806</v>
      </c>
      <c r="D87" s="20" t="n">
        <f aca="false">SUM(D$82:D$86)</f>
        <v>2495083.24398698</v>
      </c>
      <c r="E87" s="20" t="n">
        <f aca="false">SUM(E$82:E$86)</f>
        <v>3580177.85327514</v>
      </c>
      <c r="F87" s="20" t="n">
        <f aca="false">SUM(F$82:F$86)</f>
        <v>5548723.76463981</v>
      </c>
      <c r="G87" s="20" t="n">
        <f aca="false">SUM(C87:F87)</f>
        <v>13440000</v>
      </c>
    </row>
    <row r="88" customFormat="false" ht="15" hidden="false" customHeight="false" outlineLevel="0" collapsed="false">
      <c r="B88" s="3" t="s">
        <v>172</v>
      </c>
      <c r="C88" s="23" t="n">
        <f aca="false">C$87/C$7</f>
        <v>0.981629804377332</v>
      </c>
      <c r="D88" s="23" t="n">
        <f aca="false">D$87/D$7</f>
        <v>3.89856756872966</v>
      </c>
      <c r="E88" s="23" t="n">
        <f aca="false">E$87/E$7</f>
        <v>30.3404902819927</v>
      </c>
      <c r="F88" s="23" t="n">
        <f aca="false">F$87/F$7</f>
        <v>284.549936648196</v>
      </c>
    </row>
    <row r="89" customFormat="false" ht="15" hidden="false" customHeight="false" outlineLevel="0" collapsed="false">
      <c r="B89" s="14" t="s">
        <v>173</v>
      </c>
      <c r="C89" s="24" t="n">
        <f aca="false">C$9+C$10*$C$29+C$88</f>
        <v>4.87362980437733</v>
      </c>
      <c r="D89" s="24" t="n">
        <f aca="false">D$9+D$10*$C$29+D$88</f>
        <v>13.9453675687297</v>
      </c>
      <c r="E89" s="24" t="n">
        <f aca="false">E$9+E$10*$C$29+E$88</f>
        <v>64.2194902819927</v>
      </c>
      <c r="F89" s="24" t="n">
        <f aca="false">F$9+F$10*$C$29+F$88</f>
        <v>436.905936648196</v>
      </c>
    </row>
    <row r="90" customFormat="false" ht="15" hidden="false" customHeight="false" outlineLevel="0" collapsed="false">
      <c r="B90" s="3" t="s">
        <v>174</v>
      </c>
      <c r="C90" s="19" t="n">
        <f aca="false">C$82*$E$20+C$83*$E$21+C$84*$E$22+C$85*$E$23+C$86*$E$24</f>
        <v>857361.227647886</v>
      </c>
      <c r="D90" s="19" t="n">
        <f aca="false">D$82*$E$20+D$83*$E$21+D$84*$E$22+D$85*$E$23+D$86*$E$24</f>
        <v>1373255.5578969</v>
      </c>
      <c r="E90" s="19" t="n">
        <f aca="false">E$82*$E$20+E$83*$E$21+E$84*$E$22+E$85*$E$23+E$86*$E$24</f>
        <v>2038692.23756494</v>
      </c>
      <c r="F90" s="19" t="n">
        <f aca="false">F$82*$E$20+F$83*$E$21+F$84*$E$22+F$85*$E$23+F$86*$E$24</f>
        <v>2913690.97689027</v>
      </c>
      <c r="G90" s="20" t="n">
        <f aca="false">SUM(C90:F90)</f>
        <v>7183000</v>
      </c>
    </row>
    <row r="91" customFormat="false" ht="15" hidden="false" customHeight="false" outlineLevel="0" collapsed="false">
      <c r="B91" s="3" t="s">
        <v>175</v>
      </c>
      <c r="C91" s="23" t="n">
        <f aca="false">C$90/C$7</f>
        <v>0.46343850143129</v>
      </c>
      <c r="D91" s="23" t="n">
        <f aca="false">D$90/D$7</f>
        <v>2.14571180921391</v>
      </c>
      <c r="E91" s="23" t="n">
        <f aca="false">E$90/E$7</f>
        <v>17.2770528607199</v>
      </c>
      <c r="F91" s="23" t="n">
        <f aca="false">F$90/F$7</f>
        <v>149.420050096937</v>
      </c>
    </row>
    <row r="92" customFormat="false" ht="15" hidden="false" customHeight="false" outlineLevel="0" collapsed="false">
      <c r="B92" s="14" t="s">
        <v>176</v>
      </c>
      <c r="C92" s="24" t="n">
        <f aca="false">C$9+C$10*$C$29+C$91</f>
        <v>4.35543850143129</v>
      </c>
      <c r="D92" s="24" t="n">
        <f aca="false">D$9+D$10*$C$29+D$91</f>
        <v>12.1925118092139</v>
      </c>
      <c r="E92" s="24" t="n">
        <f aca="false">E$9+E$10*$C$29+E$91</f>
        <v>51.1560528607199</v>
      </c>
      <c r="F92" s="24" t="n">
        <f aca="false">F$9+F$10*$C$29+F$91</f>
        <v>301.776050096937</v>
      </c>
    </row>
    <row r="93" customFormat="false" ht="15" hidden="false" customHeight="false" outlineLevel="0" collapsed="false">
      <c r="B93" s="3" t="s">
        <v>177</v>
      </c>
      <c r="C93" s="25" t="n">
        <f aca="false">C$90/C$87</f>
        <v>0.472111277963141</v>
      </c>
      <c r="D93" s="25" t="n">
        <f aca="false">D$90/D$87</f>
        <v>0.550384666005182</v>
      </c>
      <c r="E93" s="25" t="n">
        <f aca="false">E$90/E$87</f>
        <v>0.569438815923614</v>
      </c>
      <c r="F93" s="25" t="n">
        <f aca="false">F$90/F$87</f>
        <v>0.525110115493271</v>
      </c>
    </row>
    <row r="94" customFormat="false" ht="15" hidden="false" customHeight="false" outlineLevel="0" collapsed="false">
      <c r="B94" s="3" t="s">
        <v>178</v>
      </c>
      <c r="C94" s="19" t="n">
        <f aca="false">C$87-C$90</f>
        <v>958653.910450177</v>
      </c>
      <c r="D94" s="19" t="n">
        <f aca="false">D$87-D$90</f>
        <v>1121827.68609008</v>
      </c>
      <c r="E94" s="19" t="n">
        <f aca="false">E$87-E$90</f>
        <v>1541485.6157102</v>
      </c>
      <c r="F94" s="19" t="n">
        <f aca="false">F$87-F$90</f>
        <v>2635032.78774955</v>
      </c>
      <c r="G94" s="20" t="n">
        <f aca="false">SUM(C94:F94)</f>
        <v>6257000</v>
      </c>
    </row>
    <row r="95" customFormat="false" ht="15" hidden="false" customHeight="false" outlineLevel="0" collapsed="false">
      <c r="B95" s="4" t="s">
        <v>179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O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21"/>
    <col collapsed="false" customWidth="true" hidden="false" outlineLevel="0" max="3" min="3" style="0" width="11"/>
    <col collapsed="false" customWidth="true" hidden="false" outlineLevel="0" max="4" min="4" style="0" width="13"/>
    <col collapsed="false" customWidth="true" hidden="false" outlineLevel="0" max="5" min="5" style="0" width="14"/>
    <col collapsed="false" customWidth="true" hidden="false" outlineLevel="0" max="6" min="6" style="0" width="12"/>
    <col collapsed="false" customWidth="true" hidden="false" outlineLevel="0" max="7" min="7" style="0" width="14"/>
    <col collapsed="false" customWidth="true" hidden="false" outlineLevel="0" max="8" min="8" style="0" width="13"/>
    <col collapsed="false" customWidth="true" hidden="false" outlineLevel="0" max="9" min="9" style="0" width="14"/>
    <col collapsed="false" customWidth="true" hidden="false" outlineLevel="0" max="10" min="10" style="0" width="13"/>
    <col collapsed="false" customWidth="true" hidden="false" outlineLevel="0" max="13" min="11" style="0" width="14"/>
    <col collapsed="false" customWidth="true" hidden="false" outlineLevel="0" max="15" min="14" style="0" width="16"/>
  </cols>
  <sheetData>
    <row r="2" customFormat="false" ht="17.35" hidden="false" customHeight="false" outlineLevel="0" collapsed="false">
      <c r="B2" s="1" t="s">
        <v>180</v>
      </c>
    </row>
    <row r="3" customFormat="false" ht="15" hidden="false" customHeight="false" outlineLevel="0" collapsed="false">
      <c r="B3" s="3" t="s">
        <v>181</v>
      </c>
    </row>
    <row r="5" customFormat="false" ht="15" hidden="false" customHeight="false" outlineLevel="0" collapsed="false">
      <c r="B5" s="5" t="s">
        <v>182</v>
      </c>
      <c r="C5" s="6"/>
      <c r="D5" s="6"/>
      <c r="E5" s="6"/>
      <c r="F5" s="6"/>
      <c r="G5" s="6"/>
      <c r="H5" s="6"/>
      <c r="I5" s="6"/>
      <c r="J5" s="6"/>
      <c r="K5" s="6"/>
      <c r="L5" s="6"/>
      <c r="M5" s="6"/>
      <c r="N5" s="6"/>
      <c r="O5" s="6"/>
    </row>
    <row r="6" customFormat="false" ht="15" hidden="false" customHeight="false" outlineLevel="0" collapsed="false">
      <c r="B6" s="4" t="s">
        <v>183</v>
      </c>
    </row>
    <row r="7" customFormat="false" ht="15" hidden="false" customHeight="false" outlineLevel="0" collapsed="false">
      <c r="B7" s="4" t="s">
        <v>184</v>
      </c>
    </row>
    <row r="8" customFormat="false" ht="15" hidden="false" customHeight="false" outlineLevel="0" collapsed="false">
      <c r="B8" s="4" t="s">
        <v>185</v>
      </c>
    </row>
    <row r="10" customFormat="false" ht="46.25" hidden="false" customHeight="false" outlineLevel="0" collapsed="false">
      <c r="B10" s="7" t="s">
        <v>186</v>
      </c>
      <c r="C10" s="7" t="s">
        <v>187</v>
      </c>
      <c r="D10" s="7" t="s">
        <v>188</v>
      </c>
      <c r="E10" s="7" t="s">
        <v>189</v>
      </c>
      <c r="F10" s="7" t="s">
        <v>190</v>
      </c>
      <c r="G10" s="7" t="s">
        <v>191</v>
      </c>
      <c r="H10" s="7" t="s">
        <v>192</v>
      </c>
      <c r="I10" s="7" t="s">
        <v>193</v>
      </c>
      <c r="J10" s="7" t="s">
        <v>194</v>
      </c>
      <c r="K10" s="7" t="s">
        <v>195</v>
      </c>
      <c r="L10" s="7" t="s">
        <v>196</v>
      </c>
      <c r="M10" s="7" t="s">
        <v>197</v>
      </c>
      <c r="N10" s="7" t="s">
        <v>198</v>
      </c>
      <c r="O10" s="7" t="s">
        <v>199</v>
      </c>
    </row>
    <row r="11" customFormat="false" ht="15" hidden="false" customHeight="false" outlineLevel="0" collapsed="false">
      <c r="B11" s="3" t="s">
        <v>68</v>
      </c>
      <c r="C11" s="26" t="n">
        <f aca="false">Inputs!$C$12/Inputs!$C$13</f>
        <v>0.673913043478261</v>
      </c>
      <c r="D11" s="23" t="n">
        <f aca="false">Inputs!$C$70*C11+Inputs!$C$71</f>
        <v>978.00391549066</v>
      </c>
      <c r="E11" s="23" t="n">
        <f aca="false">Inputs!$C$70*Inputs!$E$20*C11+Inputs!$C$71*Inputs!$E$21</f>
        <v>805.907088669549</v>
      </c>
      <c r="F11" s="27" t="n">
        <f aca="false">Inputs!$C$7/Inputs!$C$13</f>
        <v>4021.73913043478</v>
      </c>
      <c r="G11" s="23" t="n">
        <f aca="false">Inputs!$C$89-(Inputs!$C$82+Inputs!$C$83)/Inputs!$C$7</f>
        <v>4.63045045241749</v>
      </c>
      <c r="H11" s="23" t="n">
        <f aca="false">Inputs!$C$8-G11</f>
        <v>4.56954954758251</v>
      </c>
      <c r="I11" s="23" t="n">
        <f aca="false">Inputs!$C$92-(Inputs!$C$82*Inputs!$E$20+Inputs!$C$83*Inputs!$E$21)/Inputs!$C$7</f>
        <v>4.15505079289724</v>
      </c>
      <c r="J11" s="23" t="n">
        <f aca="false">Inputs!$C$8-I11</f>
        <v>5.04494920710276</v>
      </c>
      <c r="K11" s="28" t="n">
        <f aca="false">D11/H11</f>
        <v>214.026329139612</v>
      </c>
      <c r="L11" s="28" t="n">
        <f aca="false">E11/J11</f>
        <v>159.74533252682</v>
      </c>
      <c r="M11" s="19" t="n">
        <f aca="false">H11*F11-D11</f>
        <v>17399.5323084825</v>
      </c>
      <c r="N11" s="3" t="str">
        <f aca="false">IF(F11&gt;=K11,"the order pattern clears it","BELOW break-even")</f>
        <v>the order pattern clears it</v>
      </c>
      <c r="O11" s="3" t="str">
        <f aca="false">IF(F11&gt;=L11,"the order pattern clears it","BELOW break-even")</f>
        <v>the order pattern clears it</v>
      </c>
    </row>
    <row r="12" customFormat="false" ht="15" hidden="false" customHeight="false" outlineLevel="0" collapsed="false">
      <c r="B12" s="3" t="s">
        <v>69</v>
      </c>
      <c r="C12" s="26" t="n">
        <f aca="false">Inputs!$D$12/Inputs!$D$13</f>
        <v>0.685714285714286</v>
      </c>
      <c r="D12" s="23" t="n">
        <f aca="false">Inputs!$C$70*C12+Inputs!$C$71</f>
        <v>988.625033503082</v>
      </c>
      <c r="E12" s="23" t="n">
        <f aca="false">Inputs!$C$70*Inputs!$E$20*C12+Inputs!$C$71*Inputs!$E$21</f>
        <v>815.466094880729</v>
      </c>
      <c r="F12" s="27" t="n">
        <f aca="false">Inputs!$D$7/Inputs!$D$13</f>
        <v>609.52380952381</v>
      </c>
      <c r="G12" s="23" t="n">
        <f aca="false">Inputs!$D$89-(Inputs!$D$82+Inputs!$D$83)/Inputs!$D$7</f>
        <v>12.3234046231387</v>
      </c>
      <c r="H12" s="23" t="n">
        <f aca="false">Inputs!$D$8-G12</f>
        <v>11.1765953768613</v>
      </c>
      <c r="I12" s="23" t="n">
        <f aca="false">Inputs!$D$92-(Inputs!$D$82*Inputs!$E$20+Inputs!$D$83*Inputs!$E$21)/Inputs!$D$7</f>
        <v>10.8546377473002</v>
      </c>
      <c r="J12" s="23" t="n">
        <f aca="false">Inputs!$D$8-I12</f>
        <v>12.6453622526998</v>
      </c>
      <c r="K12" s="28" t="n">
        <f aca="false">D12/H12</f>
        <v>88.4549364245405</v>
      </c>
      <c r="L12" s="28" t="n">
        <f aca="false">E12/J12</f>
        <v>64.4873652952589</v>
      </c>
      <c r="M12" s="19" t="n">
        <f aca="false">H12*F12-D12</f>
        <v>5823.77595810764</v>
      </c>
      <c r="N12" s="3" t="str">
        <f aca="false">IF(F12&gt;=K12,"the order pattern clears it","BELOW break-even")</f>
        <v>the order pattern clears it</v>
      </c>
      <c r="O12" s="3" t="str">
        <f aca="false">IF(F12&gt;=L12,"the order pattern clears it","BELOW break-even")</f>
        <v>the order pattern clears it</v>
      </c>
    </row>
    <row r="13" customFormat="false" ht="15" hidden="false" customHeight="false" outlineLevel="0" collapsed="false">
      <c r="B13" s="3" t="s">
        <v>70</v>
      </c>
      <c r="C13" s="26" t="n">
        <f aca="false">Inputs!$E$12/Inputs!$E$13</f>
        <v>0.719512195121951</v>
      </c>
      <c r="D13" s="23" t="n">
        <f aca="false">Inputs!$C$70*C13+Inputs!$C$71</f>
        <v>1019.04315196998</v>
      </c>
      <c r="E13" s="23" t="n">
        <f aca="false">Inputs!$C$70*Inputs!$E$20*C13+Inputs!$C$71*Inputs!$E$21</f>
        <v>842.842401500938</v>
      </c>
      <c r="F13" s="27" t="n">
        <f aca="false">Inputs!$E$7/Inputs!$E$13</f>
        <v>71.9512195121951</v>
      </c>
      <c r="G13" s="23" t="n">
        <f aca="false">Inputs!$E$89-(Inputs!$E$82+Inputs!$E$83)/Inputs!$E$7</f>
        <v>50.056517661393</v>
      </c>
      <c r="H13" s="23" t="n">
        <f aca="false">Inputs!$E$8-G13</f>
        <v>27.943482338607</v>
      </c>
      <c r="I13" s="23" t="n">
        <f aca="false">Inputs!$E$92-(Inputs!$E$82*Inputs!$E$20+Inputs!$E$83*Inputs!$E$21)/Inputs!$E$7</f>
        <v>39.4419720263</v>
      </c>
      <c r="J13" s="23" t="n">
        <f aca="false">Inputs!$E$8-I13</f>
        <v>38.5580279737</v>
      </c>
      <c r="K13" s="28" t="n">
        <f aca="false">D13/H13</f>
        <v>36.4680085188259</v>
      </c>
      <c r="L13" s="28" t="n">
        <f aca="false">E13/J13</f>
        <v>21.8590640080409</v>
      </c>
      <c r="M13" s="19" t="n">
        <f aca="false">H13*F13-D13</f>
        <v>991.524479710281</v>
      </c>
      <c r="N13" s="3" t="str">
        <f aca="false">IF(F13&gt;=K13,"the order pattern clears it","BELOW break-even")</f>
        <v>the order pattern clears it</v>
      </c>
      <c r="O13" s="3" t="str">
        <f aca="false">IF(F13&gt;=L13,"the order pattern clears it","BELOW break-even")</f>
        <v>the order pattern clears it</v>
      </c>
    </row>
    <row r="14" customFormat="false" ht="15" hidden="false" customHeight="false" outlineLevel="0" collapsed="false">
      <c r="B14" s="3" t="s">
        <v>71</v>
      </c>
      <c r="C14" s="26" t="n">
        <f aca="false">Inputs!$F$12/Inputs!$F$13</f>
        <v>0.775229357798165</v>
      </c>
      <c r="D14" s="23" t="n">
        <f aca="false">Inputs!$C$70*C14+Inputs!$C$71</f>
        <v>1069.18859837857</v>
      </c>
      <c r="E14" s="23" t="n">
        <f aca="false">Inputs!$C$70*Inputs!$E$20*C14+Inputs!$C$71*Inputs!$E$21</f>
        <v>887.973303268671</v>
      </c>
      <c r="F14" s="27" t="n">
        <f aca="false">Inputs!$F$7/Inputs!$F$13</f>
        <v>8.94495412844037</v>
      </c>
      <c r="G14" s="23" t="n">
        <f aca="false">Inputs!$F$89-(Inputs!$F$82+Inputs!$F$83)/Inputs!$F$7</f>
        <v>317.376134367924</v>
      </c>
      <c r="H14" s="23" t="n">
        <f aca="false">Inputs!$F$8-G14</f>
        <v>30.6238656320758</v>
      </c>
      <c r="I14" s="23" t="n">
        <f aca="false">Inputs!$F$92-(Inputs!$F$82*Inputs!$E$20+Inputs!$F$83*Inputs!$E$21)/Inputs!$F$7</f>
        <v>202.505188500747</v>
      </c>
      <c r="J14" s="23" t="n">
        <f aca="false">Inputs!$F$8-I14</f>
        <v>145.494811499253</v>
      </c>
      <c r="K14" s="28" t="n">
        <f aca="false">D14/H14</f>
        <v>34.9135739825966</v>
      </c>
      <c r="L14" s="28" t="n">
        <f aca="false">E14/J14</f>
        <v>6.10312693709514</v>
      </c>
      <c r="M14" s="19" t="n">
        <f aca="false">H14*F14-D14</f>
        <v>-795.259525064135</v>
      </c>
      <c r="N14" s="3" t="str">
        <f aca="false">IF(F14&gt;=K14,"the order pattern clears it","BELOW break-even")</f>
        <v>BELOW break-even</v>
      </c>
      <c r="O14" s="3" t="str">
        <f aca="false">IF(F14&gt;=L14,"the order pattern clears it","BELOW break-even")</f>
        <v>the order pattern clears it</v>
      </c>
    </row>
    <row r="16" customFormat="false" ht="15" hidden="false" customHeight="false" outlineLevel="0" collapsed="false">
      <c r="B16" s="4" t="s">
        <v>200</v>
      </c>
    </row>
    <row r="18" customFormat="false" ht="15" hidden="false" customHeight="false" outlineLevel="0" collapsed="false">
      <c r="B18" s="5" t="s">
        <v>201</v>
      </c>
      <c r="C18" s="6"/>
      <c r="D18" s="6"/>
      <c r="E18" s="6"/>
      <c r="F18" s="6"/>
      <c r="G18" s="6"/>
      <c r="H18" s="6"/>
      <c r="I18" s="6"/>
      <c r="J18" s="6"/>
      <c r="K18" s="6"/>
      <c r="L18" s="6"/>
      <c r="M18" s="6"/>
      <c r="N18" s="6"/>
      <c r="O18" s="6"/>
    </row>
    <row r="19" customFormat="false" ht="15" hidden="false" customHeight="false" outlineLevel="0" collapsed="false">
      <c r="B19" s="4" t="s">
        <v>202</v>
      </c>
    </row>
    <row r="21" customFormat="false" ht="15" hidden="false" customHeight="false" outlineLevel="0" collapsed="false">
      <c r="B21" s="3" t="s">
        <v>203</v>
      </c>
      <c r="C21" s="23" t="n">
        <f aca="false">G14</f>
        <v>317.376134367924</v>
      </c>
    </row>
    <row r="22" customFormat="false" ht="15" hidden="false" customHeight="false" outlineLevel="0" collapsed="false">
      <c r="B22" s="3" t="s">
        <v>204</v>
      </c>
      <c r="C22" s="23" t="n">
        <f aca="false">H14</f>
        <v>30.6238656320758</v>
      </c>
    </row>
    <row r="23" customFormat="false" ht="15" hidden="false" customHeight="false" outlineLevel="0" collapsed="false">
      <c r="B23" s="3" t="s">
        <v>205</v>
      </c>
      <c r="C23" s="23" t="n">
        <f aca="false">D14</f>
        <v>1069.18859837857</v>
      </c>
    </row>
    <row r="24" customFormat="false" ht="15" hidden="false" customHeight="false" outlineLevel="0" collapsed="false">
      <c r="B24" s="3" t="s">
        <v>206</v>
      </c>
      <c r="C24" s="23" t="n">
        <f aca="false">E14</f>
        <v>887.973303268671</v>
      </c>
    </row>
    <row r="26" customFormat="false" ht="35.05" hidden="false" customHeight="false" outlineLevel="0" collapsed="false">
      <c r="B26" s="7" t="s">
        <v>207</v>
      </c>
      <c r="C26" s="7" t="s">
        <v>208</v>
      </c>
      <c r="D26" s="7" t="s">
        <v>209</v>
      </c>
      <c r="E26" s="7" t="s">
        <v>210</v>
      </c>
      <c r="F26" s="7" t="s">
        <v>211</v>
      </c>
      <c r="G26" s="7" t="s">
        <v>212</v>
      </c>
      <c r="H26" s="7" t="s">
        <v>213</v>
      </c>
    </row>
    <row r="27" customFormat="false" ht="15" hidden="false" customHeight="false" outlineLevel="0" collapsed="false">
      <c r="B27" s="8" t="n">
        <v>25</v>
      </c>
      <c r="C27" s="23" t="n">
        <f aca="false">$C$21+$C$23/B27</f>
        <v>360.143678303067</v>
      </c>
      <c r="D27" s="23" t="n">
        <f aca="false">Inputs!$F$8-C27</f>
        <v>-12.1436783030672</v>
      </c>
      <c r="E27" s="25" t="n">
        <f aca="false">D27/Inputs!$F$8</f>
        <v>-0.0348956273076643</v>
      </c>
      <c r="F27" s="19" t="n">
        <f aca="false">D27*B27</f>
        <v>-303.59195757668</v>
      </c>
      <c r="G27" s="23" t="n">
        <f aca="false">$I$14+$C$24/B27</f>
        <v>238.024120631494</v>
      </c>
      <c r="H27" s="19" t="n">
        <f aca="false">(Inputs!$F$8-G27)*B27</f>
        <v>2749.39698421266</v>
      </c>
    </row>
    <row r="28" customFormat="false" ht="15" hidden="false" customHeight="false" outlineLevel="0" collapsed="false">
      <c r="B28" s="8" t="n">
        <v>50</v>
      </c>
      <c r="C28" s="23" t="n">
        <f aca="false">$C$21+$C$23/B28</f>
        <v>338.759906335496</v>
      </c>
      <c r="D28" s="23" t="n">
        <f aca="false">Inputs!$F$8-C28</f>
        <v>9.24009366450429</v>
      </c>
      <c r="E28" s="25" t="n">
        <f aca="false">D28/Inputs!$F$8</f>
        <v>0.0265519932888054</v>
      </c>
      <c r="F28" s="19" t="n">
        <f aca="false">D28*B28</f>
        <v>462.004683225214</v>
      </c>
      <c r="G28" s="23" t="n">
        <f aca="false">$I$14+$C$24/B28</f>
        <v>220.26465456612</v>
      </c>
      <c r="H28" s="19" t="n">
        <f aca="false">(Inputs!$F$8-G28)*B28</f>
        <v>6386.76727169399</v>
      </c>
    </row>
    <row r="29" customFormat="false" ht="15" hidden="false" customHeight="false" outlineLevel="0" collapsed="false">
      <c r="B29" s="8" t="n">
        <v>100</v>
      </c>
      <c r="C29" s="23" t="n">
        <f aca="false">$C$21+$C$23/B29</f>
        <v>328.06802035171</v>
      </c>
      <c r="D29" s="23" t="n">
        <f aca="false">Inputs!$F$8-C29</f>
        <v>19.9319796482901</v>
      </c>
      <c r="E29" s="25" t="n">
        <f aca="false">D29/Inputs!$F$8</f>
        <v>0.0572758035870404</v>
      </c>
      <c r="F29" s="19" t="n">
        <f aca="false">D29*B29</f>
        <v>1993.19796482901</v>
      </c>
      <c r="G29" s="23" t="n">
        <f aca="false">$I$14+$C$24/B29</f>
        <v>211.384921533434</v>
      </c>
      <c r="H29" s="19" t="n">
        <f aca="false">(Inputs!$F$8-G29)*B29</f>
        <v>13661.5078466566</v>
      </c>
    </row>
    <row r="30" customFormat="false" ht="15" hidden="false" customHeight="false" outlineLevel="0" collapsed="false">
      <c r="B30" s="8" t="n">
        <v>250</v>
      </c>
      <c r="C30" s="23" t="n">
        <f aca="false">$C$21+$C$23/B30</f>
        <v>321.652888761439</v>
      </c>
      <c r="D30" s="23" t="n">
        <f aca="false">Inputs!$F$8-C30</f>
        <v>26.3471112385615</v>
      </c>
      <c r="E30" s="25" t="n">
        <f aca="false">D30/Inputs!$F$8</f>
        <v>0.0757100897659812</v>
      </c>
      <c r="F30" s="19" t="n">
        <f aca="false">D30*B30</f>
        <v>6586.77780964037</v>
      </c>
      <c r="G30" s="23" t="n">
        <f aca="false">$I$14+$C$24/B30</f>
        <v>206.057081713822</v>
      </c>
      <c r="H30" s="19" t="n">
        <f aca="false">(Inputs!$F$8-G30)*B30</f>
        <v>35485.7295715446</v>
      </c>
    </row>
    <row r="31" customFormat="false" ht="15" hidden="false" customHeight="false" outlineLevel="0" collapsed="false">
      <c r="B31" s="8" t="n">
        <v>500</v>
      </c>
      <c r="C31" s="23" t="n">
        <f aca="false">$C$21+$C$23/B31</f>
        <v>319.514511564681</v>
      </c>
      <c r="D31" s="23" t="n">
        <f aca="false">Inputs!$F$8-C31</f>
        <v>28.4854884353186</v>
      </c>
      <c r="E31" s="25" t="n">
        <f aca="false">D31/Inputs!$F$8</f>
        <v>0.0818548518256283</v>
      </c>
      <c r="F31" s="19" t="n">
        <f aca="false">D31*B31</f>
        <v>14242.7442176593</v>
      </c>
      <c r="G31" s="23" t="n">
        <f aca="false">$I$14+$C$24/B31</f>
        <v>204.281135107284</v>
      </c>
      <c r="H31" s="19" t="n">
        <f aca="false">(Inputs!$F$8-G31)*B31</f>
        <v>71859.4324463579</v>
      </c>
    </row>
    <row r="32" customFormat="false" ht="15" hidden="false" customHeight="false" outlineLevel="0" collapsed="false">
      <c r="B32" s="8" t="n">
        <v>1000</v>
      </c>
      <c r="C32" s="23" t="n">
        <f aca="false">$C$21+$C$23/B32</f>
        <v>318.445322966303</v>
      </c>
      <c r="D32" s="23" t="n">
        <f aca="false">Inputs!$F$8-C32</f>
        <v>29.5546770336972</v>
      </c>
      <c r="E32" s="25" t="n">
        <f aca="false">D32/Inputs!$F$8</f>
        <v>0.0849272328554517</v>
      </c>
      <c r="F32" s="19" t="n">
        <f aca="false">D32*B32</f>
        <v>29554.6770336972</v>
      </c>
      <c r="G32" s="23" t="n">
        <f aca="false">$I$14+$C$24/B32</f>
        <v>203.393161804016</v>
      </c>
      <c r="H32" s="19" t="n">
        <f aca="false">(Inputs!$F$8-G32)*B32</f>
        <v>144606.838195984</v>
      </c>
    </row>
    <row r="33" customFormat="false" ht="15" hidden="false" customHeight="false" outlineLevel="0" collapsed="false">
      <c r="B33" s="8" t="n">
        <v>2500</v>
      </c>
      <c r="C33" s="23" t="n">
        <f aca="false">$C$21+$C$23/B33</f>
        <v>317.803809807276</v>
      </c>
      <c r="D33" s="23" t="n">
        <f aca="false">Inputs!$F$8-C33</f>
        <v>30.1961901927243</v>
      </c>
      <c r="E33" s="25" t="n">
        <f aca="false">D33/Inputs!$F$8</f>
        <v>0.0867706614733457</v>
      </c>
      <c r="F33" s="19" t="n">
        <f aca="false">D33*B33</f>
        <v>75490.4754818108</v>
      </c>
      <c r="G33" s="23" t="n">
        <f aca="false">$I$14+$C$24/B33</f>
        <v>202.860377822054</v>
      </c>
      <c r="H33" s="19" t="n">
        <f aca="false">(Inputs!$F$8-G33)*B33</f>
        <v>362849.055444864</v>
      </c>
    </row>
    <row r="35" customFormat="false" ht="15" hidden="false" customHeight="false" outlineLevel="0" collapsed="false">
      <c r="B35" s="4" t="s">
        <v>214</v>
      </c>
    </row>
    <row r="37" customFormat="false" ht="15" hidden="false" customHeight="false" outlineLevel="0" collapsed="false">
      <c r="B37" s="5" t="s">
        <v>215</v>
      </c>
    </row>
    <row r="38" customFormat="false" ht="15" hidden="false" customHeight="false" outlineLevel="0" collapsed="false">
      <c r="B38" s="3" t="s">
        <v>216</v>
      </c>
      <c r="C38" s="26" t="n">
        <f aca="false">F14</f>
        <v>8.94495412844037</v>
      </c>
    </row>
    <row r="39" customFormat="false" ht="15" hidden="false" customHeight="false" outlineLevel="0" collapsed="false">
      <c r="B39" s="3" t="s">
        <v>217</v>
      </c>
      <c r="C39" s="23" t="n">
        <f aca="false">H14*F14</f>
        <v>273.929073314439</v>
      </c>
    </row>
    <row r="40" customFormat="false" ht="15" hidden="false" customHeight="false" outlineLevel="0" collapsed="false">
      <c r="B40" s="3" t="s">
        <v>218</v>
      </c>
      <c r="C40" s="23" t="n">
        <f aca="false">D14-H14*F14</f>
        <v>795.259525064135</v>
      </c>
    </row>
    <row r="41" customFormat="false" ht="15" hidden="false" customHeight="false" outlineLevel="0" collapsed="false">
      <c r="B41" s="3" t="s">
        <v>219</v>
      </c>
      <c r="C41" s="23" t="n">
        <f aca="false">J14*F14</f>
        <v>1301.4444147869</v>
      </c>
    </row>
    <row r="42" customFormat="false" ht="15" hidden="false" customHeight="false" outlineLevel="0" collapsed="false">
      <c r="B42" s="3" t="s">
        <v>220</v>
      </c>
      <c r="C42" s="23" t="n">
        <f aca="false">J14*F14-E14</f>
        <v>413.471111518226</v>
      </c>
    </row>
    <row r="43" customFormat="false" ht="15" hidden="false" customHeight="false" outlineLevel="0" collapsed="false">
      <c r="B43" s="4" t="s">
        <v>221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M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21"/>
    <col collapsed="false" customWidth="true" hidden="false" outlineLevel="0" max="4" min="3" style="0" width="12"/>
    <col collapsed="false" customWidth="true" hidden="false" outlineLevel="0" max="5" min="5" style="0" width="13"/>
    <col collapsed="false" customWidth="true" hidden="false" outlineLevel="0" max="6" min="6" style="0" width="12"/>
    <col collapsed="false" customWidth="true" hidden="false" outlineLevel="0" max="10" min="7" style="0" width="13"/>
    <col collapsed="false" customWidth="true" hidden="false" outlineLevel="0" max="12" min="11" style="0" width="15"/>
    <col collapsed="false" customWidth="true" hidden="false" outlineLevel="0" max="13" min="13" style="0" width="14"/>
    <col collapsed="false" customWidth="true" hidden="false" outlineLevel="0" max="14" min="14" style="0" width="2"/>
    <col collapsed="false" customWidth="true" hidden="false" outlineLevel="0" max="15" min="15" style="0" width="74"/>
  </cols>
  <sheetData>
    <row r="2" customFormat="false" ht="17.35" hidden="false" customHeight="false" outlineLevel="0" collapsed="false">
      <c r="B2" s="1" t="s">
        <v>222</v>
      </c>
    </row>
    <row r="3" customFormat="false" ht="15" hidden="false" customHeight="false" outlineLevel="0" collapsed="false">
      <c r="B3" s="3" t="s">
        <v>223</v>
      </c>
    </row>
    <row r="5" customFormat="false" ht="15" hidden="false" customHeight="false" outlineLevel="0" collapsed="false">
      <c r="B5" s="5" t="s">
        <v>224</v>
      </c>
      <c r="C5" s="6"/>
      <c r="D5" s="6"/>
      <c r="E5" s="6"/>
      <c r="F5" s="6"/>
      <c r="G5" s="6"/>
      <c r="H5" s="6"/>
      <c r="I5" s="6"/>
      <c r="J5" s="6"/>
      <c r="K5" s="6"/>
      <c r="L5" s="6"/>
      <c r="M5" s="6"/>
    </row>
    <row r="6" customFormat="false" ht="15" hidden="false" customHeight="false" outlineLevel="0" collapsed="false">
      <c r="B6" s="4" t="s">
        <v>225</v>
      </c>
    </row>
    <row r="7" customFormat="false" ht="15" hidden="false" customHeight="false" outlineLevel="0" collapsed="false">
      <c r="B7" s="4" t="s">
        <v>226</v>
      </c>
    </row>
    <row r="8" customFormat="false" ht="15" hidden="false" customHeight="false" outlineLevel="0" collapsed="false">
      <c r="B8" s="4" t="s">
        <v>227</v>
      </c>
    </row>
    <row r="10" customFormat="false" ht="35.05" hidden="false" customHeight="false" outlineLevel="0" collapsed="false">
      <c r="B10" s="7" t="s">
        <v>186</v>
      </c>
      <c r="C10" s="7" t="s">
        <v>228</v>
      </c>
      <c r="D10" s="7" t="s">
        <v>229</v>
      </c>
      <c r="E10" s="7" t="s">
        <v>230</v>
      </c>
      <c r="F10" s="7" t="s">
        <v>231</v>
      </c>
      <c r="G10" s="7" t="s">
        <v>232</v>
      </c>
      <c r="H10" s="7" t="s">
        <v>233</v>
      </c>
      <c r="I10" s="7" t="s">
        <v>234</v>
      </c>
      <c r="J10" s="7" t="s">
        <v>235</v>
      </c>
      <c r="K10" s="7" t="s">
        <v>236</v>
      </c>
      <c r="L10" s="7" t="s">
        <v>237</v>
      </c>
      <c r="M10" s="7" t="s">
        <v>238</v>
      </c>
    </row>
    <row r="11" customFormat="false" ht="15" hidden="false" customHeight="false" outlineLevel="0" collapsed="false">
      <c r="B11" s="3" t="s">
        <v>68</v>
      </c>
      <c r="C11" s="23" t="n">
        <f aca="false">Inputs!$C$16</f>
        <v>5.9</v>
      </c>
      <c r="D11" s="23" t="n">
        <f aca="false">Inputs!$C$81</f>
        <v>6.52832797175363</v>
      </c>
      <c r="E11" s="29" t="str">
        <f aca="false">IF(C11&lt;D11,"buy","make")</f>
        <v>buy</v>
      </c>
      <c r="F11" s="23" t="n">
        <f aca="false">Inputs!$C$92</f>
        <v>4.35543850143129</v>
      </c>
      <c r="G11" s="30" t="str">
        <f aca="false">IF(C11&lt;F11,"buy","make")</f>
        <v>make</v>
      </c>
      <c r="H11" s="23" t="n">
        <f aca="false">Inputs!$C$89</f>
        <v>4.87362980437733</v>
      </c>
      <c r="I11" s="29" t="str">
        <f aca="false">IF(C11&lt;H11,"buy","make")</f>
        <v>make</v>
      </c>
      <c r="J11" s="25" t="n">
        <f aca="false">Inputs!$C$93</f>
        <v>0.472111277963141</v>
      </c>
      <c r="K11" s="20" t="n">
        <f aca="false">(F11-C11)*Inputs!$C$7</f>
        <v>-2857438.77235212</v>
      </c>
      <c r="L11" s="19" t="n">
        <f aca="false">Inputs!$C$94</f>
        <v>958653.910450177</v>
      </c>
      <c r="M11" s="29" t="str">
        <f aca="false">IF(E11=G11,"no","YES")</f>
        <v>YES</v>
      </c>
    </row>
    <row r="12" customFormat="false" ht="15" hidden="false" customHeight="false" outlineLevel="0" collapsed="false">
      <c r="B12" s="3" t="s">
        <v>70</v>
      </c>
      <c r="C12" s="23" t="n">
        <f aca="false">Inputs!$E$16</f>
        <v>51</v>
      </c>
      <c r="D12" s="23" t="n">
        <f aca="false">Inputs!$E$81</f>
        <v>54.5302357787368</v>
      </c>
      <c r="E12" s="29" t="str">
        <f aca="false">IF(C12&lt;D12,"buy","make")</f>
        <v>buy</v>
      </c>
      <c r="F12" s="23" t="n">
        <f aca="false">Inputs!$E$92</f>
        <v>51.1560528607199</v>
      </c>
      <c r="G12" s="30" t="str">
        <f aca="false">IF(C12&lt;F12,"buy","make")</f>
        <v>buy</v>
      </c>
      <c r="H12" s="23" t="n">
        <f aca="false">Inputs!$E$89</f>
        <v>64.2194902819927</v>
      </c>
      <c r="I12" s="29" t="str">
        <f aca="false">IF(C12&lt;H12,"buy","make")</f>
        <v>buy</v>
      </c>
      <c r="J12" s="25" t="n">
        <f aca="false">Inputs!$E$93</f>
        <v>0.569438815923614</v>
      </c>
      <c r="K12" s="20" t="n">
        <f aca="false">(F12-C12)*Inputs!$E$7</f>
        <v>18414.2375649436</v>
      </c>
      <c r="L12" s="19" t="n">
        <f aca="false">Inputs!$E$94</f>
        <v>1541485.6157102</v>
      </c>
      <c r="M12" s="29" t="str">
        <f aca="false">IF(E12=G12,"no","YES")</f>
        <v>no</v>
      </c>
    </row>
    <row r="13" customFormat="false" ht="15" hidden="false" customHeight="false" outlineLevel="0" collapsed="false">
      <c r="B13" s="3" t="s">
        <v>71</v>
      </c>
      <c r="C13" s="23" t="n">
        <f aca="false">Inputs!$F$16</f>
        <v>280</v>
      </c>
      <c r="D13" s="23" t="n">
        <f aca="false">Inputs!$F$81</f>
        <v>287.68750255002</v>
      </c>
      <c r="E13" s="29" t="str">
        <f aca="false">IF(C13&lt;D13,"buy","make")</f>
        <v>buy</v>
      </c>
      <c r="F13" s="23" t="n">
        <f aca="false">Inputs!$F$92</f>
        <v>301.776050096937</v>
      </c>
      <c r="G13" s="30" t="str">
        <f aca="false">IF(C13&lt;F13,"buy","make")</f>
        <v>buy</v>
      </c>
      <c r="H13" s="23" t="n">
        <f aca="false">Inputs!$F$89</f>
        <v>436.905936648196</v>
      </c>
      <c r="I13" s="29" t="str">
        <f aca="false">IF(C13&lt;H13,"buy","make")</f>
        <v>buy</v>
      </c>
      <c r="J13" s="25" t="n">
        <f aca="false">Inputs!$F$93</f>
        <v>0.525110115493271</v>
      </c>
      <c r="K13" s="20" t="n">
        <f aca="false">(F13-C13)*Inputs!$F$7</f>
        <v>424632.976890267</v>
      </c>
      <c r="L13" s="19" t="n">
        <f aca="false">Inputs!$F$94</f>
        <v>2635032.78774955</v>
      </c>
      <c r="M13" s="29" t="str">
        <f aca="false">IF(E13=G13,"no","YES")</f>
        <v>no</v>
      </c>
    </row>
    <row r="15" customFormat="false" ht="15" hidden="false" customHeight="false" outlineLevel="0" collapsed="false">
      <c r="B15" s="4" t="s">
        <v>239</v>
      </c>
    </row>
    <row r="16" customFormat="false" ht="15" hidden="false" customHeight="false" outlineLevel="0" collapsed="false">
      <c r="B16" s="4" t="s">
        <v>240</v>
      </c>
    </row>
    <row r="17" customFormat="false" ht="15" hidden="false" customHeight="false" outlineLevel="0" collapsed="false">
      <c r="B17" s="4" t="s">
        <v>241</v>
      </c>
    </row>
    <row r="19" customFormat="false" ht="15" hidden="false" customHeight="false" outlineLevel="0" collapsed="false">
      <c r="B19" s="5" t="s">
        <v>242</v>
      </c>
      <c r="C19" s="6"/>
      <c r="D19" s="6"/>
      <c r="E19" s="6"/>
      <c r="F19" s="6"/>
      <c r="G19" s="6"/>
      <c r="H19" s="6"/>
      <c r="I19" s="6"/>
      <c r="J19" s="6"/>
      <c r="K19" s="6"/>
      <c r="L19" s="6"/>
      <c r="M19" s="6"/>
    </row>
    <row r="20" customFormat="false" ht="15" hidden="false" customHeight="false" outlineLevel="0" collapsed="false">
      <c r="B20" s="4" t="s">
        <v>243</v>
      </c>
    </row>
    <row r="21" customFormat="false" ht="15" hidden="false" customHeight="false" outlineLevel="0" collapsed="false">
      <c r="B21" s="3" t="s">
        <v>244</v>
      </c>
      <c r="C21" s="19" t="n">
        <f aca="false">Inputs!$C$25</f>
        <v>13440000</v>
      </c>
    </row>
    <row r="22" customFormat="false" ht="15" hidden="false" customHeight="false" outlineLevel="0" collapsed="false">
      <c r="B22" s="3" t="s">
        <v>245</v>
      </c>
      <c r="C22" s="19" t="n">
        <f aca="false">Inputs!$C$90+Inputs!$E$90+Inputs!$F$90</f>
        <v>5809744.4421031</v>
      </c>
    </row>
    <row r="23" customFormat="false" ht="15" hidden="false" customHeight="false" outlineLevel="0" collapsed="false">
      <c r="B23" s="31" t="s">
        <v>246</v>
      </c>
      <c r="C23" s="32" t="n">
        <f aca="false">C21-C22</f>
        <v>7630255.5578969</v>
      </c>
    </row>
    <row r="24" customFormat="false" ht="15" hidden="false" customHeight="false" outlineLevel="0" collapsed="false">
      <c r="B24" s="3" t="s">
        <v>247</v>
      </c>
      <c r="C24" s="19" t="n">
        <f aca="false">Inputs!$D$60</f>
        <v>39680</v>
      </c>
    </row>
    <row r="25" customFormat="false" ht="15" hidden="false" customHeight="false" outlineLevel="0" collapsed="false">
      <c r="B25" s="31" t="s">
        <v>248</v>
      </c>
      <c r="C25" s="33" t="n">
        <f aca="false">C23/C24</f>
        <v>192.294746922805</v>
      </c>
    </row>
    <row r="26" customFormat="false" ht="15" hidden="false" customHeight="false" outlineLevel="0" collapsed="false">
      <c r="B26" s="3" t="s">
        <v>249</v>
      </c>
      <c r="C26" s="23" t="n">
        <f aca="false">Inputs!$C$75</f>
        <v>87.8775990584543</v>
      </c>
    </row>
    <row r="27" customFormat="false" ht="15" hidden="false" customHeight="false" outlineLevel="0" collapsed="false">
      <c r="B27" s="31" t="s">
        <v>250</v>
      </c>
      <c r="C27" s="33" t="n">
        <f aca="false">C25/C26</f>
        <v>2.18821120493853</v>
      </c>
    </row>
    <row r="29" customFormat="false" ht="35.05" hidden="false" customHeight="false" outlineLevel="0" collapsed="false">
      <c r="B29" s="7" t="s">
        <v>251</v>
      </c>
      <c r="C29" s="7" t="s">
        <v>208</v>
      </c>
      <c r="D29" s="7" t="s">
        <v>252</v>
      </c>
      <c r="E29" s="7" t="s">
        <v>209</v>
      </c>
      <c r="F29" s="7" t="s">
        <v>210</v>
      </c>
      <c r="G29" s="7" t="s">
        <v>253</v>
      </c>
      <c r="H29" s="7" t="s">
        <v>254</v>
      </c>
    </row>
    <row r="30" customFormat="false" ht="15" hidden="false" customHeight="false" outlineLevel="0" collapsed="false">
      <c r="B30" s="3" t="s">
        <v>69</v>
      </c>
      <c r="C30" s="24" t="n">
        <f aca="false">Inputs!$D$9+Inputs!$D$10*Inputs!$C$29+Inputs!$D$10*$C$25</f>
        <v>21.9690743092139</v>
      </c>
      <c r="D30" s="23" t="n">
        <f aca="false">Inputs!$D$8</f>
        <v>23.5</v>
      </c>
      <c r="E30" s="23" t="n">
        <f aca="false">D30-C30</f>
        <v>1.53092569078609</v>
      </c>
      <c r="F30" s="34" t="n">
        <f aca="false">E30/D30</f>
        <v>0.0651457740760039</v>
      </c>
      <c r="G30" s="25" t="n">
        <f aca="false">(Inputs!$D$8-Inputs!$D$89)/Inputs!$D$8</f>
        <v>0.406580103458312</v>
      </c>
      <c r="H30" s="25" t="n">
        <f aca="false">(Inputs!$D$8-Inputs!$D$81)/Inputs!$D$8</f>
        <v>0.340629313122376</v>
      </c>
    </row>
    <row r="32" customFormat="false" ht="15" hidden="false" customHeight="false" outlineLevel="0" collapsed="false">
      <c r="B32" s="4" t="s">
        <v>255</v>
      </c>
    </row>
    <row r="33" customFormat="false" ht="15" hidden="false" customHeight="false" outlineLevel="0" collapsed="false">
      <c r="B33" s="4" t="s">
        <v>256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5" min="3" style="0" width="16"/>
    <col collapsed="false" customWidth="true" hidden="false" outlineLevel="0" max="6" min="6" style="0" width="2"/>
    <col collapsed="false" customWidth="true" hidden="false" outlineLevel="0" max="7" min="7" style="0" width="84"/>
  </cols>
  <sheetData>
    <row r="2" customFormat="false" ht="17.35" hidden="false" customHeight="false" outlineLevel="0" collapsed="false">
      <c r="B2" s="1" t="s">
        <v>257</v>
      </c>
    </row>
    <row r="3" customFormat="false" ht="15" hidden="false" customHeight="false" outlineLevel="0" collapsed="false">
      <c r="B3" s="3" t="s">
        <v>258</v>
      </c>
    </row>
    <row r="5" customFormat="false" ht="15" hidden="false" customHeight="false" outlineLevel="0" collapsed="false">
      <c r="B5" s="5" t="s">
        <v>259</v>
      </c>
      <c r="C5" s="6"/>
      <c r="D5" s="6"/>
      <c r="E5" s="6"/>
    </row>
    <row r="6" customFormat="false" ht="15" hidden="false" customHeight="false" outlineLevel="0" collapsed="false">
      <c r="C6" s="7" t="s">
        <v>130</v>
      </c>
      <c r="D6" s="7" t="s">
        <v>131</v>
      </c>
      <c r="E6" s="7" t="s">
        <v>260</v>
      </c>
    </row>
    <row r="7" customFormat="false" ht="15" hidden="false" customHeight="false" outlineLevel="0" collapsed="false">
      <c r="B7" s="3" t="s">
        <v>261</v>
      </c>
      <c r="C7" s="19" t="n">
        <f aca="false">Inputs!$C$45</f>
        <v>46000</v>
      </c>
      <c r="D7" s="19" t="n">
        <f aca="false">Inputs!$D$45</f>
        <v>46000</v>
      </c>
      <c r="E7" s="35" t="n">
        <f aca="false">D7/C7</f>
        <v>1</v>
      </c>
    </row>
    <row r="8" customFormat="false" ht="15" hidden="false" customHeight="false" outlineLevel="0" collapsed="false">
      <c r="B8" s="3" t="s">
        <v>134</v>
      </c>
      <c r="C8" s="19" t="n">
        <f aca="false">Inputs!$C$46</f>
        <v>12</v>
      </c>
      <c r="D8" s="19" t="n">
        <f aca="false">Inputs!$D$46</f>
        <v>196</v>
      </c>
      <c r="E8" s="35" t="n">
        <f aca="false">D8/C8</f>
        <v>16.3333333333333</v>
      </c>
    </row>
    <row r="9" customFormat="false" ht="15" hidden="false" customHeight="false" outlineLevel="0" collapsed="false">
      <c r="B9" s="3" t="s">
        <v>135</v>
      </c>
      <c r="C9" s="19" t="n">
        <f aca="false">Inputs!$C$47</f>
        <v>48</v>
      </c>
      <c r="D9" s="19" t="n">
        <f aca="false">Inputs!$D$47</f>
        <v>1372</v>
      </c>
      <c r="E9" s="35" t="n">
        <f aca="false">D9/C9</f>
        <v>28.5833333333333</v>
      </c>
    </row>
    <row r="10" customFormat="false" ht="15" hidden="false" customHeight="false" outlineLevel="0" collapsed="false">
      <c r="B10" s="3" t="s">
        <v>136</v>
      </c>
      <c r="C10" s="19" t="n">
        <f aca="false">Inputs!$C$48</f>
        <v>12</v>
      </c>
      <c r="D10" s="19" t="n">
        <f aca="false">Inputs!$D$48</f>
        <v>248</v>
      </c>
      <c r="E10" s="35" t="n">
        <f aca="false">D10/C10</f>
        <v>20.6666666666667</v>
      </c>
    </row>
    <row r="11" customFormat="false" ht="15" hidden="false" customHeight="false" outlineLevel="0" collapsed="false">
      <c r="B11" s="3" t="s">
        <v>137</v>
      </c>
      <c r="C11" s="19" t="n">
        <f aca="false">Inputs!$C$49</f>
        <v>2</v>
      </c>
      <c r="D11" s="19" t="n">
        <f aca="false">Inputs!$D$49</f>
        <v>84</v>
      </c>
      <c r="E11" s="35" t="n">
        <f aca="false">D11/C11</f>
        <v>42</v>
      </c>
    </row>
    <row r="12" customFormat="false" ht="15" hidden="false" customHeight="false" outlineLevel="0" collapsed="false">
      <c r="B12" s="3" t="s">
        <v>138</v>
      </c>
      <c r="C12" s="36" t="n">
        <f aca="false">Inputs!$C$50</f>
        <v>0.004</v>
      </c>
      <c r="D12" s="36" t="n">
        <f aca="false">Inputs!$D$50</f>
        <v>0.021</v>
      </c>
      <c r="E12" s="35" t="n">
        <f aca="false">D12/C12</f>
        <v>5.25</v>
      </c>
    </row>
    <row r="13" customFormat="false" ht="15" hidden="false" customHeight="false" outlineLevel="0" collapsed="false">
      <c r="B13" s="3" t="s">
        <v>139</v>
      </c>
      <c r="C13" s="25" t="n">
        <f aca="false">Inputs!$C$51</f>
        <v>0.14</v>
      </c>
      <c r="D13" s="25" t="n">
        <f aca="false">Inputs!$D$51</f>
        <v>0.06</v>
      </c>
      <c r="E13" s="35" t="n">
        <f aca="false">D13/C13</f>
        <v>0.428571428571429</v>
      </c>
    </row>
    <row r="14" customFormat="false" ht="15" hidden="false" customHeight="false" outlineLevel="0" collapsed="false">
      <c r="B14" s="3" t="s">
        <v>141</v>
      </c>
      <c r="C14" s="19" t="n">
        <f aca="false">Inputs!$C$52</f>
        <v>45</v>
      </c>
      <c r="D14" s="19" t="n">
        <f aca="false">Inputs!$D$52</f>
        <v>92</v>
      </c>
      <c r="E14" s="35" t="n">
        <f aca="false">D14/C14</f>
        <v>2.04444444444444</v>
      </c>
    </row>
    <row r="16" customFormat="false" ht="15" hidden="false" customHeight="false" outlineLevel="0" collapsed="false">
      <c r="B16" s="5" t="s">
        <v>262</v>
      </c>
      <c r="C16" s="6"/>
      <c r="D16" s="6"/>
      <c r="E16" s="6"/>
    </row>
    <row r="17" customFormat="false" ht="15" hidden="false" customHeight="false" outlineLevel="0" collapsed="false">
      <c r="B17" s="3" t="s">
        <v>263</v>
      </c>
      <c r="C17" s="19" t="n">
        <f aca="false">C7*Inputs!$D$8</f>
        <v>1081000</v>
      </c>
      <c r="D17" s="19" t="n">
        <f aca="false">D7*Inputs!$D$8</f>
        <v>1081000</v>
      </c>
      <c r="E17" s="19" t="n">
        <f aca="false">D17-C17</f>
        <v>0</v>
      </c>
    </row>
    <row r="18" customFormat="false" ht="15" hidden="false" customHeight="false" outlineLevel="0" collapsed="false">
      <c r="B18" s="3" t="s">
        <v>139</v>
      </c>
      <c r="C18" s="19" t="n">
        <f aca="false">C17*C13</f>
        <v>151340</v>
      </c>
      <c r="D18" s="19" t="n">
        <f aca="false">D17*D13</f>
        <v>64860</v>
      </c>
      <c r="E18" s="19" t="n">
        <f aca="false">D18-C18</f>
        <v>-86480</v>
      </c>
    </row>
    <row r="19" customFormat="false" ht="15" hidden="false" customHeight="false" outlineLevel="0" collapsed="false">
      <c r="B19" s="14" t="s">
        <v>264</v>
      </c>
      <c r="C19" s="15" t="n">
        <f aca="false">C17-C18</f>
        <v>929660</v>
      </c>
      <c r="D19" s="15" t="n">
        <f aca="false">D17-D18</f>
        <v>1016140</v>
      </c>
      <c r="E19" s="19" t="n">
        <f aca="false">D19-C19</f>
        <v>86480</v>
      </c>
    </row>
    <row r="20" customFormat="false" ht="15" hidden="false" customHeight="false" outlineLevel="0" collapsed="false">
      <c r="B20" s="3" t="s">
        <v>265</v>
      </c>
      <c r="C20" s="19" t="n">
        <f aca="false">C7*Inputs!$D$89</f>
        <v>641486.908161564</v>
      </c>
      <c r="D20" s="19" t="n">
        <f aca="false">D7*Inputs!$D$89</f>
        <v>641486.908161564</v>
      </c>
      <c r="E20" s="19" t="n">
        <f aca="false">D20-C20</f>
        <v>0</v>
      </c>
      <c r="G20" s="4" t="s">
        <v>266</v>
      </c>
    </row>
    <row r="21" customFormat="false" ht="15" hidden="false" customHeight="false" outlineLevel="0" collapsed="false">
      <c r="B21" s="3" t="s">
        <v>267</v>
      </c>
      <c r="C21" s="25" t="n">
        <f aca="false">(C19-C20)/C19</f>
        <v>0.30997686448641</v>
      </c>
      <c r="D21" s="25" t="n">
        <f aca="false">(D19-D20)/D19</f>
        <v>0.368702237721609</v>
      </c>
      <c r="E21" s="25" t="n">
        <f aca="false">D21-C21</f>
        <v>0.0587253732351992</v>
      </c>
      <c r="G21" s="4" t="s">
        <v>268</v>
      </c>
    </row>
    <row r="23" customFormat="false" ht="15" hidden="false" customHeight="false" outlineLevel="0" collapsed="false">
      <c r="B23" s="3" t="s">
        <v>269</v>
      </c>
      <c r="C23" s="19" t="n">
        <f aca="false">C8*Inputs!$C$35</f>
        <v>1536</v>
      </c>
      <c r="D23" s="19" t="n">
        <f aca="false">D8*Inputs!$C$35</f>
        <v>25088</v>
      </c>
    </row>
    <row r="24" customFormat="false" ht="15" hidden="false" customHeight="false" outlineLevel="0" collapsed="false">
      <c r="B24" s="3" t="s">
        <v>135</v>
      </c>
      <c r="C24" s="19" t="n">
        <f aca="false">C9*Inputs!$C$36</f>
        <v>864</v>
      </c>
      <c r="D24" s="19" t="n">
        <f aca="false">D9*Inputs!$C$36</f>
        <v>24696</v>
      </c>
    </row>
    <row r="25" customFormat="false" ht="15" hidden="false" customHeight="false" outlineLevel="0" collapsed="false">
      <c r="B25" s="3" t="s">
        <v>136</v>
      </c>
      <c r="C25" s="19" t="n">
        <f aca="false">C10*Inputs!$C$37</f>
        <v>2940</v>
      </c>
      <c r="D25" s="19" t="n">
        <f aca="false">D10*Inputs!$C$37</f>
        <v>60760</v>
      </c>
    </row>
    <row r="26" customFormat="false" ht="15" hidden="false" customHeight="false" outlineLevel="0" collapsed="false">
      <c r="B26" s="3" t="s">
        <v>137</v>
      </c>
      <c r="C26" s="19" t="n">
        <f aca="false">C11*Inputs!$C$38</f>
        <v>1280</v>
      </c>
      <c r="D26" s="19" t="n">
        <f aca="false">D11*Inputs!$C$38</f>
        <v>53760</v>
      </c>
      <c r="G26" s="4" t="s">
        <v>270</v>
      </c>
    </row>
    <row r="27" customFormat="false" ht="15" hidden="false" customHeight="false" outlineLevel="0" collapsed="false">
      <c r="B27" s="3" t="s">
        <v>271</v>
      </c>
      <c r="C27" s="19" t="n">
        <f aca="false">C12*C7*Inputs!$C$39</f>
        <v>7544</v>
      </c>
      <c r="D27" s="19" t="n">
        <f aca="false">D12*D7*Inputs!$C$39</f>
        <v>39606</v>
      </c>
    </row>
    <row r="28" customFormat="false" ht="15" hidden="false" customHeight="false" outlineLevel="0" collapsed="false">
      <c r="B28" s="3" t="s">
        <v>272</v>
      </c>
      <c r="C28" s="19" t="n">
        <f aca="false">C19*Inputs!$C$40*C14/Inputs!$C$41</f>
        <v>9761.43</v>
      </c>
      <c r="D28" s="19" t="n">
        <f aca="false">D19*Inputs!$C$40*D14/Inputs!$C$41</f>
        <v>21813.1386666667</v>
      </c>
      <c r="G28" s="4" t="s">
        <v>273</v>
      </c>
    </row>
    <row r="29" customFormat="false" ht="15" hidden="false" customHeight="false" outlineLevel="0" collapsed="false">
      <c r="B29" s="31" t="s">
        <v>274</v>
      </c>
      <c r="C29" s="37" t="n">
        <f aca="false">SUM(C23:C28)</f>
        <v>23925.43</v>
      </c>
      <c r="D29" s="37" t="n">
        <f aca="false">SUM(D23:D28)</f>
        <v>225723.138666667</v>
      </c>
      <c r="E29" s="19" t="n">
        <f aca="false">D29-C29</f>
        <v>201797.708666667</v>
      </c>
    </row>
    <row r="30" customFormat="false" ht="15" hidden="false" customHeight="false" outlineLevel="0" collapsed="false">
      <c r="B30" s="3" t="s">
        <v>275</v>
      </c>
      <c r="C30" s="23" t="n">
        <f aca="false">C29/C7</f>
        <v>0.520118043478261</v>
      </c>
      <c r="D30" s="23" t="n">
        <f aca="false">D29/D7</f>
        <v>4.90702475362319</v>
      </c>
      <c r="E30" s="23" t="n">
        <f aca="false">D30-C30</f>
        <v>4.38690671014493</v>
      </c>
    </row>
    <row r="32" customFormat="false" ht="15" hidden="false" customHeight="false" outlineLevel="0" collapsed="false">
      <c r="B32" s="31" t="s">
        <v>276</v>
      </c>
      <c r="C32" s="37" t="n">
        <f aca="false">C19-C20-C29</f>
        <v>264247.661838436</v>
      </c>
      <c r="D32" s="37" t="n">
        <f aca="false">D19-D20-D29</f>
        <v>148929.953171769</v>
      </c>
      <c r="E32" s="19" t="n">
        <f aca="false">D32-C32</f>
        <v>-115317.708666667</v>
      </c>
    </row>
    <row r="33" customFormat="false" ht="15" hidden="false" customHeight="false" outlineLevel="0" collapsed="false">
      <c r="B33" s="31" t="s">
        <v>277</v>
      </c>
      <c r="C33" s="38" t="n">
        <f aca="false">C32/C19</f>
        <v>0.284241186926872</v>
      </c>
      <c r="D33" s="38" t="n">
        <f aca="false">D32/D19</f>
        <v>0.146564403696114</v>
      </c>
      <c r="E33" s="34" t="n">
        <f aca="false">D33-C33</f>
        <v>-0.137676783230758</v>
      </c>
    </row>
    <row r="34" customFormat="false" ht="15" hidden="false" customHeight="false" outlineLevel="0" collapsed="false">
      <c r="B34" s="3" t="s">
        <v>278</v>
      </c>
      <c r="C34" s="23" t="n">
        <f aca="false">C32/C7</f>
        <v>5.74451438779208</v>
      </c>
      <c r="D34" s="23" t="n">
        <f aca="false">D32/D7</f>
        <v>3.23760767764715</v>
      </c>
      <c r="E34" s="23" t="n">
        <f aca="false">D34-C34</f>
        <v>-2.50690671014493</v>
      </c>
    </row>
    <row r="36" customFormat="false" ht="15" hidden="false" customHeight="false" outlineLevel="0" collapsed="false">
      <c r="B36" s="4" t="s">
        <v>279</v>
      </c>
    </row>
    <row r="37" customFormat="false" ht="15" hidden="false" customHeight="false" outlineLevel="0" collapsed="false">
      <c r="B37" s="4" t="s">
        <v>280</v>
      </c>
    </row>
    <row r="39" customFormat="false" ht="15" hidden="false" customHeight="false" outlineLevel="0" collapsed="false">
      <c r="B39" s="5" t="s">
        <v>281</v>
      </c>
      <c r="C39" s="6"/>
      <c r="D39" s="6"/>
      <c r="E39" s="6"/>
    </row>
    <row r="40" customFormat="false" ht="15" hidden="false" customHeight="false" outlineLevel="0" collapsed="false">
      <c r="B40" s="4" t="s">
        <v>282</v>
      </c>
    </row>
    <row r="41" customFormat="false" ht="15" hidden="false" customHeight="false" outlineLevel="0" collapsed="false">
      <c r="B41" s="4" t="s">
        <v>283</v>
      </c>
    </row>
    <row r="43" customFormat="false" ht="15" hidden="false" customHeight="false" outlineLevel="0" collapsed="false">
      <c r="B43" s="3" t="s">
        <v>284</v>
      </c>
      <c r="C43" s="19" t="n">
        <f aca="false">C7+D7</f>
        <v>92000</v>
      </c>
    </row>
    <row r="44" customFormat="false" ht="15" hidden="false" customHeight="false" outlineLevel="0" collapsed="false">
      <c r="B44" s="3" t="s">
        <v>285</v>
      </c>
      <c r="C44" s="19" t="n">
        <f aca="false">Inputs!$D$7</f>
        <v>640000</v>
      </c>
    </row>
    <row r="45" customFormat="false" ht="15" hidden="false" customHeight="false" outlineLevel="0" collapsed="false">
      <c r="B45" s="3" t="s">
        <v>286</v>
      </c>
      <c r="C45" s="21" t="n">
        <f aca="false">C44/C43</f>
        <v>6.95652173913044</v>
      </c>
    </row>
    <row r="46" customFormat="false" ht="15" hidden="false" customHeight="false" outlineLevel="0" collapsed="false">
      <c r="B46" s="3" t="s">
        <v>287</v>
      </c>
      <c r="C46" s="27" t="n">
        <f aca="false">(C8+D8)*C45</f>
        <v>1446.95652173913</v>
      </c>
    </row>
    <row r="47" customFormat="false" ht="15" hidden="false" customHeight="false" outlineLevel="0" collapsed="false">
      <c r="B47" s="3" t="s">
        <v>288</v>
      </c>
      <c r="C47" s="27" t="n">
        <f aca="false">(C9+D9)*C45</f>
        <v>9878.26086956522</v>
      </c>
    </row>
    <row r="48" customFormat="false" ht="15" hidden="false" customHeight="false" outlineLevel="0" collapsed="false">
      <c r="B48" s="3" t="s">
        <v>289</v>
      </c>
      <c r="C48" s="27" t="n">
        <f aca="false">(C10+D10)*C45</f>
        <v>1808.69565217391</v>
      </c>
    </row>
    <row r="49" customFormat="false" ht="15" hidden="false" customHeight="false" outlineLevel="0" collapsed="false">
      <c r="B49" s="3" t="s">
        <v>290</v>
      </c>
      <c r="C49" s="27" t="n">
        <f aca="false">(C11+D11)*C45</f>
        <v>598.260869565217</v>
      </c>
    </row>
    <row r="50" customFormat="false" ht="15" hidden="false" customHeight="false" outlineLevel="0" collapsed="false">
      <c r="B50" s="3" t="s">
        <v>291</v>
      </c>
      <c r="C50" s="27" t="n">
        <f aca="false">(C12*C7+D12*D7)*C45</f>
        <v>8000</v>
      </c>
    </row>
    <row r="51" customFormat="false" ht="15" hidden="false" customHeight="false" outlineLevel="0" collapsed="false">
      <c r="B51" s="31" t="s">
        <v>292</v>
      </c>
      <c r="C51" s="32" t="n">
        <f aca="false">C46*Inputs!$C$35+C47*Inputs!$C$36+C48*Inputs!$C$37+C49*Inputs!$C$38+C50*Inputs!$C$39</f>
        <v>1517036.52173913</v>
      </c>
    </row>
    <row r="52" customFormat="false" ht="15" hidden="false" customHeight="false" outlineLevel="0" collapsed="false">
      <c r="B52" s="3" t="s">
        <v>293</v>
      </c>
      <c r="C52" s="19" t="n">
        <f aca="false">Inputs!$C$30</f>
        <v>6720000</v>
      </c>
    </row>
    <row r="53" customFormat="false" ht="15" hidden="false" customHeight="false" outlineLevel="0" collapsed="false">
      <c r="B53" s="31" t="s">
        <v>294</v>
      </c>
      <c r="C53" s="39" t="n">
        <f aca="false">C51/C52</f>
        <v>0.225749482401656</v>
      </c>
    </row>
    <row r="54" customFormat="false" ht="15" hidden="false" customHeight="false" outlineLevel="0" collapsed="false">
      <c r="B54" s="3" t="s">
        <v>295</v>
      </c>
      <c r="C54" s="19" t="n">
        <f aca="false">C52-C51</f>
        <v>5202963.47826087</v>
      </c>
    </row>
    <row r="55" customFormat="false" ht="15" hidden="false" customHeight="false" outlineLevel="0" collapsed="false">
      <c r="B55" s="3" t="s">
        <v>296</v>
      </c>
      <c r="C55" s="25" t="n">
        <f aca="false">Inputs!$D$59/Inputs!$G$59</f>
        <v>0.313007284079084</v>
      </c>
      <c r="G55" s="4" t="s">
        <v>297</v>
      </c>
    </row>
    <row r="57" customFormat="false" ht="15" hidden="false" customHeight="false" outlineLevel="0" collapsed="false">
      <c r="B57" s="4" t="s">
        <v>298</v>
      </c>
    </row>
    <row r="58" customFormat="false" ht="15" hidden="false" customHeight="false" outlineLevel="0" collapsed="false">
      <c r="B58" s="4" t="s">
        <v>299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H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22"/>
    <col collapsed="false" customWidth="true" hidden="false" outlineLevel="0" max="3" min="3" style="0" width="13"/>
    <col collapsed="false" customWidth="true" hidden="false" outlineLevel="0" max="4" min="4" style="0" width="14"/>
    <col collapsed="false" customWidth="true" hidden="false" outlineLevel="0" max="5" min="5" style="0" width="15"/>
    <col collapsed="false" customWidth="true" hidden="false" outlineLevel="0" max="6" min="6" style="0" width="14"/>
    <col collapsed="false" customWidth="true" hidden="false" outlineLevel="0" max="7" min="7" style="0" width="16"/>
    <col collapsed="false" customWidth="true" hidden="false" outlineLevel="0" max="8" min="8" style="0" width="20"/>
    <col collapsed="false" customWidth="true" hidden="false" outlineLevel="0" max="9" min="9" style="0" width="2"/>
    <col collapsed="false" customWidth="true" hidden="false" outlineLevel="0" max="10" min="10" style="0" width="80"/>
  </cols>
  <sheetData>
    <row r="2" customFormat="false" ht="17.35" hidden="false" customHeight="false" outlineLevel="0" collapsed="false">
      <c r="B2" s="1" t="s">
        <v>300</v>
      </c>
    </row>
    <row r="3" customFormat="false" ht="15" hidden="false" customHeight="false" outlineLevel="0" collapsed="false">
      <c r="B3" s="3" t="s">
        <v>301</v>
      </c>
    </row>
    <row r="5" customFormat="false" ht="15" hidden="false" customHeight="false" outlineLevel="0" collapsed="false">
      <c r="B5" s="40" t="s">
        <v>302</v>
      </c>
      <c r="C5" s="41"/>
      <c r="D5" s="41"/>
      <c r="E5" s="41"/>
      <c r="F5" s="41"/>
      <c r="G5" s="41"/>
      <c r="H5" s="41"/>
    </row>
    <row r="6" customFormat="false" ht="15" hidden="false" customHeight="false" outlineLevel="0" collapsed="false">
      <c r="B6" s="4" t="s">
        <v>303</v>
      </c>
    </row>
    <row r="7" customFormat="false" ht="15" hidden="false" customHeight="false" outlineLevel="0" collapsed="false">
      <c r="B7" s="4" t="s">
        <v>304</v>
      </c>
    </row>
    <row r="8" customFormat="false" ht="15" hidden="false" customHeight="false" outlineLevel="0" collapsed="false">
      <c r="B8" s="4" t="s">
        <v>305</v>
      </c>
    </row>
    <row r="9" customFormat="false" ht="15" hidden="false" customHeight="false" outlineLevel="0" collapsed="false">
      <c r="B9" s="4" t="s">
        <v>306</v>
      </c>
    </row>
    <row r="11" customFormat="false" ht="23.85" hidden="false" customHeight="false" outlineLevel="0" collapsed="false">
      <c r="B11" s="7" t="s">
        <v>307</v>
      </c>
      <c r="C11" s="7" t="s">
        <v>308</v>
      </c>
      <c r="D11" s="7" t="s">
        <v>146</v>
      </c>
      <c r="E11" s="7" t="s">
        <v>147</v>
      </c>
      <c r="F11" s="7" t="s">
        <v>309</v>
      </c>
      <c r="G11" s="7" t="s">
        <v>310</v>
      </c>
      <c r="H11" s="7" t="s">
        <v>311</v>
      </c>
    </row>
    <row r="12" customFormat="false" ht="15" hidden="false" customHeight="false" outlineLevel="0" collapsed="false">
      <c r="B12" s="8" t="n">
        <v>0</v>
      </c>
      <c r="C12" s="8" t="n">
        <v>4</v>
      </c>
      <c r="D12" s="19" t="n">
        <f aca="false">Inputs!$C$59+Inputs!$D$59+Inputs!$E$59+Inputs!$F$59</f>
        <v>48050000</v>
      </c>
      <c r="E12" s="19" t="n">
        <f aca="false">Inputs!$C$60+Inputs!$D$60+Inputs!$E$60+Inputs!$F$60</f>
        <v>152940</v>
      </c>
      <c r="F12" s="23" t="n">
        <f aca="false">Inputs!$C$25/E12</f>
        <v>87.8775990584543</v>
      </c>
      <c r="G12" s="19" t="n">
        <f aca="false">D12-(Inputs!$C$66+Inputs!$D$66+Inputs!$E$66+Inputs!$F$66)-(Inputs!$C$67+Inputs!$D$67+Inputs!$E$67+Inputs!$F$67)-Inputs!$C$25-Inputs!$C$30</f>
        <v>7291184</v>
      </c>
      <c r="H12" s="3" t="s">
        <v>68</v>
      </c>
    </row>
    <row r="13" customFormat="false" ht="15" hidden="false" customHeight="false" outlineLevel="0" collapsed="false">
      <c r="B13" s="8" t="n">
        <v>1</v>
      </c>
      <c r="C13" s="8" t="n">
        <v>3</v>
      </c>
      <c r="D13" s="19" t="n">
        <f aca="false">Inputs!$D$59+Inputs!$E$59+Inputs!$F$59</f>
        <v>31030000</v>
      </c>
      <c r="E13" s="19" t="n">
        <f aca="false">Inputs!$D$60+Inputs!$E$60+Inputs!$F$60</f>
        <v>97440</v>
      </c>
      <c r="F13" s="23" t="n">
        <f aca="false">Inputs!$C$25/E13</f>
        <v>137.931034482759</v>
      </c>
      <c r="G13" s="19" t="n">
        <f aca="false">D13-(Inputs!$D$66+Inputs!$E$66+Inputs!$F$66)-(Inputs!$D$67+Inputs!$E$67+Inputs!$F$67)-Inputs!$C$25-Inputs!$C$30</f>
        <v>-2528616</v>
      </c>
      <c r="H13" s="3" t="s">
        <v>69</v>
      </c>
    </row>
    <row r="14" customFormat="false" ht="15" hidden="false" customHeight="false" outlineLevel="0" collapsed="false">
      <c r="B14" s="8" t="n">
        <v>2</v>
      </c>
      <c r="C14" s="8" t="n">
        <v>2</v>
      </c>
      <c r="D14" s="19" t="n">
        <f aca="false">Inputs!$E$59+Inputs!$F$59</f>
        <v>15990000</v>
      </c>
      <c r="E14" s="19" t="n">
        <f aca="false">Inputs!$E$60+Inputs!$F$60</f>
        <v>57760</v>
      </c>
      <c r="F14" s="23" t="n">
        <f aca="false">Inputs!$C$25/E14</f>
        <v>232.686980609418</v>
      </c>
      <c r="G14" s="19" t="n">
        <f aca="false">D14-(Inputs!$E$66+Inputs!$F$66)-(Inputs!$E$67+Inputs!$F$67)-Inputs!$C$25-Inputs!$C$30</f>
        <v>-11138664</v>
      </c>
      <c r="H14" s="3" t="s">
        <v>70</v>
      </c>
    </row>
    <row r="15" customFormat="false" ht="15" hidden="false" customHeight="false" outlineLevel="0" collapsed="false">
      <c r="B15" s="8" t="n">
        <v>3</v>
      </c>
      <c r="C15" s="8" t="n">
        <v>1</v>
      </c>
      <c r="D15" s="19" t="n">
        <f aca="false">Inputs!$F$59</f>
        <v>6786000</v>
      </c>
      <c r="E15" s="19" t="n">
        <f aca="false">Inputs!$F$60</f>
        <v>30030</v>
      </c>
      <c r="F15" s="23" t="n">
        <f aca="false">Inputs!$C$25/E15</f>
        <v>447.552447552448</v>
      </c>
      <c r="G15" s="19" t="n">
        <f aca="false">D15-(Inputs!$F$66)-(Inputs!$F$67)-Inputs!$C$25-Inputs!$C$30</f>
        <v>-16344942</v>
      </c>
      <c r="H15" s="3" t="s">
        <v>71</v>
      </c>
    </row>
    <row r="16" customFormat="false" ht="15" hidden="false" customHeight="false" outlineLevel="0" collapsed="false">
      <c r="B16" s="42" t="n">
        <v>4</v>
      </c>
      <c r="C16" s="42" t="n">
        <v>0</v>
      </c>
      <c r="D16" s="43" t="n">
        <f aca="false">0</f>
        <v>0</v>
      </c>
      <c r="E16" s="43" t="n">
        <f aca="false">0</f>
        <v>0</v>
      </c>
      <c r="F16" s="44" t="str">
        <f aca="false">"n/a"</f>
        <v>n/a</v>
      </c>
      <c r="G16" s="43" t="n">
        <f aca="false">-Inputs!$C$25-Inputs!$C$30</f>
        <v>-20160000</v>
      </c>
      <c r="H16" s="45" t="s">
        <v>312</v>
      </c>
    </row>
    <row r="17" customFormat="false" ht="15" hidden="false" customHeight="false" outlineLevel="0" collapsed="false">
      <c r="B17" s="4" t="s">
        <v>313</v>
      </c>
    </row>
    <row r="18" customFormat="false" ht="15" hidden="false" customHeight="false" outlineLevel="0" collapsed="false">
      <c r="B18" s="4" t="s">
        <v>314</v>
      </c>
    </row>
    <row r="20" customFormat="false" ht="15" hidden="false" customHeight="false" outlineLevel="0" collapsed="false">
      <c r="B20" s="5" t="s">
        <v>315</v>
      </c>
      <c r="C20" s="6"/>
      <c r="D20" s="6"/>
      <c r="E20" s="6"/>
      <c r="F20" s="6"/>
      <c r="G20" s="6"/>
      <c r="H20" s="6"/>
    </row>
    <row r="21" customFormat="false" ht="23.85" hidden="false" customHeight="false" outlineLevel="0" collapsed="false">
      <c r="B21" s="7" t="s">
        <v>186</v>
      </c>
      <c r="C21" s="7" t="s">
        <v>229</v>
      </c>
      <c r="D21" s="7" t="s">
        <v>233</v>
      </c>
      <c r="E21" s="7" t="s">
        <v>316</v>
      </c>
      <c r="F21" s="7" t="s">
        <v>317</v>
      </c>
      <c r="G21" s="7" t="s">
        <v>318</v>
      </c>
      <c r="H21" s="7" t="s">
        <v>311</v>
      </c>
    </row>
    <row r="22" customFormat="false" ht="15" hidden="false" customHeight="false" outlineLevel="0" collapsed="false">
      <c r="B22" s="3" t="s">
        <v>68</v>
      </c>
      <c r="C22" s="23" t="n">
        <f aca="false">Inputs!$C$9+Inputs!$C$10*Inputs!$C$29+Inputs!$C$10*$F$12</f>
        <v>6.52832797175363</v>
      </c>
      <c r="D22" s="23" t="n">
        <f aca="false">Inputs!$C$89</f>
        <v>4.87362980437733</v>
      </c>
      <c r="E22" s="23" t="n">
        <f aca="false">C22/(1-Inputs!$C$31)</f>
        <v>9.06712218299115</v>
      </c>
      <c r="F22" s="23" t="n">
        <f aca="false">D22/(1-Inputs!$C$31)</f>
        <v>6.76893028385741</v>
      </c>
      <c r="G22" s="25" t="n">
        <f aca="false">(E22-F22)/F22</f>
        <v>0.339520692747345</v>
      </c>
      <c r="H22" s="46" t="str">
        <f aca="false">IF(AND(G22&gt;Inputs!$C$32,G22=MAX($G$22:$G$25)),"LOST","")</f>
        <v>LOST</v>
      </c>
    </row>
    <row r="23" customFormat="false" ht="15" hidden="false" customHeight="false" outlineLevel="0" collapsed="false">
      <c r="B23" s="3" t="s">
        <v>69</v>
      </c>
      <c r="C23" s="23" t="n">
        <f aca="false">Inputs!$D$9+Inputs!$D$10*Inputs!$C$29+Inputs!$D$10*$F$12</f>
        <v>15.4952111416242</v>
      </c>
      <c r="D23" s="23" t="n">
        <f aca="false">Inputs!$D$89</f>
        <v>13.9453675687297</v>
      </c>
      <c r="E23" s="23" t="n">
        <f aca="false">C23/(1-Inputs!$C$31)</f>
        <v>21.5211265855891</v>
      </c>
      <c r="F23" s="23" t="n">
        <f aca="false">D23/(1-Inputs!$C$31)</f>
        <v>19.3685660676801</v>
      </c>
      <c r="G23" s="25" t="n">
        <f aca="false">(E23-F23)/F23</f>
        <v>0.111136803333158</v>
      </c>
      <c r="H23" s="46" t="str">
        <f aca="false">IF(AND(G23&gt;Inputs!$C$32,G23=MAX($G$22:$G$25)),"LOST","")</f>
        <v/>
      </c>
    </row>
    <row r="24" customFormat="false" ht="15" hidden="false" customHeight="false" outlineLevel="0" collapsed="false">
      <c r="B24" s="3" t="s">
        <v>70</v>
      </c>
      <c r="C24" s="23" t="n">
        <f aca="false">Inputs!$E$9+Inputs!$E$10*Inputs!$C$29+Inputs!$E$10*$F$12</f>
        <v>54.5302357787368</v>
      </c>
      <c r="D24" s="23" t="n">
        <f aca="false">Inputs!$E$89</f>
        <v>64.2194902819927</v>
      </c>
      <c r="E24" s="23" t="n">
        <f aca="false">C24/(1-Inputs!$C$31)</f>
        <v>75.7364385815788</v>
      </c>
      <c r="F24" s="23" t="n">
        <f aca="false">D24/(1-Inputs!$C$31)</f>
        <v>89.1937365027677</v>
      </c>
      <c r="G24" s="25" t="n">
        <f aca="false">(E24-F24)/F24</f>
        <v>-0.150877163003158</v>
      </c>
      <c r="H24" s="46" t="str">
        <f aca="false">IF(AND(G24&gt;Inputs!$C$32,G24=MAX($G$22:$G$25)),"LOST","")</f>
        <v/>
      </c>
    </row>
    <row r="25" customFormat="false" ht="15" hidden="false" customHeight="false" outlineLevel="0" collapsed="false">
      <c r="B25" s="3" t="s">
        <v>71</v>
      </c>
      <c r="C25" s="23" t="n">
        <f aca="false">Inputs!$F$9+Inputs!$F$10*Inputs!$C$29+Inputs!$F$10*$F$12</f>
        <v>287.68750255002</v>
      </c>
      <c r="D25" s="23" t="n">
        <f aca="false">Inputs!$F$89</f>
        <v>436.905936648196</v>
      </c>
      <c r="E25" s="23" t="n">
        <f aca="false">C25/(1-Inputs!$C$31)</f>
        <v>399.565975763916</v>
      </c>
      <c r="F25" s="23" t="n">
        <f aca="false">D25/(1-Inputs!$C$31)</f>
        <v>606.813800900272</v>
      </c>
      <c r="G25" s="25" t="n">
        <f aca="false">(E25-F25)/F25</f>
        <v>-0.341534462184086</v>
      </c>
      <c r="H25" s="46" t="str">
        <f aca="false">IF(AND(G25&gt;Inputs!$C$32,G25=MAX($G$22:$G$25)),"LOST","")</f>
        <v/>
      </c>
    </row>
    <row r="27" customFormat="false" ht="15" hidden="false" customHeight="false" outlineLevel="0" collapsed="false">
      <c r="B27" s="5" t="s">
        <v>319</v>
      </c>
      <c r="C27" s="6"/>
      <c r="D27" s="6"/>
      <c r="E27" s="6"/>
      <c r="F27" s="6"/>
      <c r="G27" s="6"/>
      <c r="H27" s="6"/>
    </row>
    <row r="28" customFormat="false" ht="23.85" hidden="false" customHeight="false" outlineLevel="0" collapsed="false">
      <c r="B28" s="7" t="s">
        <v>186</v>
      </c>
      <c r="C28" s="7" t="s">
        <v>229</v>
      </c>
      <c r="D28" s="7" t="s">
        <v>233</v>
      </c>
      <c r="E28" s="7" t="s">
        <v>316</v>
      </c>
      <c r="F28" s="7" t="s">
        <v>317</v>
      </c>
      <c r="G28" s="7" t="s">
        <v>318</v>
      </c>
      <c r="H28" s="7" t="s">
        <v>311</v>
      </c>
    </row>
    <row r="29" customFormat="false" ht="15" hidden="false" customHeight="false" outlineLevel="0" collapsed="false">
      <c r="B29" s="3" t="s">
        <v>69</v>
      </c>
      <c r="C29" s="23" t="n">
        <f aca="false">Inputs!$D$9+Inputs!$D$10*Inputs!$C$29+Inputs!$D$10*$F$13</f>
        <v>18.598524137931</v>
      </c>
      <c r="D29" s="23" t="n">
        <f aca="false">Inputs!$D$89</f>
        <v>13.9453675687297</v>
      </c>
      <c r="E29" s="23" t="n">
        <f aca="false">C29/(1-Inputs!$C$31)</f>
        <v>25.8312835249042</v>
      </c>
      <c r="F29" s="23" t="n">
        <f aca="false">D29/(1-Inputs!$C$31)</f>
        <v>19.3685660676801</v>
      </c>
      <c r="G29" s="25" t="n">
        <f aca="false">(E29-F29)/F29</f>
        <v>0.333670413939849</v>
      </c>
      <c r="H29" s="46" t="str">
        <f aca="false">IF(AND(G29&gt;Inputs!$C$32,G29=MAX($G$29:$G$31)),"LOST","")</f>
        <v>LOST</v>
      </c>
    </row>
    <row r="30" customFormat="false" ht="15" hidden="false" customHeight="false" outlineLevel="0" collapsed="false">
      <c r="B30" s="3" t="s">
        <v>70</v>
      </c>
      <c r="C30" s="23" t="n">
        <f aca="false">Inputs!$E$9+Inputs!$E$10*Inputs!$C$29+Inputs!$E$10*$F$13</f>
        <v>66.2927931034483</v>
      </c>
      <c r="D30" s="23" t="n">
        <f aca="false">Inputs!$E$89</f>
        <v>64.2194902819927</v>
      </c>
      <c r="E30" s="23" t="n">
        <f aca="false">C30/(1-Inputs!$C$31)</f>
        <v>92.0733237547893</v>
      </c>
      <c r="F30" s="23" t="n">
        <f aca="false">D30/(1-Inputs!$C$31)</f>
        <v>89.1937365027677</v>
      </c>
      <c r="G30" s="25" t="n">
        <f aca="false">(E30-F30)/F30</f>
        <v>0.032284635277414</v>
      </c>
      <c r="H30" s="46" t="str">
        <f aca="false">IF(AND(G30&gt;Inputs!$C$32,G30=MAX($G$29:$G$31)),"LOST","")</f>
        <v/>
      </c>
    </row>
    <row r="31" customFormat="false" ht="15" hidden="false" customHeight="false" outlineLevel="0" collapsed="false">
      <c r="B31" s="3" t="s">
        <v>71</v>
      </c>
      <c r="C31" s="23" t="n">
        <f aca="false">Inputs!$F$9+Inputs!$F$10*Inputs!$C$29+Inputs!$F$10*$F$13</f>
        <v>364.769793103448</v>
      </c>
      <c r="D31" s="23" t="n">
        <f aca="false">Inputs!$F$89</f>
        <v>436.905936648196</v>
      </c>
      <c r="E31" s="23" t="n">
        <f aca="false">C31/(1-Inputs!$C$31)</f>
        <v>506.624712643678</v>
      </c>
      <c r="F31" s="23" t="n">
        <f aca="false">D31/(1-Inputs!$C$31)</f>
        <v>606.813800900272</v>
      </c>
      <c r="G31" s="25" t="n">
        <f aca="false">(E31-F31)/F31</f>
        <v>-0.165106805593334</v>
      </c>
      <c r="H31" s="46" t="str">
        <f aca="false">IF(AND(G31&gt;Inputs!$C$32,G31=MAX($G$29:$G$31)),"LOST","")</f>
        <v/>
      </c>
    </row>
    <row r="33" customFormat="false" ht="15" hidden="false" customHeight="false" outlineLevel="0" collapsed="false">
      <c r="B33" s="5" t="s">
        <v>320</v>
      </c>
      <c r="C33" s="6"/>
      <c r="D33" s="6"/>
      <c r="E33" s="6"/>
      <c r="F33" s="6"/>
      <c r="G33" s="6"/>
      <c r="H33" s="6"/>
    </row>
    <row r="34" customFormat="false" ht="23.85" hidden="false" customHeight="false" outlineLevel="0" collapsed="false">
      <c r="B34" s="7" t="s">
        <v>186</v>
      </c>
      <c r="C34" s="7" t="s">
        <v>229</v>
      </c>
      <c r="D34" s="7" t="s">
        <v>233</v>
      </c>
      <c r="E34" s="7" t="s">
        <v>316</v>
      </c>
      <c r="F34" s="7" t="s">
        <v>317</v>
      </c>
      <c r="G34" s="7" t="s">
        <v>318</v>
      </c>
      <c r="H34" s="7" t="s">
        <v>311</v>
      </c>
    </row>
    <row r="35" customFormat="false" ht="15" hidden="false" customHeight="false" outlineLevel="0" collapsed="false">
      <c r="B35" s="3" t="s">
        <v>70</v>
      </c>
      <c r="C35" s="23" t="n">
        <f aca="false">Inputs!$E$9+Inputs!$E$10*Inputs!$C$29+Inputs!$E$10*$F$14</f>
        <v>88.5604404432133</v>
      </c>
      <c r="D35" s="23" t="n">
        <f aca="false">Inputs!$E$89</f>
        <v>64.2194902819927</v>
      </c>
      <c r="E35" s="23" t="n">
        <f aca="false">C35/(1-Inputs!$C$31)</f>
        <v>123.000611726685</v>
      </c>
      <c r="F35" s="23" t="n">
        <f aca="false">D35/(1-Inputs!$C$31)</f>
        <v>89.1937365027677</v>
      </c>
      <c r="G35" s="25" t="n">
        <f aca="false">(E35-F35)/F35</f>
        <v>0.379027458086908</v>
      </c>
      <c r="H35" s="46" t="str">
        <f aca="false">IF(AND(G35&gt;Inputs!$C$32,G35=MAX($G$35:$G$36)),"LOST","")</f>
        <v>LOST</v>
      </c>
    </row>
    <row r="36" customFormat="false" ht="15" hidden="false" customHeight="false" outlineLevel="0" collapsed="false">
      <c r="B36" s="3" t="s">
        <v>71</v>
      </c>
      <c r="C36" s="23" t="n">
        <f aca="false">Inputs!$F$9+Inputs!$F$10*Inputs!$C$29+Inputs!$F$10*$F$14</f>
        <v>510.693950138504</v>
      </c>
      <c r="D36" s="23" t="n">
        <f aca="false">Inputs!$F$89</f>
        <v>436.905936648196</v>
      </c>
      <c r="E36" s="23" t="n">
        <f aca="false">C36/(1-Inputs!$C$31)</f>
        <v>709.297152970145</v>
      </c>
      <c r="F36" s="23" t="n">
        <f aca="false">D36/(1-Inputs!$C$31)</f>
        <v>606.813800900272</v>
      </c>
      <c r="G36" s="25" t="n">
        <f aca="false">(E36-F36)/F36</f>
        <v>0.168887642169358</v>
      </c>
      <c r="H36" s="46" t="str">
        <f aca="false">IF(AND(G36&gt;Inputs!$C$32,G36=MAX($G$35:$G$36)),"LOST","")</f>
        <v/>
      </c>
    </row>
    <row r="38" customFormat="false" ht="15" hidden="false" customHeight="false" outlineLevel="0" collapsed="false">
      <c r="B38" s="5" t="s">
        <v>321</v>
      </c>
      <c r="C38" s="6"/>
      <c r="D38" s="6"/>
      <c r="E38" s="6"/>
      <c r="F38" s="6"/>
      <c r="G38" s="6"/>
      <c r="H38" s="6"/>
    </row>
    <row r="39" customFormat="false" ht="23.85" hidden="false" customHeight="false" outlineLevel="0" collapsed="false">
      <c r="B39" s="7" t="s">
        <v>186</v>
      </c>
      <c r="C39" s="7" t="s">
        <v>229</v>
      </c>
      <c r="D39" s="7" t="s">
        <v>233</v>
      </c>
      <c r="E39" s="7" t="s">
        <v>316</v>
      </c>
      <c r="F39" s="7" t="s">
        <v>317</v>
      </c>
      <c r="G39" s="7" t="s">
        <v>318</v>
      </c>
      <c r="H39" s="7" t="s">
        <v>311</v>
      </c>
    </row>
    <row r="40" customFormat="false" ht="15" hidden="false" customHeight="false" outlineLevel="0" collapsed="false">
      <c r="B40" s="3" t="s">
        <v>71</v>
      </c>
      <c r="C40" s="23" t="n">
        <f aca="false">Inputs!$F$9+Inputs!$F$10*Inputs!$C$29+Inputs!$F$10*$F$15</f>
        <v>841.586769230769</v>
      </c>
      <c r="D40" s="23" t="n">
        <f aca="false">Inputs!$F$89</f>
        <v>436.905936648196</v>
      </c>
      <c r="E40" s="23" t="n">
        <f aca="false">C40/(1-Inputs!$C$31)</f>
        <v>1168.87051282051</v>
      </c>
      <c r="F40" s="23" t="n">
        <f aca="false">D40/(1-Inputs!$C$31)</f>
        <v>606.813800900272</v>
      </c>
      <c r="G40" s="25" t="n">
        <f aca="false">(E40-F40)/F40</f>
        <v>0.926242466941872</v>
      </c>
      <c r="H40" s="46" t="str">
        <f aca="false">IF(AND(G40&gt;Inputs!$C$32,G40=MAX($G$40:$G$40)),"LOST","")</f>
        <v>LOST</v>
      </c>
    </row>
    <row r="42" customFormat="false" ht="15" hidden="false" customHeight="false" outlineLevel="0" collapsed="false">
      <c r="B42" s="4" t="s">
        <v>322</v>
      </c>
    </row>
    <row r="43" customFormat="false" ht="15" hidden="false" customHeight="false" outlineLevel="0" collapsed="false">
      <c r="B43" s="4" t="s">
        <v>323</v>
      </c>
    </row>
    <row r="48" customFormat="false" ht="15" hidden="false" customHeight="false" outlineLevel="0" collapsed="false">
      <c r="B48" s="4" t="s">
        <v>324</v>
      </c>
    </row>
    <row r="49" customFormat="false" ht="15" hidden="false" customHeight="false" outlineLevel="0" collapsed="false">
      <c r="B49" s="4" t="s">
        <v>325</v>
      </c>
    </row>
    <row r="50" customFormat="false" ht="15" hidden="false" customHeight="false" outlineLevel="0" collapsed="false">
      <c r="B50" s="4" t="s">
        <v>326</v>
      </c>
      <c r="C50" s="16" t="n">
        <f aca="false">MIN(G22,G29,G35,G40)</f>
        <v>0.333670413939849</v>
      </c>
    </row>
    <row r="51" customFormat="false" ht="15" hidden="false" customHeight="false" outlineLevel="0" collapsed="false">
      <c r="B51" s="4" t="s">
        <v>327</v>
      </c>
      <c r="C51" s="47" t="n">
        <v>0.1</v>
      </c>
    </row>
    <row r="52" customFormat="false" ht="15" hidden="false" customHeight="false" outlineLevel="0" collapsed="false">
      <c r="B52" s="4" t="s">
        <v>328</v>
      </c>
      <c r="C52" s="48" t="n">
        <f aca="false">IF(G22&gt;C51,1+IF(G29&gt;C51,1+IF(G35&gt;C51,1+IF(G40&gt;C51,1,0),0),0),0)</f>
        <v>4</v>
      </c>
    </row>
    <row r="53" customFormat="false" ht="15" hidden="false" customHeight="false" outlineLevel="0" collapsed="false">
      <c r="B53" s="4" t="s">
        <v>329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M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21"/>
    <col collapsed="false" customWidth="true" hidden="false" outlineLevel="0" max="5" min="3" style="0" width="13"/>
    <col collapsed="false" customWidth="true" hidden="false" outlineLevel="0" max="7" min="6" style="0" width="12"/>
    <col collapsed="false" customWidth="true" hidden="false" outlineLevel="0" max="8" min="8" style="0" width="13"/>
    <col collapsed="false" customWidth="true" hidden="false" outlineLevel="0" max="9" min="9" style="0" width="15"/>
    <col collapsed="false" customWidth="true" hidden="false" outlineLevel="0" max="13" min="10" style="0" width="14"/>
    <col collapsed="false" customWidth="true" hidden="false" outlineLevel="0" max="14" min="14" style="0" width="2"/>
    <col collapsed="false" customWidth="true" hidden="false" outlineLevel="0" max="15" min="15" style="0" width="72"/>
  </cols>
  <sheetData>
    <row r="2" customFormat="false" ht="17.35" hidden="false" customHeight="false" outlineLevel="0" collapsed="false">
      <c r="B2" s="1" t="s">
        <v>330</v>
      </c>
    </row>
    <row r="3" customFormat="false" ht="15" hidden="false" customHeight="false" outlineLevel="0" collapsed="false">
      <c r="B3" s="3" t="s">
        <v>331</v>
      </c>
    </row>
    <row r="5" customFormat="false" ht="15" hidden="false" customHeight="false" outlineLevel="0" collapsed="false">
      <c r="B5" s="5" t="s">
        <v>332</v>
      </c>
      <c r="C5" s="6"/>
      <c r="D5" s="6"/>
      <c r="E5" s="6"/>
      <c r="F5" s="6"/>
      <c r="G5" s="6"/>
      <c r="H5" s="6"/>
      <c r="I5" s="6"/>
      <c r="J5" s="6"/>
    </row>
    <row r="6" customFormat="false" ht="23.85" hidden="false" customHeight="false" outlineLevel="0" collapsed="false">
      <c r="B6" s="7" t="s">
        <v>186</v>
      </c>
      <c r="C6" s="7" t="s">
        <v>333</v>
      </c>
      <c r="D6" s="7" t="s">
        <v>233</v>
      </c>
      <c r="E6" s="7" t="s">
        <v>334</v>
      </c>
      <c r="F6" s="7" t="s">
        <v>335</v>
      </c>
      <c r="G6" s="7" t="s">
        <v>336</v>
      </c>
      <c r="H6" s="7" t="s">
        <v>337</v>
      </c>
      <c r="I6" s="7" t="s">
        <v>338</v>
      </c>
      <c r="J6" s="7" t="s">
        <v>339</v>
      </c>
    </row>
    <row r="7" customFormat="false" ht="15" hidden="false" customHeight="false" outlineLevel="0" collapsed="false">
      <c r="B7" s="3" t="s">
        <v>68</v>
      </c>
      <c r="C7" s="23" t="n">
        <f aca="false">Inputs!$C$8</f>
        <v>9.2</v>
      </c>
      <c r="D7" s="23" t="n">
        <f aca="false">Inputs!$C$89</f>
        <v>4.87362980437733</v>
      </c>
      <c r="E7" s="24" t="n">
        <f aca="false">D7/(1-Inputs!$C$31)</f>
        <v>6.76893028385741</v>
      </c>
      <c r="F7" s="23" t="n">
        <f aca="false">E7-C7</f>
        <v>-2.43106971614259</v>
      </c>
      <c r="G7" s="25" t="n">
        <f aca="false">F7/C7</f>
        <v>-0.264246708276369</v>
      </c>
      <c r="H7" s="19" t="n">
        <f aca="false">Inputs!$C$7</f>
        <v>1850000</v>
      </c>
      <c r="I7" s="19" t="n">
        <f aca="false">F7*H7</f>
        <v>-4497478.9748638</v>
      </c>
      <c r="J7" s="19" t="n">
        <f aca="false">(Inputs!$C$8-Inputs!$C$89)*Inputs!$C$7</f>
        <v>8003784.86190193</v>
      </c>
    </row>
    <row r="8" customFormat="false" ht="15" hidden="false" customHeight="false" outlineLevel="0" collapsed="false">
      <c r="B8" s="3" t="s">
        <v>69</v>
      </c>
      <c r="C8" s="23" t="n">
        <f aca="false">Inputs!$D$8</f>
        <v>23.5</v>
      </c>
      <c r="D8" s="23" t="n">
        <f aca="false">Inputs!$D$89</f>
        <v>13.9453675687297</v>
      </c>
      <c r="E8" s="24" t="n">
        <f aca="false">D8/(1-Inputs!$C$31)</f>
        <v>19.3685660676801</v>
      </c>
      <c r="F8" s="23" t="n">
        <f aca="false">E8-C8</f>
        <v>-4.13143393231992</v>
      </c>
      <c r="G8" s="25" t="n">
        <f aca="false">F8/C8</f>
        <v>-0.175805699247656</v>
      </c>
      <c r="H8" s="19" t="n">
        <f aca="false">Inputs!$D$7</f>
        <v>640000</v>
      </c>
      <c r="I8" s="19" t="n">
        <f aca="false">F8*H8</f>
        <v>-2644117.71668475</v>
      </c>
      <c r="J8" s="19" t="n">
        <f aca="false">(Inputs!$D$8-Inputs!$D$89)*Inputs!$D$7</f>
        <v>6114964.75601302</v>
      </c>
    </row>
    <row r="9" customFormat="false" ht="15" hidden="false" customHeight="false" outlineLevel="0" collapsed="false">
      <c r="B9" s="3" t="s">
        <v>70</v>
      </c>
      <c r="C9" s="23" t="n">
        <f aca="false">Inputs!$E$8</f>
        <v>78</v>
      </c>
      <c r="D9" s="23" t="n">
        <f aca="false">Inputs!$E$89</f>
        <v>64.2194902819927</v>
      </c>
      <c r="E9" s="24" t="n">
        <f aca="false">D9/(1-Inputs!$C$31)</f>
        <v>89.1937365027677</v>
      </c>
      <c r="F9" s="23" t="n">
        <f aca="false">E9-C9</f>
        <v>11.1937365027677</v>
      </c>
      <c r="G9" s="25" t="n">
        <f aca="false">F9/C9</f>
        <v>0.143509442343175</v>
      </c>
      <c r="H9" s="19" t="n">
        <f aca="false">Inputs!$E$7</f>
        <v>118000</v>
      </c>
      <c r="I9" s="19" t="n">
        <f aca="false">F9*H9</f>
        <v>1320860.90732658</v>
      </c>
      <c r="J9" s="19" t="n">
        <f aca="false">(Inputs!$E$8-Inputs!$E$89)*Inputs!$E$7</f>
        <v>1626100.14672486</v>
      </c>
    </row>
    <row r="10" customFormat="false" ht="15" hidden="false" customHeight="false" outlineLevel="0" collapsed="false">
      <c r="B10" s="3" t="s">
        <v>71</v>
      </c>
      <c r="C10" s="23" t="n">
        <f aca="false">Inputs!$F$8</f>
        <v>348</v>
      </c>
      <c r="D10" s="23" t="n">
        <f aca="false">Inputs!$F$89</f>
        <v>436.905936648196</v>
      </c>
      <c r="E10" s="24" t="n">
        <f aca="false">D10/(1-Inputs!$C$31)</f>
        <v>606.813800900272</v>
      </c>
      <c r="F10" s="23" t="n">
        <f aca="false">E10-C10</f>
        <v>258.813800900272</v>
      </c>
      <c r="G10" s="25" t="n">
        <f aca="false">F10/C10</f>
        <v>0.743717818678942</v>
      </c>
      <c r="H10" s="19" t="n">
        <f aca="false">Inputs!$F$7</f>
        <v>19500</v>
      </c>
      <c r="I10" s="19" t="n">
        <f aca="false">F10*H10</f>
        <v>5046869.1175553</v>
      </c>
      <c r="J10" s="19" t="n">
        <f aca="false">(Inputs!$F$8-Inputs!$F$89)*Inputs!$F$7</f>
        <v>-1733665.76463981</v>
      </c>
    </row>
    <row r="11" customFormat="false" ht="15" hidden="false" customHeight="false" outlineLevel="0" collapsed="false">
      <c r="B11" s="31" t="s">
        <v>340</v>
      </c>
      <c r="I11" s="37" t="n">
        <f aca="false">SUM(I7:I10)</f>
        <v>-773866.666666663</v>
      </c>
    </row>
    <row r="12" customFormat="false" ht="15" hidden="false" customHeight="false" outlineLevel="0" collapsed="false">
      <c r="B12" s="4" t="s">
        <v>341</v>
      </c>
    </row>
    <row r="13" customFormat="false" ht="15" hidden="false" customHeight="false" outlineLevel="0" collapsed="false">
      <c r="B13" s="4" t="s">
        <v>342</v>
      </c>
    </row>
    <row r="15" customFormat="false" ht="15" hidden="false" customHeight="false" outlineLevel="0" collapsed="false">
      <c r="B15" s="5" t="s">
        <v>343</v>
      </c>
      <c r="C15" s="6"/>
      <c r="D15" s="6"/>
      <c r="E15" s="6"/>
      <c r="F15" s="6"/>
      <c r="G15" s="6"/>
      <c r="H15" s="6"/>
      <c r="I15" s="6"/>
      <c r="J15" s="6"/>
      <c r="K15" s="6"/>
      <c r="L15" s="6"/>
      <c r="M15" s="6"/>
    </row>
    <row r="16" customFormat="false" ht="15" hidden="false" customHeight="false" outlineLevel="0" collapsed="false">
      <c r="B16" s="4" t="s">
        <v>344</v>
      </c>
    </row>
    <row r="17" customFormat="false" ht="15" hidden="false" customHeight="false" outlineLevel="0" collapsed="false">
      <c r="B17" s="4" t="s">
        <v>345</v>
      </c>
    </row>
    <row r="18" customFormat="false" ht="15" hidden="false" customHeight="false" outlineLevel="0" collapsed="false">
      <c r="B18" s="4" t="s">
        <v>346</v>
      </c>
    </row>
    <row r="20" customFormat="false" ht="35.05" hidden="false" customHeight="false" outlineLevel="0" collapsed="false">
      <c r="B20" s="7" t="s">
        <v>186</v>
      </c>
      <c r="C20" s="7" t="s">
        <v>339</v>
      </c>
      <c r="D20" s="7" t="s">
        <v>333</v>
      </c>
      <c r="E20" s="7" t="s">
        <v>347</v>
      </c>
      <c r="F20" s="7" t="s">
        <v>348</v>
      </c>
      <c r="G20" s="7" t="s">
        <v>349</v>
      </c>
      <c r="H20" s="7" t="s">
        <v>350</v>
      </c>
      <c r="I20" s="7" t="s">
        <v>351</v>
      </c>
      <c r="J20" s="7" t="s">
        <v>352</v>
      </c>
      <c r="K20" s="7" t="s">
        <v>353</v>
      </c>
      <c r="L20" s="7" t="s">
        <v>354</v>
      </c>
      <c r="M20" s="7" t="s">
        <v>355</v>
      </c>
    </row>
    <row r="21" customFormat="false" ht="15" hidden="false" customHeight="false" outlineLevel="0" collapsed="false">
      <c r="B21" s="3" t="s">
        <v>68</v>
      </c>
      <c r="C21" s="19" t="n">
        <f aca="false">(Inputs!$C$8-Inputs!$C$89)*Inputs!$C$7</f>
        <v>8003784.86190193</v>
      </c>
      <c r="D21" s="23" t="n">
        <f aca="false">Inputs!$C$8</f>
        <v>9.2</v>
      </c>
      <c r="E21" s="23" t="n">
        <f aca="false">Inputs!$C$9+Inputs!$C$10*Inputs!$C$29+Inputs!$C$72*Inputs!$C$11</f>
        <v>4.56667640225689</v>
      </c>
      <c r="F21" s="23" t="n">
        <f aca="false">D21-E21</f>
        <v>4.63332359774311</v>
      </c>
      <c r="G21" s="34" t="n">
        <f aca="false">IF(C21&lt;=0,"loses money today",(D21-Inputs!$C$55*F21)/(Inputs!$C$55*D21))</f>
        <v>0.237118610551272</v>
      </c>
      <c r="H21" s="19" t="n">
        <f aca="false">IF(ISNUMBER(G21),Inputs!$C$7*(1-Inputs!$C$55*G21),"n/a")</f>
        <v>1257796.2701482</v>
      </c>
      <c r="I21" s="25" t="n">
        <f aca="false">IF(ISNUMBER(G21),Inputs!$C$55*G21,"n/a")</f>
        <v>0.320110124244217</v>
      </c>
      <c r="J21" s="23" t="n">
        <f aca="false">Inputs!$C$89</f>
        <v>4.87362980437733</v>
      </c>
      <c r="K21" s="24" t="n">
        <f aca="false">IF(ISNUMBER(G21),Inputs!$C$9+Inputs!$C$10*Inputs!$C$29+((Inputs!$C$82+Inputs!$C$83+Inputs!$C$85+Inputs!$C$86)+Inputs!$C$72*Inputs!$C$11*H21)/H21,"n/a")</f>
        <v>5.01815157943794</v>
      </c>
      <c r="L21" s="23" t="n">
        <f aca="false">IF(ISNUMBER(G21),D21*(1+G21),"n/a")</f>
        <v>11.3814912170717</v>
      </c>
      <c r="M21" s="19" t="n">
        <f aca="false">IF(ISNUMBER(G21),(L21-K21)*H21,"n/a")</f>
        <v>8003784.86190194</v>
      </c>
    </row>
    <row r="22" customFormat="false" ht="15" hidden="false" customHeight="false" outlineLevel="0" collapsed="false">
      <c r="B22" s="3" t="s">
        <v>69</v>
      </c>
      <c r="C22" s="19" t="n">
        <f aca="false">(Inputs!$D$8-Inputs!$D$89)*Inputs!$D$7</f>
        <v>6114964.75601302</v>
      </c>
      <c r="D22" s="23" t="n">
        <f aca="false">Inputs!$D$8</f>
        <v>23.5</v>
      </c>
      <c r="E22" s="23" t="n">
        <f aca="false">Inputs!$D$9+Inputs!$D$10*Inputs!$C$29+Inputs!$C$72*Inputs!$D$11</f>
        <v>11.8254923332227</v>
      </c>
      <c r="F22" s="23" t="n">
        <f aca="false">D22-E22</f>
        <v>11.6745076667773</v>
      </c>
      <c r="G22" s="34" t="n">
        <f aca="false">IF(C22&lt;=0,"loses money today",(D22-Inputs!$C$55*F22)/(Inputs!$C$55*D22))</f>
        <v>0.243953180452345</v>
      </c>
      <c r="H22" s="19" t="n">
        <f aca="false">IF(ISNUMBER(G22),Inputs!$D$7*(1-Inputs!$C$55*G22),"n/a")</f>
        <v>429224.452089174</v>
      </c>
      <c r="I22" s="25" t="n">
        <f aca="false">IF(ISNUMBER(G22),Inputs!$C$55*G22,"n/a")</f>
        <v>0.329336793610666</v>
      </c>
      <c r="J22" s="23" t="n">
        <f aca="false">Inputs!$D$89</f>
        <v>13.9453675687297</v>
      </c>
      <c r="K22" s="24" t="n">
        <f aca="false">IF(ISNUMBER(G22),Inputs!$D$9+Inputs!$D$10*Inputs!$C$29+((Inputs!$D$82+Inputs!$D$83+Inputs!$D$85+Inputs!$D$86)+Inputs!$C$72*Inputs!$D$11*H22)/H22,"n/a")</f>
        <v>14.9863564082325</v>
      </c>
      <c r="L22" s="23" t="n">
        <f aca="false">IF(ISNUMBER(G22),D22*(1+G22),"n/a")</f>
        <v>29.2328997406301</v>
      </c>
      <c r="M22" s="19" t="n">
        <f aca="false">IF(ISNUMBER(G22),(L22-K22)*H22,"n/a")</f>
        <v>6114964.75601302</v>
      </c>
    </row>
    <row r="23" customFormat="false" ht="15" hidden="false" customHeight="false" outlineLevel="0" collapsed="false">
      <c r="B23" s="3" t="s">
        <v>70</v>
      </c>
      <c r="C23" s="19" t="n">
        <f aca="false">(Inputs!$E$8-Inputs!$E$89)*Inputs!$E$7</f>
        <v>1626100.14672486</v>
      </c>
      <c r="D23" s="23" t="n">
        <f aca="false">Inputs!$E$8</f>
        <v>78</v>
      </c>
      <c r="E23" s="23" t="n">
        <f aca="false">Inputs!$E$9+Inputs!$E$10*Inputs!$C$29+Inputs!$C$72*Inputs!$E$11</f>
        <v>42.7724616661135</v>
      </c>
      <c r="F23" s="23" t="n">
        <f aca="false">D23-E23</f>
        <v>35.2275383338865</v>
      </c>
      <c r="G23" s="34" t="n">
        <f aca="false">IF(C23&lt;=0,"loses money today",(D23-Inputs!$C$55*F23)/(Inputs!$C$55*D23))</f>
        <v>0.289105633896042</v>
      </c>
      <c r="H23" s="19" t="n">
        <f aca="false">IF(ISNUMBER(G23),Inputs!$E$7*(1-Inputs!$C$55*G23),"n/a")</f>
        <v>71945.4725203605</v>
      </c>
      <c r="I23" s="25" t="n">
        <f aca="false">IF(ISNUMBER(G23),Inputs!$C$55*G23,"n/a")</f>
        <v>0.390292605759657</v>
      </c>
      <c r="J23" s="23" t="n">
        <f aca="false">Inputs!$E$89</f>
        <v>64.2194902819927</v>
      </c>
      <c r="K23" s="24" t="n">
        <f aca="false">IF(ISNUMBER(G23),Inputs!$E$9+Inputs!$E$10*Inputs!$C$29+((Inputs!$E$82+Inputs!$E$83+Inputs!$E$85+Inputs!$E$86)+Inputs!$C$72*Inputs!$E$11*H23)/H23,"n/a")</f>
        <v>77.9483982194185</v>
      </c>
      <c r="L23" s="23" t="n">
        <f aca="false">IF(ISNUMBER(G23),D23*(1+G23),"n/a")</f>
        <v>100.550239443891</v>
      </c>
      <c r="M23" s="19" t="n">
        <f aca="false">IF(ISNUMBER(G23),(L23-K23)*H23,"n/a")</f>
        <v>1626100.14672486</v>
      </c>
    </row>
    <row r="24" customFormat="false" ht="15" hidden="false" customHeight="false" outlineLevel="0" collapsed="false">
      <c r="B24" s="3" t="s">
        <v>71</v>
      </c>
      <c r="C24" s="19" t="n">
        <f aca="false">(Inputs!$F$8-Inputs!$F$89)*Inputs!$F$7</f>
        <v>-1733665.76463981</v>
      </c>
      <c r="D24" s="23" t="n">
        <f aca="false">Inputs!$F$8</f>
        <v>348</v>
      </c>
      <c r="E24" s="23" t="n">
        <f aca="false">Inputs!$F$9+Inputs!$F$10*Inputs!$C$29+Inputs!$C$72*Inputs!$F$11</f>
        <v>213.07687620312</v>
      </c>
      <c r="F24" s="23" t="n">
        <f aca="false">D24-E24</f>
        <v>134.92312379688</v>
      </c>
      <c r="G24" s="34" t="str">
        <f aca="false">IF(C24&lt;=0,"loses money today",(D24-Inputs!$C$55*F24)/(Inputs!$C$55*D24))</f>
        <v>loses money today</v>
      </c>
      <c r="H24" s="19" t="str">
        <f aca="false">IF(ISNUMBER(G24),Inputs!$F$7*(1-Inputs!$C$55*G24),"n/a")</f>
        <v>n/a</v>
      </c>
      <c r="I24" s="25" t="str">
        <f aca="false">IF(ISNUMBER(G24),Inputs!$C$55*G24,"n/a")</f>
        <v>n/a</v>
      </c>
      <c r="J24" s="23" t="n">
        <f aca="false">Inputs!$F$89</f>
        <v>436.905936648196</v>
      </c>
      <c r="K24" s="24" t="str">
        <f aca="false">IF(ISNUMBER(G24),Inputs!$F$9+Inputs!$F$10*Inputs!$C$29+((Inputs!$F$82+Inputs!$F$83+Inputs!$F$85+Inputs!$F$86)+Inputs!$C$72*Inputs!$F$11*H24)/H24,"n/a")</f>
        <v>n/a</v>
      </c>
      <c r="L24" s="23" t="str">
        <f aca="false">IF(ISNUMBER(G24),D24*(1+G24),"n/a")</f>
        <v>n/a</v>
      </c>
      <c r="M24" s="19" t="str">
        <f aca="false">IF(ISNUMBER(G24),(L24-K24)*H24,"n/a")</f>
        <v>n/a</v>
      </c>
    </row>
    <row r="25" customFormat="false" ht="15" hidden="false" customHeight="false" outlineLevel="0" collapsed="false">
      <c r="B25" s="4" t="s">
        <v>356</v>
      </c>
    </row>
    <row r="26" customFormat="false" ht="15" hidden="false" customHeight="false" outlineLevel="0" collapsed="false">
      <c r="B26" s="4" t="s">
        <v>357</v>
      </c>
    </row>
    <row r="28" customFormat="false" ht="15" hidden="false" customHeight="false" outlineLevel="0" collapsed="false">
      <c r="B28" s="4" t="s">
        <v>358</v>
      </c>
    </row>
    <row r="29" customFormat="false" ht="15" hidden="false" customHeight="false" outlineLevel="0" collapsed="false">
      <c r="B29" s="3" t="s">
        <v>359</v>
      </c>
      <c r="C29" s="24" t="n">
        <f aca="false">Inputs!$F$89</f>
        <v>436.905936648196</v>
      </c>
    </row>
    <row r="30" customFormat="false" ht="15" hidden="false" customHeight="false" outlineLevel="0" collapsed="false">
      <c r="B30" s="3" t="s">
        <v>360</v>
      </c>
      <c r="C30" s="34" t="n">
        <f aca="false">(Inputs!$F$89-Inputs!$F$8)/Inputs!$F$8</f>
        <v>0.255476829448838</v>
      </c>
    </row>
    <row r="31" customFormat="false" ht="15" hidden="false" customHeight="false" outlineLevel="0" collapsed="false">
      <c r="B31" s="3" t="s">
        <v>361</v>
      </c>
      <c r="C31" s="24" t="n">
        <f aca="false">E10</f>
        <v>606.813800900272</v>
      </c>
    </row>
    <row r="32" customFormat="false" ht="15" hidden="false" customHeight="false" outlineLevel="0" collapsed="false">
      <c r="B32" s="3" t="s">
        <v>362</v>
      </c>
      <c r="C32" s="34" t="n">
        <f aca="false">G10</f>
        <v>0.743717818678942</v>
      </c>
    </row>
    <row r="33" customFormat="false" ht="15" hidden="false" customHeight="false" outlineLevel="0" collapsed="false">
      <c r="B33" s="4" t="s">
        <v>363</v>
      </c>
    </row>
    <row r="35" customFormat="false" ht="15" hidden="false" customHeight="false" outlineLevel="0" collapsed="false">
      <c r="B35" s="5" t="s">
        <v>364</v>
      </c>
    </row>
    <row r="36" customFormat="false" ht="15" hidden="false" customHeight="false" outlineLevel="0" collapsed="false">
      <c r="B36" s="3" t="s">
        <v>347</v>
      </c>
      <c r="C36" s="24" t="n">
        <f aca="false">E24</f>
        <v>213.07687620312</v>
      </c>
    </row>
    <row r="37" customFormat="false" ht="15" hidden="false" customHeight="false" outlineLevel="0" collapsed="false">
      <c r="B37" s="3" t="s">
        <v>365</v>
      </c>
      <c r="C37" s="20" t="n">
        <f aca="false">Inputs!$F$87-Inputs!$F$84</f>
        <v>4364666.67867898</v>
      </c>
    </row>
    <row r="38" customFormat="false" ht="15" hidden="false" customHeight="false" outlineLevel="0" collapsed="false">
      <c r="B38" s="3" t="s">
        <v>366</v>
      </c>
      <c r="C38" s="34" t="n">
        <f aca="false">(D24-Inputs!$C$55*F24)/(Inputs!$C$55*D24)</f>
        <v>0.353030614887637</v>
      </c>
    </row>
    <row r="39" customFormat="false" ht="15" hidden="false" customHeight="false" outlineLevel="0" collapsed="false">
      <c r="B39" s="3" t="s">
        <v>367</v>
      </c>
      <c r="C39" s="20" t="n">
        <f aca="false">Inputs!$F$7*(1-Inputs!$C$55*C38)</f>
        <v>10206.469063083</v>
      </c>
    </row>
    <row r="40" customFormat="false" ht="15" hidden="false" customHeight="false" outlineLevel="0" collapsed="false">
      <c r="B40" s="3" t="s">
        <v>368</v>
      </c>
      <c r="C40" s="34" t="n">
        <f aca="false">C38/2</f>
        <v>0.176515307443818</v>
      </c>
    </row>
    <row r="41" customFormat="false" ht="15" hidden="false" customHeight="false" outlineLevel="0" collapsed="false">
      <c r="B41" s="3" t="s">
        <v>369</v>
      </c>
      <c r="C41" s="20" t="n">
        <f aca="false">Inputs!$F$7*(1-Inputs!$C$55*C40)*(D24*(1+C40)-E24)-C37</f>
        <v>-1448227.38276089</v>
      </c>
    </row>
    <row r="42" customFormat="false" ht="15" hidden="false" customHeight="false" outlineLevel="0" collapsed="false">
      <c r="B42" s="3" t="s">
        <v>370</v>
      </c>
      <c r="C42" s="20" t="n">
        <f aca="false">MAX(0,Inputs!$F$7*(1-Inputs!$C$55*C30))*(C29-E24)-C37</f>
        <v>-1505346.12630436</v>
      </c>
    </row>
    <row r="43" customFormat="false" ht="15" hidden="false" customHeight="false" outlineLevel="0" collapsed="false">
      <c r="B43" s="3" t="s">
        <v>371</v>
      </c>
      <c r="C43" s="20" t="n">
        <f aca="false">MAX(0,Inputs!$F$7*(1-Inputs!$C$55*G10))</f>
        <v>0</v>
      </c>
    </row>
    <row r="44" customFormat="false" ht="15" hidden="false" customHeight="false" outlineLevel="0" collapsed="false">
      <c r="B44" s="3" t="s">
        <v>372</v>
      </c>
      <c r="C44" s="20" t="n">
        <f aca="false">C43*(E10-E24)-C37</f>
        <v>-4364666.67867898</v>
      </c>
    </row>
    <row r="45" customFormat="false" ht="15" hidden="false" customHeight="false" outlineLevel="0" collapsed="false">
      <c r="B45" s="3" t="s">
        <v>373</v>
      </c>
      <c r="C45" s="49" t="n">
        <f aca="false">(1-(C24+C37)/((E10-E24)*Inputs!$F$7))/G10</f>
        <v>0.883838873551595</v>
      </c>
    </row>
    <row r="46" customFormat="false" ht="15" hidden="false" customHeight="false" outlineLevel="0" collapsed="false">
      <c r="B46" s="3" t="s">
        <v>374</v>
      </c>
      <c r="C46" s="20" t="n">
        <f aca="false">Inputs!$F$7*(1-Inputs!$C$55*C38)*(D24*(1+C38)-E24)-C37</f>
        <v>-1733665.76463981</v>
      </c>
    </row>
    <row r="47" customFormat="false" ht="15" hidden="false" customHeight="false" outlineLevel="0" collapsed="false">
      <c r="B47" s="4" t="s">
        <v>375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3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4" min="3" style="0" width="17"/>
    <col collapsed="false" customWidth="true" hidden="false" outlineLevel="0" max="5" min="5" style="0" width="15"/>
    <col collapsed="false" customWidth="true" hidden="false" outlineLevel="0" max="6" min="6" style="0" width="9"/>
  </cols>
  <sheetData>
    <row r="2" customFormat="false" ht="17.35" hidden="false" customHeight="false" outlineLevel="0" collapsed="false">
      <c r="B2" s="1" t="s">
        <v>376</v>
      </c>
    </row>
    <row r="3" customFormat="false" ht="15" hidden="false" customHeight="false" outlineLevel="0" collapsed="false">
      <c r="B3" s="3" t="s">
        <v>377</v>
      </c>
    </row>
    <row r="4" customFormat="false" ht="15" hidden="false" customHeight="false" outlineLevel="0" collapsed="false">
      <c r="B4" s="3" t="s">
        <v>378</v>
      </c>
    </row>
    <row r="5" customFormat="false" ht="15" hidden="false" customHeight="false" outlineLevel="0" collapsed="false">
      <c r="B5" s="3" t="s">
        <v>379</v>
      </c>
    </row>
    <row r="7" customFormat="false" ht="15" hidden="false" customHeight="false" outlineLevel="0" collapsed="false">
      <c r="B7" s="5" t="s">
        <v>380</v>
      </c>
      <c r="C7" s="6"/>
      <c r="D7" s="6"/>
      <c r="E7" s="6"/>
      <c r="F7" s="6"/>
    </row>
    <row r="8" customFormat="false" ht="15" hidden="false" customHeight="false" outlineLevel="0" collapsed="false">
      <c r="B8" s="3" t="s">
        <v>146</v>
      </c>
      <c r="C8" s="19" t="n">
        <v>48050000</v>
      </c>
      <c r="D8" s="50" t="n">
        <f aca="false">ROUND(Inputs!$G$59,0)</f>
        <v>48050000</v>
      </c>
      <c r="E8" s="21" t="n">
        <f aca="false">D8-C8</f>
        <v>0</v>
      </c>
      <c r="F8" s="14" t="str">
        <f aca="false">IF(ABS(E8)&lt;0.00000001,"PASS","FAIL")</f>
        <v>PASS</v>
      </c>
    </row>
    <row r="9" customFormat="false" ht="15" hidden="false" customHeight="false" outlineLevel="0" collapsed="false">
      <c r="B9" s="3" t="s">
        <v>381</v>
      </c>
      <c r="C9" s="19" t="n">
        <v>15796500</v>
      </c>
      <c r="D9" s="50" t="n">
        <f aca="false">ROUND(Inputs!$G$66,0)</f>
        <v>15796500</v>
      </c>
      <c r="E9" s="21" t="n">
        <f aca="false">D9-C9</f>
        <v>0</v>
      </c>
      <c r="F9" s="14" t="str">
        <f aca="false">IF(ABS(E9)&lt;0.00000001,"PASS","FAIL")</f>
        <v>PASS</v>
      </c>
    </row>
    <row r="10" customFormat="false" ht="15" hidden="false" customHeight="false" outlineLevel="0" collapsed="false">
      <c r="B10" s="3" t="s">
        <v>382</v>
      </c>
      <c r="C10" s="19" t="n">
        <v>4802316</v>
      </c>
      <c r="D10" s="50" t="n">
        <f aca="false">ROUND(Inputs!$G$67,0)</f>
        <v>4802316</v>
      </c>
      <c r="E10" s="21" t="n">
        <f aca="false">D10-C10</f>
        <v>0</v>
      </c>
      <c r="F10" s="14" t="str">
        <f aca="false">IF(ABS(E10)&lt;0.00000001,"PASS","FAIL")</f>
        <v>PASS</v>
      </c>
    </row>
    <row r="11" customFormat="false" ht="15" hidden="false" customHeight="false" outlineLevel="0" collapsed="false">
      <c r="B11" s="3" t="s">
        <v>383</v>
      </c>
      <c r="C11" s="19" t="n">
        <v>13440000</v>
      </c>
      <c r="D11" s="50" t="n">
        <f aca="false">ROUND(Inputs!$C$25,0)</f>
        <v>13440000</v>
      </c>
      <c r="E11" s="21" t="n">
        <f aca="false">D11-C11</f>
        <v>0</v>
      </c>
      <c r="F11" s="14" t="str">
        <f aca="false">IF(ABS(E11)&lt;0.00000001,"PASS","FAIL")</f>
        <v>PASS</v>
      </c>
    </row>
    <row r="12" customFormat="false" ht="15" hidden="false" customHeight="false" outlineLevel="0" collapsed="false">
      <c r="B12" s="3" t="s">
        <v>310</v>
      </c>
      <c r="C12" s="19" t="n">
        <v>7291184</v>
      </c>
      <c r="D12" s="50" t="n">
        <f aca="false">ROUND(Inputs!$G$59-Inputs!$G$66-Inputs!$G$67-Inputs!$C$25-Inputs!$C$30,0)</f>
        <v>7291184</v>
      </c>
      <c r="E12" s="21" t="n">
        <f aca="false">D12-C12</f>
        <v>0</v>
      </c>
      <c r="F12" s="14" t="str">
        <f aca="false">IF(ABS(E12)&lt;0.00000001,"PASS","FAIL")</f>
        <v>PASS</v>
      </c>
    </row>
    <row r="13" customFormat="false" ht="15" hidden="false" customHeight="false" outlineLevel="0" collapsed="false">
      <c r="B13" s="3" t="s">
        <v>384</v>
      </c>
      <c r="C13" s="19" t="n">
        <v>152940</v>
      </c>
      <c r="D13" s="50" t="n">
        <f aca="false">ROUND(Inputs!$G$60,0)</f>
        <v>152940</v>
      </c>
      <c r="E13" s="21" t="n">
        <f aca="false">D13-C13</f>
        <v>0</v>
      </c>
      <c r="F13" s="14" t="str">
        <f aca="false">IF(ABS(E13)&lt;0.00000001,"PASS","FAIL")</f>
        <v>PASS</v>
      </c>
    </row>
    <row r="14" customFormat="false" ht="15" hidden="false" customHeight="false" outlineLevel="0" collapsed="false">
      <c r="B14" s="3" t="s">
        <v>385</v>
      </c>
      <c r="C14" s="19" t="n">
        <v>150650</v>
      </c>
      <c r="D14" s="50" t="n">
        <f aca="false">ROUND(Inputs!$G$61,0)</f>
        <v>150650</v>
      </c>
      <c r="E14" s="21" t="n">
        <f aca="false">D14-C14</f>
        <v>0</v>
      </c>
      <c r="F14" s="14" t="str">
        <f aca="false">IF(ABS(E14)&lt;0.00000001,"PASS","FAIL")</f>
        <v>PASS</v>
      </c>
    </row>
    <row r="15" customFormat="false" ht="15" hidden="false" customHeight="false" outlineLevel="0" collapsed="false">
      <c r="B15" s="3" t="s">
        <v>386</v>
      </c>
      <c r="C15" s="19" t="n">
        <v>3900</v>
      </c>
      <c r="D15" s="50" t="n">
        <f aca="false">ROUND(Inputs!$G$62,0)</f>
        <v>3900</v>
      </c>
      <c r="E15" s="21" t="n">
        <f aca="false">D15-C15</f>
        <v>0</v>
      </c>
      <c r="F15" s="14" t="str">
        <f aca="false">IF(ABS(E15)&lt;0.00000001,"PASS","FAIL")</f>
        <v>PASS</v>
      </c>
    </row>
    <row r="16" customFormat="false" ht="15" hidden="false" customHeight="false" outlineLevel="0" collapsed="false">
      <c r="B16" s="3" t="s">
        <v>387</v>
      </c>
      <c r="C16" s="19" t="n">
        <v>5330</v>
      </c>
      <c r="D16" s="50" t="n">
        <f aca="false">ROUND(Inputs!$G$63,0)</f>
        <v>5330</v>
      </c>
      <c r="E16" s="21" t="n">
        <f aca="false">D16-C16</f>
        <v>0</v>
      </c>
      <c r="F16" s="14" t="str">
        <f aca="false">IF(ABS(E16)&lt;0.00000001,"PASS","FAIL")</f>
        <v>PASS</v>
      </c>
    </row>
    <row r="17" customFormat="false" ht="15" hidden="false" customHeight="false" outlineLevel="0" collapsed="false">
      <c r="B17" s="3" t="s">
        <v>388</v>
      </c>
      <c r="C17" s="19" t="n">
        <v>980</v>
      </c>
      <c r="D17" s="50" t="n">
        <f aca="false">ROUND(Inputs!$G$64,0)</f>
        <v>980</v>
      </c>
      <c r="E17" s="21" t="n">
        <f aca="false">D17-C17</f>
        <v>0</v>
      </c>
      <c r="F17" s="14" t="str">
        <f aca="false">IF(ABS(E17)&lt;0.00000001,"PASS","FAIL")</f>
        <v>PASS</v>
      </c>
    </row>
    <row r="18" customFormat="false" ht="15" hidden="false" customHeight="false" outlineLevel="0" collapsed="false">
      <c r="B18" s="3" t="s">
        <v>389</v>
      </c>
      <c r="C18" s="19" t="n">
        <v>16660</v>
      </c>
      <c r="D18" s="50" t="n">
        <f aca="false">ROUND(Inputs!$G$65,0)</f>
        <v>16660</v>
      </c>
      <c r="E18" s="21" t="n">
        <f aca="false">D18-C18</f>
        <v>0</v>
      </c>
      <c r="F18" s="14" t="str">
        <f aca="false">IF(ABS(E18)&lt;0.00000001,"PASS","FAIL")</f>
        <v>PASS</v>
      </c>
    </row>
    <row r="19" customFormat="false" ht="15" hidden="false" customHeight="false" outlineLevel="0" collapsed="false">
      <c r="B19" s="3" t="s">
        <v>390</v>
      </c>
      <c r="C19" s="21" t="n">
        <v>87.8776</v>
      </c>
      <c r="D19" s="51" t="n">
        <f aca="false">ROUND(Inputs!$C$75,4)</f>
        <v>87.8776</v>
      </c>
      <c r="E19" s="21" t="n">
        <f aca="false">D19-C19</f>
        <v>0</v>
      </c>
      <c r="F19" s="14" t="str">
        <f aca="false">IF(ABS(E19)&lt;0.00000001,"PASS","FAIL")</f>
        <v>PASS</v>
      </c>
    </row>
    <row r="20" customFormat="false" ht="15" hidden="false" customHeight="false" outlineLevel="0" collapsed="false">
      <c r="B20" s="5" t="s">
        <v>391</v>
      </c>
      <c r="C20" s="6"/>
      <c r="D20" s="6"/>
      <c r="E20" s="6"/>
      <c r="F20" s="6"/>
    </row>
    <row r="21" customFormat="false" ht="15" hidden="false" customHeight="false" outlineLevel="0" collapsed="false">
      <c r="B21" s="3" t="s">
        <v>156</v>
      </c>
      <c r="C21" s="21" t="n">
        <v>900</v>
      </c>
      <c r="D21" s="51" t="n">
        <f aca="false">ROUND(Inputs!$C$70,4)</f>
        <v>900</v>
      </c>
      <c r="E21" s="21" t="n">
        <f aca="false">D21-C21</f>
        <v>0</v>
      </c>
      <c r="F21" s="14" t="str">
        <f aca="false">IF(ABS(E21)&lt;0.00000001,"PASS","FAIL")</f>
        <v>PASS</v>
      </c>
    </row>
    <row r="22" customFormat="false" ht="15" hidden="false" customHeight="false" outlineLevel="0" collapsed="false">
      <c r="B22" s="3" t="s">
        <v>392</v>
      </c>
      <c r="C22" s="21" t="n">
        <v>371.4822</v>
      </c>
      <c r="D22" s="51" t="n">
        <f aca="false">ROUND(Inputs!$C$71,4)</f>
        <v>371.4822</v>
      </c>
      <c r="E22" s="21" t="n">
        <f aca="false">D22-C22</f>
        <v>0</v>
      </c>
      <c r="F22" s="14" t="str">
        <f aca="false">IF(ABS(E22)&lt;0.00000001,"PASS","FAIL")</f>
        <v>PASS</v>
      </c>
    </row>
    <row r="23" customFormat="false" ht="15" hidden="false" customHeight="false" outlineLevel="0" collapsed="false">
      <c r="B23" s="3" t="s">
        <v>158</v>
      </c>
      <c r="C23" s="21" t="n">
        <v>30.6671</v>
      </c>
      <c r="D23" s="51" t="n">
        <f aca="false">ROUND(Inputs!$C$72,4)</f>
        <v>30.6671</v>
      </c>
      <c r="E23" s="21" t="n">
        <f aca="false">D23-C23</f>
        <v>0</v>
      </c>
      <c r="F23" s="14" t="str">
        <f aca="false">IF(ABS(E23)&lt;0.00000001,"PASS","FAIL")</f>
        <v>PASS</v>
      </c>
    </row>
    <row r="24" customFormat="false" ht="15" hidden="false" customHeight="false" outlineLevel="0" collapsed="false">
      <c r="B24" s="3" t="s">
        <v>393</v>
      </c>
      <c r="C24" s="21" t="n">
        <v>1642.8571</v>
      </c>
      <c r="D24" s="51" t="n">
        <f aca="false">ROUND(Inputs!$C$73,4)</f>
        <v>1642.8571</v>
      </c>
      <c r="E24" s="21" t="n">
        <f aca="false">D24-C24</f>
        <v>0</v>
      </c>
      <c r="F24" s="14" t="str">
        <f aca="false">IF(ABS(E24)&lt;0.00000001,"PASS","FAIL")</f>
        <v>PASS</v>
      </c>
    </row>
    <row r="25" customFormat="false" ht="15" hidden="false" customHeight="false" outlineLevel="0" collapsed="false">
      <c r="B25" s="3" t="s">
        <v>394</v>
      </c>
      <c r="C25" s="21" t="n">
        <v>103.2413</v>
      </c>
      <c r="D25" s="51" t="n">
        <f aca="false">ROUND(Inputs!$C$74,4)</f>
        <v>103.2413</v>
      </c>
      <c r="E25" s="21" t="n">
        <f aca="false">D25-C25</f>
        <v>0</v>
      </c>
      <c r="F25" s="14" t="str">
        <f aca="false">IF(ABS(E25)&lt;0.00000001,"PASS","FAIL")</f>
        <v>PASS</v>
      </c>
    </row>
    <row r="26" customFormat="false" ht="15" hidden="false" customHeight="false" outlineLevel="0" collapsed="false">
      <c r="B26" s="3" t="s">
        <v>395</v>
      </c>
      <c r="C26" s="19" t="n">
        <v>13440000</v>
      </c>
      <c r="D26" s="50" t="n">
        <f aca="false">ROUND(Inputs!$C$70*Inputs!$G$62+Inputs!$C$71*Inputs!$G$63+Inputs!$C$72*Inputs!$G$61+Inputs!$C$73*Inputs!$G$64+Inputs!$C$74*Inputs!$G$65,0)</f>
        <v>13440000</v>
      </c>
      <c r="E26" s="21" t="n">
        <f aca="false">D26-C26</f>
        <v>0</v>
      </c>
      <c r="F26" s="14" t="str">
        <f aca="false">IF(ABS(E26)&lt;0.00000001,"PASS","FAIL")</f>
        <v>PASS</v>
      </c>
    </row>
    <row r="27" customFormat="false" ht="15" hidden="false" customHeight="false" outlineLevel="0" collapsed="false">
      <c r="B27" s="3" t="s">
        <v>396</v>
      </c>
      <c r="C27" s="19" t="n">
        <v>13440000</v>
      </c>
      <c r="D27" s="50" t="n">
        <f aca="false">ROUND(Inputs!$G$87,0)</f>
        <v>13440000</v>
      </c>
      <c r="E27" s="21" t="n">
        <f aca="false">D27-C27</f>
        <v>0</v>
      </c>
      <c r="F27" s="14" t="str">
        <f aca="false">IF(ABS(E27)&lt;0.00000001,"PASS","FAIL")</f>
        <v>PASS</v>
      </c>
    </row>
    <row r="28" customFormat="false" ht="15" hidden="false" customHeight="false" outlineLevel="0" collapsed="false">
      <c r="B28" s="5" t="s">
        <v>397</v>
      </c>
      <c r="C28" s="6"/>
      <c r="D28" s="6"/>
      <c r="E28" s="6"/>
      <c r="F28" s="6"/>
    </row>
    <row r="29" customFormat="false" ht="15" hidden="false" customHeight="false" outlineLevel="0" collapsed="false">
      <c r="B29" s="3" t="s">
        <v>68</v>
      </c>
      <c r="C29" s="23" t="n">
        <v>6.53</v>
      </c>
      <c r="D29" s="52" t="n">
        <f aca="false">ROUND(Inputs!$C$81,2)</f>
        <v>6.53</v>
      </c>
      <c r="E29" s="21" t="n">
        <f aca="false">D29-C29</f>
        <v>0</v>
      </c>
      <c r="F29" s="14" t="str">
        <f aca="false">IF(ABS(E29)&lt;0.00000001,"PASS","FAIL")</f>
        <v>PASS</v>
      </c>
    </row>
    <row r="30" customFormat="false" ht="15" hidden="false" customHeight="false" outlineLevel="0" collapsed="false">
      <c r="B30" s="3" t="s">
        <v>69</v>
      </c>
      <c r="C30" s="23" t="n">
        <v>15.5</v>
      </c>
      <c r="D30" s="52" t="n">
        <f aca="false">ROUND(Inputs!$D$81,2)</f>
        <v>15.5</v>
      </c>
      <c r="E30" s="21" t="n">
        <f aca="false">D30-C30</f>
        <v>0</v>
      </c>
      <c r="F30" s="14" t="str">
        <f aca="false">IF(ABS(E30)&lt;0.00000001,"PASS","FAIL")</f>
        <v>PASS</v>
      </c>
    </row>
    <row r="31" customFormat="false" ht="15" hidden="false" customHeight="false" outlineLevel="0" collapsed="false">
      <c r="B31" s="3" t="s">
        <v>70</v>
      </c>
      <c r="C31" s="23" t="n">
        <v>54.53</v>
      </c>
      <c r="D31" s="52" t="n">
        <f aca="false">ROUND(Inputs!$E$81,2)</f>
        <v>54.53</v>
      </c>
      <c r="E31" s="21" t="n">
        <f aca="false">D31-C31</f>
        <v>0</v>
      </c>
      <c r="F31" s="14" t="str">
        <f aca="false">IF(ABS(E31)&lt;0.00000001,"PASS","FAIL")</f>
        <v>PASS</v>
      </c>
    </row>
    <row r="32" customFormat="false" ht="15" hidden="false" customHeight="false" outlineLevel="0" collapsed="false">
      <c r="B32" s="3" t="s">
        <v>71</v>
      </c>
      <c r="C32" s="23" t="n">
        <v>287.69</v>
      </c>
      <c r="D32" s="52" t="n">
        <f aca="false">ROUND(Inputs!$F$81,2)</f>
        <v>287.69</v>
      </c>
      <c r="E32" s="21" t="n">
        <f aca="false">D32-C32</f>
        <v>0</v>
      </c>
      <c r="F32" s="14" t="str">
        <f aca="false">IF(ABS(E32)&lt;0.00000001,"PASS","FAIL")</f>
        <v>PASS</v>
      </c>
    </row>
    <row r="33" customFormat="false" ht="15" hidden="false" customHeight="false" outlineLevel="0" collapsed="false">
      <c r="B33" s="5" t="s">
        <v>398</v>
      </c>
      <c r="C33" s="6"/>
      <c r="D33" s="6"/>
      <c r="E33" s="6"/>
      <c r="F33" s="6"/>
    </row>
    <row r="34" customFormat="false" ht="15" hidden="false" customHeight="false" outlineLevel="0" collapsed="false">
      <c r="B34" s="3" t="s">
        <v>68</v>
      </c>
      <c r="C34" s="23" t="n">
        <v>4.87</v>
      </c>
      <c r="D34" s="52" t="n">
        <f aca="false">ROUND(Inputs!$C$89,2)</f>
        <v>4.87</v>
      </c>
      <c r="E34" s="21" t="n">
        <f aca="false">D34-C34</f>
        <v>0</v>
      </c>
      <c r="F34" s="14" t="str">
        <f aca="false">IF(ABS(E34)&lt;0.00000001,"PASS","FAIL")</f>
        <v>PASS</v>
      </c>
    </row>
    <row r="35" customFormat="false" ht="15" hidden="false" customHeight="false" outlineLevel="0" collapsed="false">
      <c r="B35" s="3" t="s">
        <v>69</v>
      </c>
      <c r="C35" s="23" t="n">
        <v>13.95</v>
      </c>
      <c r="D35" s="52" t="n">
        <f aca="false">ROUND(Inputs!$D$89,2)</f>
        <v>13.95</v>
      </c>
      <c r="E35" s="21" t="n">
        <f aca="false">D35-C35</f>
        <v>0</v>
      </c>
      <c r="F35" s="14" t="str">
        <f aca="false">IF(ABS(E35)&lt;0.00000001,"PASS","FAIL")</f>
        <v>PASS</v>
      </c>
    </row>
    <row r="36" customFormat="false" ht="15" hidden="false" customHeight="false" outlineLevel="0" collapsed="false">
      <c r="B36" s="3" t="s">
        <v>70</v>
      </c>
      <c r="C36" s="23" t="n">
        <v>64.22</v>
      </c>
      <c r="D36" s="52" t="n">
        <f aca="false">ROUND(Inputs!$E$89,2)</f>
        <v>64.22</v>
      </c>
      <c r="E36" s="21" t="n">
        <f aca="false">D36-C36</f>
        <v>0</v>
      </c>
      <c r="F36" s="14" t="str">
        <f aca="false">IF(ABS(E36)&lt;0.00000001,"PASS","FAIL")</f>
        <v>PASS</v>
      </c>
    </row>
    <row r="37" customFormat="false" ht="15" hidden="false" customHeight="false" outlineLevel="0" collapsed="false">
      <c r="B37" s="3" t="s">
        <v>71</v>
      </c>
      <c r="C37" s="23" t="n">
        <v>436.91</v>
      </c>
      <c r="D37" s="52" t="n">
        <f aca="false">ROUND(Inputs!$F$89,2)</f>
        <v>436.91</v>
      </c>
      <c r="E37" s="21" t="n">
        <f aca="false">D37-C37</f>
        <v>0</v>
      </c>
      <c r="F37" s="14" t="str">
        <f aca="false">IF(ABS(E37)&lt;0.00000001,"PASS","FAIL")</f>
        <v>PASS</v>
      </c>
    </row>
    <row r="38" customFormat="false" ht="15" hidden="false" customHeight="false" outlineLevel="0" collapsed="false">
      <c r="B38" s="5" t="s">
        <v>172</v>
      </c>
      <c r="C38" s="6"/>
      <c r="D38" s="6"/>
      <c r="E38" s="6"/>
      <c r="F38" s="6"/>
    </row>
    <row r="39" customFormat="false" ht="15" hidden="false" customHeight="false" outlineLevel="0" collapsed="false">
      <c r="B39" s="3" t="s">
        <v>68</v>
      </c>
      <c r="C39" s="23" t="n">
        <v>0.98</v>
      </c>
      <c r="D39" s="52" t="n">
        <f aca="false">ROUND(Inputs!$C$88,2)</f>
        <v>0.98</v>
      </c>
      <c r="E39" s="21" t="n">
        <f aca="false">D39-C39</f>
        <v>0</v>
      </c>
      <c r="F39" s="14" t="str">
        <f aca="false">IF(ABS(E39)&lt;0.00000001,"PASS","FAIL")</f>
        <v>PASS</v>
      </c>
    </row>
    <row r="40" customFormat="false" ht="15" hidden="false" customHeight="false" outlineLevel="0" collapsed="false">
      <c r="B40" s="3" t="s">
        <v>69</v>
      </c>
      <c r="C40" s="23" t="n">
        <v>3.9</v>
      </c>
      <c r="D40" s="52" t="n">
        <f aca="false">ROUND(Inputs!$D$88,2)</f>
        <v>3.9</v>
      </c>
      <c r="E40" s="21" t="n">
        <f aca="false">D40-C40</f>
        <v>0</v>
      </c>
      <c r="F40" s="14" t="str">
        <f aca="false">IF(ABS(E40)&lt;0.00000001,"PASS","FAIL")</f>
        <v>PASS</v>
      </c>
    </row>
    <row r="41" customFormat="false" ht="15" hidden="false" customHeight="false" outlineLevel="0" collapsed="false">
      <c r="B41" s="3" t="s">
        <v>70</v>
      </c>
      <c r="C41" s="23" t="n">
        <v>30.34</v>
      </c>
      <c r="D41" s="52" t="n">
        <f aca="false">ROUND(Inputs!$E$88,2)</f>
        <v>30.34</v>
      </c>
      <c r="E41" s="21" t="n">
        <f aca="false">D41-C41</f>
        <v>0</v>
      </c>
      <c r="F41" s="14" t="str">
        <f aca="false">IF(ABS(E41)&lt;0.00000001,"PASS","FAIL")</f>
        <v>PASS</v>
      </c>
    </row>
    <row r="42" customFormat="false" ht="15" hidden="false" customHeight="false" outlineLevel="0" collapsed="false">
      <c r="B42" s="3" t="s">
        <v>71</v>
      </c>
      <c r="C42" s="23" t="n">
        <v>284.55</v>
      </c>
      <c r="D42" s="52" t="n">
        <f aca="false">ROUND(Inputs!$F$88,2)</f>
        <v>284.55</v>
      </c>
      <c r="E42" s="21" t="n">
        <f aca="false">D42-C42</f>
        <v>0</v>
      </c>
      <c r="F42" s="14" t="str">
        <f aca="false">IF(ABS(E42)&lt;0.00000001,"PASS","FAIL")</f>
        <v>PASS</v>
      </c>
    </row>
    <row r="43" customFormat="false" ht="15" hidden="false" customHeight="false" outlineLevel="0" collapsed="false">
      <c r="B43" s="5" t="s">
        <v>399</v>
      </c>
      <c r="C43" s="6"/>
      <c r="D43" s="6"/>
      <c r="E43" s="6"/>
      <c r="F43" s="6"/>
    </row>
    <row r="44" customFormat="false" ht="15" hidden="false" customHeight="false" outlineLevel="0" collapsed="false">
      <c r="B44" s="3" t="s">
        <v>68</v>
      </c>
      <c r="C44" s="53" t="n">
        <v>0.472</v>
      </c>
      <c r="D44" s="54" t="n">
        <f aca="false">ROUND(Inputs!$C$93,3)</f>
        <v>0.472</v>
      </c>
      <c r="E44" s="21" t="n">
        <f aca="false">D44-C44</f>
        <v>0</v>
      </c>
      <c r="F44" s="14" t="str">
        <f aca="false">IF(ABS(E44)&lt;0.00000001,"PASS","FAIL")</f>
        <v>PASS</v>
      </c>
    </row>
    <row r="45" customFormat="false" ht="15" hidden="false" customHeight="false" outlineLevel="0" collapsed="false">
      <c r="B45" s="3" t="s">
        <v>69</v>
      </c>
      <c r="C45" s="53" t="n">
        <v>0.55</v>
      </c>
      <c r="D45" s="54" t="n">
        <f aca="false">ROUND(Inputs!$D$93,3)</f>
        <v>0.55</v>
      </c>
      <c r="E45" s="21" t="n">
        <f aca="false">D45-C45</f>
        <v>0</v>
      </c>
      <c r="F45" s="14" t="str">
        <f aca="false">IF(ABS(E45)&lt;0.00000001,"PASS","FAIL")</f>
        <v>PASS</v>
      </c>
    </row>
    <row r="46" customFormat="false" ht="15" hidden="false" customHeight="false" outlineLevel="0" collapsed="false">
      <c r="B46" s="3" t="s">
        <v>70</v>
      </c>
      <c r="C46" s="53" t="n">
        <v>0.569</v>
      </c>
      <c r="D46" s="54" t="n">
        <f aca="false">ROUND(Inputs!$E$93,3)</f>
        <v>0.569</v>
      </c>
      <c r="E46" s="21" t="n">
        <f aca="false">D46-C46</f>
        <v>0</v>
      </c>
      <c r="F46" s="14" t="str">
        <f aca="false">IF(ABS(E46)&lt;0.00000001,"PASS","FAIL")</f>
        <v>PASS</v>
      </c>
    </row>
    <row r="47" customFormat="false" ht="15" hidden="false" customHeight="false" outlineLevel="0" collapsed="false">
      <c r="B47" s="3" t="s">
        <v>71</v>
      </c>
      <c r="C47" s="53" t="n">
        <v>0.525</v>
      </c>
      <c r="D47" s="54" t="n">
        <f aca="false">ROUND(Inputs!$F$93,3)</f>
        <v>0.525</v>
      </c>
      <c r="E47" s="21" t="n">
        <f aca="false">D47-C47</f>
        <v>0</v>
      </c>
      <c r="F47" s="14" t="str">
        <f aca="false">IF(ABS(E47)&lt;0.00000001,"PASS","FAIL")</f>
        <v>PASS</v>
      </c>
    </row>
    <row r="48" customFormat="false" ht="15" hidden="false" customHeight="false" outlineLevel="0" collapsed="false">
      <c r="B48" s="5" t="s">
        <v>400</v>
      </c>
      <c r="C48" s="6"/>
      <c r="D48" s="6"/>
      <c r="E48" s="6"/>
      <c r="F48" s="6"/>
    </row>
    <row r="49" customFormat="false" ht="15" hidden="false" customHeight="false" outlineLevel="0" collapsed="false">
      <c r="B49" s="3" t="s">
        <v>68</v>
      </c>
      <c r="C49" s="26" t="n">
        <v>0.674</v>
      </c>
      <c r="D49" s="55" t="n">
        <f aca="false">ROUND('The Batch'!$C$11,3)</f>
        <v>0.674</v>
      </c>
      <c r="E49" s="21" t="n">
        <f aca="false">D49-C49</f>
        <v>0</v>
      </c>
      <c r="F49" s="14" t="str">
        <f aca="false">IF(ABS(E49)&lt;0.00000001,"PASS","FAIL")</f>
        <v>PASS</v>
      </c>
    </row>
    <row r="50" customFormat="false" ht="15" hidden="false" customHeight="false" outlineLevel="0" collapsed="false">
      <c r="B50" s="3" t="s">
        <v>69</v>
      </c>
      <c r="C50" s="26" t="n">
        <v>0.686</v>
      </c>
      <c r="D50" s="55" t="n">
        <f aca="false">ROUND('The Batch'!$C$12,3)</f>
        <v>0.686</v>
      </c>
      <c r="E50" s="21" t="n">
        <f aca="false">D50-C50</f>
        <v>0</v>
      </c>
      <c r="F50" s="14" t="str">
        <f aca="false">IF(ABS(E50)&lt;0.00000001,"PASS","FAIL")</f>
        <v>PASS</v>
      </c>
    </row>
    <row r="51" customFormat="false" ht="15" hidden="false" customHeight="false" outlineLevel="0" collapsed="false">
      <c r="B51" s="3" t="s">
        <v>70</v>
      </c>
      <c r="C51" s="26" t="n">
        <v>0.72</v>
      </c>
      <c r="D51" s="55" t="n">
        <f aca="false">ROUND('The Batch'!$C$13,3)</f>
        <v>0.72</v>
      </c>
      <c r="E51" s="21" t="n">
        <f aca="false">D51-C51</f>
        <v>0</v>
      </c>
      <c r="F51" s="14" t="str">
        <f aca="false">IF(ABS(E51)&lt;0.00000001,"PASS","FAIL")</f>
        <v>PASS</v>
      </c>
    </row>
    <row r="52" customFormat="false" ht="15" hidden="false" customHeight="false" outlineLevel="0" collapsed="false">
      <c r="B52" s="3" t="s">
        <v>71</v>
      </c>
      <c r="C52" s="26" t="n">
        <v>0.775</v>
      </c>
      <c r="D52" s="55" t="n">
        <f aca="false">ROUND('The Batch'!$C$14,3)</f>
        <v>0.775</v>
      </c>
      <c r="E52" s="21" t="n">
        <f aca="false">D52-C52</f>
        <v>0</v>
      </c>
      <c r="F52" s="14" t="str">
        <f aca="false">IF(ABS(E52)&lt;0.00000001,"PASS","FAIL")</f>
        <v>PASS</v>
      </c>
    </row>
    <row r="53" customFormat="false" ht="15" hidden="false" customHeight="false" outlineLevel="0" collapsed="false">
      <c r="B53" s="5" t="s">
        <v>401</v>
      </c>
      <c r="C53" s="6"/>
      <c r="D53" s="6"/>
      <c r="E53" s="6"/>
      <c r="F53" s="6"/>
    </row>
    <row r="54" customFormat="false" ht="15" hidden="false" customHeight="false" outlineLevel="0" collapsed="false">
      <c r="B54" s="3" t="s">
        <v>68</v>
      </c>
      <c r="C54" s="23" t="n">
        <v>978</v>
      </c>
      <c r="D54" s="52" t="n">
        <f aca="false">ROUND('The Batch'!$D$11,2)</f>
        <v>978</v>
      </c>
      <c r="E54" s="21" t="n">
        <f aca="false">D54-C54</f>
        <v>0</v>
      </c>
      <c r="F54" s="14" t="str">
        <f aca="false">IF(ABS(E54)&lt;0.00000001,"PASS","FAIL")</f>
        <v>PASS</v>
      </c>
    </row>
    <row r="55" customFormat="false" ht="15" hidden="false" customHeight="false" outlineLevel="0" collapsed="false">
      <c r="B55" s="3" t="s">
        <v>69</v>
      </c>
      <c r="C55" s="23" t="n">
        <v>988.63</v>
      </c>
      <c r="D55" s="52" t="n">
        <f aca="false">ROUND('The Batch'!$D$12,2)</f>
        <v>988.63</v>
      </c>
      <c r="E55" s="21" t="n">
        <f aca="false">D55-C55</f>
        <v>0</v>
      </c>
      <c r="F55" s="14" t="str">
        <f aca="false">IF(ABS(E55)&lt;0.00000001,"PASS","FAIL")</f>
        <v>PASS</v>
      </c>
    </row>
    <row r="56" customFormat="false" ht="15" hidden="false" customHeight="false" outlineLevel="0" collapsed="false">
      <c r="B56" s="3" t="s">
        <v>70</v>
      </c>
      <c r="C56" s="23" t="n">
        <v>1019.04</v>
      </c>
      <c r="D56" s="52" t="n">
        <f aca="false">ROUND('The Batch'!$D$13,2)</f>
        <v>1019.04</v>
      </c>
      <c r="E56" s="21" t="n">
        <f aca="false">D56-C56</f>
        <v>0</v>
      </c>
      <c r="F56" s="14" t="str">
        <f aca="false">IF(ABS(E56)&lt;0.00000001,"PASS","FAIL")</f>
        <v>PASS</v>
      </c>
    </row>
    <row r="57" customFormat="false" ht="15" hidden="false" customHeight="false" outlineLevel="0" collapsed="false">
      <c r="B57" s="3" t="s">
        <v>71</v>
      </c>
      <c r="C57" s="23" t="n">
        <v>1069.19</v>
      </c>
      <c r="D57" s="52" t="n">
        <f aca="false">ROUND('The Batch'!$D$14,2)</f>
        <v>1069.19</v>
      </c>
      <c r="E57" s="21" t="n">
        <f aca="false">D57-C57</f>
        <v>0</v>
      </c>
      <c r="F57" s="14" t="str">
        <f aca="false">IF(ABS(E57)&lt;0.00000001,"PASS","FAIL")</f>
        <v>PASS</v>
      </c>
    </row>
    <row r="58" customFormat="false" ht="15" hidden="false" customHeight="false" outlineLevel="0" collapsed="false">
      <c r="B58" s="5" t="s">
        <v>402</v>
      </c>
      <c r="C58" s="6"/>
      <c r="D58" s="6"/>
      <c r="E58" s="6"/>
      <c r="F58" s="6"/>
    </row>
    <row r="59" customFormat="false" ht="15" hidden="false" customHeight="false" outlineLevel="0" collapsed="false">
      <c r="B59" s="3" t="s">
        <v>68</v>
      </c>
      <c r="C59" s="23" t="n">
        <v>805.91</v>
      </c>
      <c r="D59" s="52" t="n">
        <f aca="false">ROUND('The Batch'!$E$11,2)</f>
        <v>805.91</v>
      </c>
      <c r="E59" s="21" t="n">
        <f aca="false">D59-C59</f>
        <v>0</v>
      </c>
      <c r="F59" s="14" t="str">
        <f aca="false">IF(ABS(E59)&lt;0.00000001,"PASS","FAIL")</f>
        <v>PASS</v>
      </c>
    </row>
    <row r="60" customFormat="false" ht="15" hidden="false" customHeight="false" outlineLevel="0" collapsed="false">
      <c r="B60" s="3" t="s">
        <v>69</v>
      </c>
      <c r="C60" s="23" t="n">
        <v>815.47</v>
      </c>
      <c r="D60" s="52" t="n">
        <f aca="false">ROUND('The Batch'!$E$12,2)</f>
        <v>815.47</v>
      </c>
      <c r="E60" s="21" t="n">
        <f aca="false">D60-C60</f>
        <v>0</v>
      </c>
      <c r="F60" s="14" t="str">
        <f aca="false">IF(ABS(E60)&lt;0.00000001,"PASS","FAIL")</f>
        <v>PASS</v>
      </c>
    </row>
    <row r="61" customFormat="false" ht="15" hidden="false" customHeight="false" outlineLevel="0" collapsed="false">
      <c r="B61" s="3" t="s">
        <v>70</v>
      </c>
      <c r="C61" s="23" t="n">
        <v>842.84</v>
      </c>
      <c r="D61" s="52" t="n">
        <f aca="false">ROUND('The Batch'!$E$13,2)</f>
        <v>842.84</v>
      </c>
      <c r="E61" s="21" t="n">
        <f aca="false">D61-C61</f>
        <v>0</v>
      </c>
      <c r="F61" s="14" t="str">
        <f aca="false">IF(ABS(E61)&lt;0.00000001,"PASS","FAIL")</f>
        <v>PASS</v>
      </c>
    </row>
    <row r="62" customFormat="false" ht="15" hidden="false" customHeight="false" outlineLevel="0" collapsed="false">
      <c r="B62" s="3" t="s">
        <v>71</v>
      </c>
      <c r="C62" s="23" t="n">
        <v>887.97</v>
      </c>
      <c r="D62" s="52" t="n">
        <f aca="false">ROUND('The Batch'!$E$14,2)</f>
        <v>887.97</v>
      </c>
      <c r="E62" s="21" t="n">
        <f aca="false">D62-C62</f>
        <v>0</v>
      </c>
      <c r="F62" s="14" t="str">
        <f aca="false">IF(ABS(E62)&lt;0.00000001,"PASS","FAIL")</f>
        <v>PASS</v>
      </c>
    </row>
    <row r="63" customFormat="false" ht="15" hidden="false" customHeight="false" outlineLevel="0" collapsed="false">
      <c r="B63" s="5" t="s">
        <v>403</v>
      </c>
      <c r="C63" s="6"/>
      <c r="D63" s="6"/>
      <c r="E63" s="6"/>
      <c r="F63" s="6"/>
    </row>
    <row r="64" customFormat="false" ht="15" hidden="false" customHeight="false" outlineLevel="0" collapsed="false">
      <c r="B64" s="3" t="s">
        <v>68</v>
      </c>
      <c r="C64" s="27" t="n">
        <v>4021.7</v>
      </c>
      <c r="D64" s="56" t="n">
        <f aca="false">ROUND('The Batch'!$F$11,1)</f>
        <v>4021.7</v>
      </c>
      <c r="E64" s="21" t="n">
        <f aca="false">D64-C64</f>
        <v>0</v>
      </c>
      <c r="F64" s="14" t="str">
        <f aca="false">IF(ABS(E64)&lt;0.00000001,"PASS","FAIL")</f>
        <v>PASS</v>
      </c>
    </row>
    <row r="65" customFormat="false" ht="15" hidden="false" customHeight="false" outlineLevel="0" collapsed="false">
      <c r="B65" s="3" t="s">
        <v>69</v>
      </c>
      <c r="C65" s="27" t="n">
        <v>609.5</v>
      </c>
      <c r="D65" s="56" t="n">
        <f aca="false">ROUND('The Batch'!$F$12,1)</f>
        <v>609.5</v>
      </c>
      <c r="E65" s="21" t="n">
        <f aca="false">D65-C65</f>
        <v>0</v>
      </c>
      <c r="F65" s="14" t="str">
        <f aca="false">IF(ABS(E65)&lt;0.00000001,"PASS","FAIL")</f>
        <v>PASS</v>
      </c>
    </row>
    <row r="66" customFormat="false" ht="15" hidden="false" customHeight="false" outlineLevel="0" collapsed="false">
      <c r="B66" s="3" t="s">
        <v>70</v>
      </c>
      <c r="C66" s="27" t="n">
        <v>72</v>
      </c>
      <c r="D66" s="56" t="n">
        <f aca="false">ROUND('The Batch'!$F$13,1)</f>
        <v>72</v>
      </c>
      <c r="E66" s="21" t="n">
        <f aca="false">D66-C66</f>
        <v>0</v>
      </c>
      <c r="F66" s="14" t="str">
        <f aca="false">IF(ABS(E66)&lt;0.00000001,"PASS","FAIL")</f>
        <v>PASS</v>
      </c>
    </row>
    <row r="67" customFormat="false" ht="15" hidden="false" customHeight="false" outlineLevel="0" collapsed="false">
      <c r="B67" s="3" t="s">
        <v>71</v>
      </c>
      <c r="C67" s="27" t="n">
        <v>8.9</v>
      </c>
      <c r="D67" s="56" t="n">
        <f aca="false">ROUND('The Batch'!$F$14,1)</f>
        <v>8.9</v>
      </c>
      <c r="E67" s="21" t="n">
        <f aca="false">D67-C67</f>
        <v>0</v>
      </c>
      <c r="F67" s="14" t="str">
        <f aca="false">IF(ABS(E67)&lt;0.00000001,"PASS","FAIL")</f>
        <v>PASS</v>
      </c>
    </row>
    <row r="68" customFormat="false" ht="15" hidden="false" customHeight="false" outlineLevel="0" collapsed="false">
      <c r="B68" s="5" t="s">
        <v>404</v>
      </c>
      <c r="C68" s="6"/>
      <c r="D68" s="6"/>
      <c r="E68" s="6"/>
      <c r="F68" s="6"/>
    </row>
    <row r="69" customFormat="false" ht="15" hidden="false" customHeight="false" outlineLevel="0" collapsed="false">
      <c r="B69" s="3" t="s">
        <v>68</v>
      </c>
      <c r="C69" s="23" t="n">
        <v>4.57</v>
      </c>
      <c r="D69" s="52" t="n">
        <f aca="false">ROUND('The Batch'!$H$11,2)</f>
        <v>4.57</v>
      </c>
      <c r="E69" s="21" t="n">
        <f aca="false">D69-C69</f>
        <v>0</v>
      </c>
      <c r="F69" s="14" t="str">
        <f aca="false">IF(ABS(E69)&lt;0.00000001,"PASS","FAIL")</f>
        <v>PASS</v>
      </c>
    </row>
    <row r="70" customFormat="false" ht="15" hidden="false" customHeight="false" outlineLevel="0" collapsed="false">
      <c r="B70" s="3" t="s">
        <v>69</v>
      </c>
      <c r="C70" s="23" t="n">
        <v>11.18</v>
      </c>
      <c r="D70" s="52" t="n">
        <f aca="false">ROUND('The Batch'!$H$12,2)</f>
        <v>11.18</v>
      </c>
      <c r="E70" s="21" t="n">
        <f aca="false">D70-C70</f>
        <v>0</v>
      </c>
      <c r="F70" s="14" t="str">
        <f aca="false">IF(ABS(E70)&lt;0.00000001,"PASS","FAIL")</f>
        <v>PASS</v>
      </c>
    </row>
    <row r="71" customFormat="false" ht="15" hidden="false" customHeight="false" outlineLevel="0" collapsed="false">
      <c r="B71" s="3" t="s">
        <v>70</v>
      </c>
      <c r="C71" s="23" t="n">
        <v>27.94</v>
      </c>
      <c r="D71" s="52" t="n">
        <f aca="false">ROUND('The Batch'!$H$13,2)</f>
        <v>27.94</v>
      </c>
      <c r="E71" s="21" t="n">
        <f aca="false">D71-C71</f>
        <v>0</v>
      </c>
      <c r="F71" s="14" t="str">
        <f aca="false">IF(ABS(E71)&lt;0.00000001,"PASS","FAIL")</f>
        <v>PASS</v>
      </c>
    </row>
    <row r="72" customFormat="false" ht="15" hidden="false" customHeight="false" outlineLevel="0" collapsed="false">
      <c r="B72" s="3" t="s">
        <v>71</v>
      </c>
      <c r="C72" s="23" t="n">
        <v>30.62</v>
      </c>
      <c r="D72" s="52" t="n">
        <f aca="false">ROUND('The Batch'!$H$14,2)</f>
        <v>30.62</v>
      </c>
      <c r="E72" s="21" t="n">
        <f aca="false">D72-C72</f>
        <v>0</v>
      </c>
      <c r="F72" s="14" t="str">
        <f aca="false">IF(ABS(E72)&lt;0.00000001,"PASS","FAIL")</f>
        <v>PASS</v>
      </c>
    </row>
    <row r="73" customFormat="false" ht="15" hidden="false" customHeight="false" outlineLevel="0" collapsed="false">
      <c r="B73" s="5" t="s">
        <v>405</v>
      </c>
      <c r="C73" s="6"/>
      <c r="D73" s="6"/>
      <c r="E73" s="6"/>
      <c r="F73" s="6"/>
    </row>
    <row r="74" customFormat="false" ht="15" hidden="false" customHeight="false" outlineLevel="0" collapsed="false">
      <c r="B74" s="3" t="s">
        <v>68</v>
      </c>
      <c r="C74" s="23" t="n">
        <v>5.04</v>
      </c>
      <c r="D74" s="52" t="n">
        <f aca="false">ROUND('The Batch'!$J$11,2)</f>
        <v>5.04</v>
      </c>
      <c r="E74" s="21" t="n">
        <f aca="false">D74-C74</f>
        <v>0</v>
      </c>
      <c r="F74" s="14" t="str">
        <f aca="false">IF(ABS(E74)&lt;0.00000001,"PASS","FAIL")</f>
        <v>PASS</v>
      </c>
    </row>
    <row r="75" customFormat="false" ht="15" hidden="false" customHeight="false" outlineLevel="0" collapsed="false">
      <c r="B75" s="3" t="s">
        <v>69</v>
      </c>
      <c r="C75" s="23" t="n">
        <v>12.65</v>
      </c>
      <c r="D75" s="52" t="n">
        <f aca="false">ROUND('The Batch'!$J$12,2)</f>
        <v>12.65</v>
      </c>
      <c r="E75" s="21" t="n">
        <f aca="false">D75-C75</f>
        <v>0</v>
      </c>
      <c r="F75" s="14" t="str">
        <f aca="false">IF(ABS(E75)&lt;0.00000001,"PASS","FAIL")</f>
        <v>PASS</v>
      </c>
    </row>
    <row r="76" customFormat="false" ht="15" hidden="false" customHeight="false" outlineLevel="0" collapsed="false">
      <c r="B76" s="3" t="s">
        <v>70</v>
      </c>
      <c r="C76" s="23" t="n">
        <v>38.56</v>
      </c>
      <c r="D76" s="52" t="n">
        <f aca="false">ROUND('The Batch'!$J$13,2)</f>
        <v>38.56</v>
      </c>
      <c r="E76" s="21" t="n">
        <f aca="false">D76-C76</f>
        <v>0</v>
      </c>
      <c r="F76" s="14" t="str">
        <f aca="false">IF(ABS(E76)&lt;0.00000001,"PASS","FAIL")</f>
        <v>PASS</v>
      </c>
    </row>
    <row r="77" customFormat="false" ht="15" hidden="false" customHeight="false" outlineLevel="0" collapsed="false">
      <c r="B77" s="3" t="s">
        <v>71</v>
      </c>
      <c r="C77" s="23" t="n">
        <v>145.49</v>
      </c>
      <c r="D77" s="52" t="n">
        <f aca="false">ROUND('The Batch'!$J$14,2)</f>
        <v>145.49</v>
      </c>
      <c r="E77" s="21" t="n">
        <f aca="false">D77-C77</f>
        <v>0</v>
      </c>
      <c r="F77" s="14" t="str">
        <f aca="false">IF(ABS(E77)&lt;0.00000001,"PASS","FAIL")</f>
        <v>PASS</v>
      </c>
    </row>
    <row r="78" customFormat="false" ht="15" hidden="false" customHeight="false" outlineLevel="0" collapsed="false">
      <c r="B78" s="5" t="s">
        <v>406</v>
      </c>
      <c r="C78" s="6"/>
      <c r="D78" s="6"/>
      <c r="E78" s="6"/>
      <c r="F78" s="6"/>
    </row>
    <row r="79" customFormat="false" ht="15" hidden="false" customHeight="false" outlineLevel="0" collapsed="false">
      <c r="B79" s="3" t="s">
        <v>68</v>
      </c>
      <c r="C79" s="27" t="n">
        <v>214</v>
      </c>
      <c r="D79" s="56" t="n">
        <f aca="false">ROUND('The Batch'!$K$11,1)</f>
        <v>214</v>
      </c>
      <c r="E79" s="21" t="n">
        <f aca="false">D79-C79</f>
        <v>0</v>
      </c>
      <c r="F79" s="14" t="str">
        <f aca="false">IF(ABS(E79)&lt;0.00000001,"PASS","FAIL")</f>
        <v>PASS</v>
      </c>
    </row>
    <row r="80" customFormat="false" ht="15" hidden="false" customHeight="false" outlineLevel="0" collapsed="false">
      <c r="B80" s="3" t="s">
        <v>69</v>
      </c>
      <c r="C80" s="27" t="n">
        <v>88.5</v>
      </c>
      <c r="D80" s="56" t="n">
        <f aca="false">ROUND('The Batch'!$K$12,1)</f>
        <v>88.5</v>
      </c>
      <c r="E80" s="21" t="n">
        <f aca="false">D80-C80</f>
        <v>0</v>
      </c>
      <c r="F80" s="14" t="str">
        <f aca="false">IF(ABS(E80)&lt;0.00000001,"PASS","FAIL")</f>
        <v>PASS</v>
      </c>
    </row>
    <row r="81" customFormat="false" ht="15" hidden="false" customHeight="false" outlineLevel="0" collapsed="false">
      <c r="B81" s="3" t="s">
        <v>70</v>
      </c>
      <c r="C81" s="27" t="n">
        <v>36.5</v>
      </c>
      <c r="D81" s="56" t="n">
        <f aca="false">ROUND('The Batch'!$K$13,1)</f>
        <v>36.5</v>
      </c>
      <c r="E81" s="21" t="n">
        <f aca="false">D81-C81</f>
        <v>0</v>
      </c>
      <c r="F81" s="14" t="str">
        <f aca="false">IF(ABS(E81)&lt;0.00000001,"PASS","FAIL")</f>
        <v>PASS</v>
      </c>
    </row>
    <row r="82" customFormat="false" ht="15" hidden="false" customHeight="false" outlineLevel="0" collapsed="false">
      <c r="B82" s="3" t="s">
        <v>71</v>
      </c>
      <c r="C82" s="27" t="n">
        <v>34.9</v>
      </c>
      <c r="D82" s="56" t="n">
        <f aca="false">ROUND('The Batch'!$K$14,1)</f>
        <v>34.9</v>
      </c>
      <c r="E82" s="21" t="n">
        <f aca="false">D82-C82</f>
        <v>0</v>
      </c>
      <c r="F82" s="14" t="str">
        <f aca="false">IF(ABS(E82)&lt;0.00000001,"PASS","FAIL")</f>
        <v>PASS</v>
      </c>
    </row>
    <row r="83" customFormat="false" ht="15" hidden="false" customHeight="false" outlineLevel="0" collapsed="false">
      <c r="B83" s="5" t="s">
        <v>407</v>
      </c>
      <c r="C83" s="6"/>
      <c r="D83" s="6"/>
      <c r="E83" s="6"/>
      <c r="F83" s="6"/>
    </row>
    <row r="84" customFormat="false" ht="15" hidden="false" customHeight="false" outlineLevel="0" collapsed="false">
      <c r="B84" s="3" t="s">
        <v>68</v>
      </c>
      <c r="C84" s="27" t="n">
        <v>159.7</v>
      </c>
      <c r="D84" s="56" t="n">
        <f aca="false">ROUND('The Batch'!$L$11,1)</f>
        <v>159.7</v>
      </c>
      <c r="E84" s="21" t="n">
        <f aca="false">D84-C84</f>
        <v>0</v>
      </c>
      <c r="F84" s="14" t="str">
        <f aca="false">IF(ABS(E84)&lt;0.00000001,"PASS","FAIL")</f>
        <v>PASS</v>
      </c>
    </row>
    <row r="85" customFormat="false" ht="15" hidden="false" customHeight="false" outlineLevel="0" collapsed="false">
      <c r="B85" s="3" t="s">
        <v>69</v>
      </c>
      <c r="C85" s="27" t="n">
        <v>64.5</v>
      </c>
      <c r="D85" s="56" t="n">
        <f aca="false">ROUND('The Batch'!$L$12,1)</f>
        <v>64.5</v>
      </c>
      <c r="E85" s="21" t="n">
        <f aca="false">D85-C85</f>
        <v>0</v>
      </c>
      <c r="F85" s="14" t="str">
        <f aca="false">IF(ABS(E85)&lt;0.00000001,"PASS","FAIL")</f>
        <v>PASS</v>
      </c>
    </row>
    <row r="86" customFormat="false" ht="15" hidden="false" customHeight="false" outlineLevel="0" collapsed="false">
      <c r="B86" s="3" t="s">
        <v>70</v>
      </c>
      <c r="C86" s="27" t="n">
        <v>21.9</v>
      </c>
      <c r="D86" s="56" t="n">
        <f aca="false">ROUND('The Batch'!$L$13,1)</f>
        <v>21.9</v>
      </c>
      <c r="E86" s="21" t="n">
        <f aca="false">D86-C86</f>
        <v>0</v>
      </c>
      <c r="F86" s="14" t="str">
        <f aca="false">IF(ABS(E86)&lt;0.00000001,"PASS","FAIL")</f>
        <v>PASS</v>
      </c>
    </row>
    <row r="87" customFormat="false" ht="15" hidden="false" customHeight="false" outlineLevel="0" collapsed="false">
      <c r="B87" s="3" t="s">
        <v>71</v>
      </c>
      <c r="C87" s="27" t="n">
        <v>6.1</v>
      </c>
      <c r="D87" s="56" t="n">
        <f aca="false">ROUND('The Batch'!$L$14,1)</f>
        <v>6.1</v>
      </c>
      <c r="E87" s="21" t="n">
        <f aca="false">D87-C87</f>
        <v>0</v>
      </c>
      <c r="F87" s="14" t="str">
        <f aca="false">IF(ABS(E87)&lt;0.00000001,"PASS","FAIL")</f>
        <v>PASS</v>
      </c>
    </row>
    <row r="88" customFormat="false" ht="15" hidden="false" customHeight="false" outlineLevel="0" collapsed="false">
      <c r="B88" s="5" t="s">
        <v>201</v>
      </c>
      <c r="C88" s="6"/>
      <c r="D88" s="6"/>
      <c r="E88" s="6"/>
      <c r="F88" s="6"/>
    </row>
    <row r="89" customFormat="false" ht="15" hidden="false" customHeight="false" outlineLevel="0" collapsed="false">
      <c r="B89" s="3" t="s">
        <v>203</v>
      </c>
      <c r="C89" s="23" t="n">
        <v>317.38</v>
      </c>
      <c r="D89" s="52" t="n">
        <f aca="false">ROUND('The Batch'!$C$21,2)</f>
        <v>317.38</v>
      </c>
      <c r="E89" s="21" t="n">
        <f aca="false">D89-C89</f>
        <v>0</v>
      </c>
      <c r="F89" s="14" t="str">
        <f aca="false">IF(ABS(E89)&lt;0.00000001,"PASS","FAIL")</f>
        <v>PASS</v>
      </c>
    </row>
    <row r="90" customFormat="false" ht="15" hidden="false" customHeight="false" outlineLevel="0" collapsed="false">
      <c r="B90" s="3" t="s">
        <v>204</v>
      </c>
      <c r="C90" s="23" t="n">
        <v>30.62</v>
      </c>
      <c r="D90" s="52" t="n">
        <f aca="false">ROUND('The Batch'!$C$22,2)</f>
        <v>30.62</v>
      </c>
      <c r="E90" s="21" t="n">
        <f aca="false">D90-C90</f>
        <v>0</v>
      </c>
      <c r="F90" s="14" t="str">
        <f aca="false">IF(ABS(E90)&lt;0.00000001,"PASS","FAIL")</f>
        <v>PASS</v>
      </c>
    </row>
    <row r="91" customFormat="false" ht="15" hidden="false" customHeight="false" outlineLevel="0" collapsed="false">
      <c r="B91" s="3" t="s">
        <v>408</v>
      </c>
      <c r="C91" s="23" t="n">
        <v>1069.19</v>
      </c>
      <c r="D91" s="52" t="n">
        <f aca="false">ROUND('The Batch'!$C$23,2)</f>
        <v>1069.19</v>
      </c>
      <c r="E91" s="21" t="n">
        <f aca="false">D91-C91</f>
        <v>0</v>
      </c>
      <c r="F91" s="14" t="str">
        <f aca="false">IF(ABS(E91)&lt;0.00000001,"PASS","FAIL")</f>
        <v>PASS</v>
      </c>
    </row>
    <row r="92" customFormat="false" ht="15" hidden="false" customHeight="false" outlineLevel="0" collapsed="false">
      <c r="B92" s="3" t="s">
        <v>409</v>
      </c>
      <c r="C92" s="23" t="n">
        <v>360.14</v>
      </c>
      <c r="D92" s="52" t="n">
        <f aca="false">ROUND('The Batch'!$C$27,2)</f>
        <v>360.14</v>
      </c>
      <c r="E92" s="21" t="n">
        <f aca="false">D92-C92</f>
        <v>0</v>
      </c>
      <c r="F92" s="14" t="str">
        <f aca="false">IF(ABS(E92)&lt;0.00000001,"PASS","FAIL")</f>
        <v>PASS</v>
      </c>
    </row>
    <row r="93" customFormat="false" ht="15" hidden="false" customHeight="false" outlineLevel="0" collapsed="false">
      <c r="B93" s="3" t="s">
        <v>410</v>
      </c>
      <c r="C93" s="23" t="n">
        <v>338.76</v>
      </c>
      <c r="D93" s="52" t="n">
        <f aca="false">ROUND('The Batch'!$C$28,2)</f>
        <v>338.76</v>
      </c>
      <c r="E93" s="21" t="n">
        <f aca="false">D93-C93</f>
        <v>0</v>
      </c>
      <c r="F93" s="14" t="str">
        <f aca="false">IF(ABS(E93)&lt;0.00000001,"PASS","FAIL")</f>
        <v>PASS</v>
      </c>
    </row>
    <row r="94" customFormat="false" ht="15" hidden="false" customHeight="false" outlineLevel="0" collapsed="false">
      <c r="B94" s="3" t="s">
        <v>411</v>
      </c>
      <c r="C94" s="23" t="n">
        <v>328.07</v>
      </c>
      <c r="D94" s="52" t="n">
        <f aca="false">ROUND('The Batch'!$C$29,2)</f>
        <v>328.07</v>
      </c>
      <c r="E94" s="21" t="n">
        <f aca="false">D94-C94</f>
        <v>0</v>
      </c>
      <c r="F94" s="14" t="str">
        <f aca="false">IF(ABS(E94)&lt;0.00000001,"PASS","FAIL")</f>
        <v>PASS</v>
      </c>
    </row>
    <row r="95" customFormat="false" ht="15" hidden="false" customHeight="false" outlineLevel="0" collapsed="false">
      <c r="B95" s="3" t="s">
        <v>412</v>
      </c>
      <c r="C95" s="23" t="n">
        <v>321.65</v>
      </c>
      <c r="D95" s="52" t="n">
        <f aca="false">ROUND('The Batch'!$C$30,2)</f>
        <v>321.65</v>
      </c>
      <c r="E95" s="21" t="n">
        <f aca="false">D95-C95</f>
        <v>0</v>
      </c>
      <c r="F95" s="14" t="str">
        <f aca="false">IF(ABS(E95)&lt;0.00000001,"PASS","FAIL")</f>
        <v>PASS</v>
      </c>
    </row>
    <row r="96" customFormat="false" ht="15" hidden="false" customHeight="false" outlineLevel="0" collapsed="false">
      <c r="B96" s="3" t="s">
        <v>413</v>
      </c>
      <c r="C96" s="23" t="n">
        <v>319.51</v>
      </c>
      <c r="D96" s="52" t="n">
        <f aca="false">ROUND('The Batch'!$C$31,2)</f>
        <v>319.51</v>
      </c>
      <c r="E96" s="21" t="n">
        <f aca="false">D96-C96</f>
        <v>0</v>
      </c>
      <c r="F96" s="14" t="str">
        <f aca="false">IF(ABS(E96)&lt;0.00000001,"PASS","FAIL")</f>
        <v>PASS</v>
      </c>
    </row>
    <row r="97" customFormat="false" ht="15" hidden="false" customHeight="false" outlineLevel="0" collapsed="false">
      <c r="B97" s="3" t="s">
        <v>414</v>
      </c>
      <c r="C97" s="23" t="n">
        <v>318.45</v>
      </c>
      <c r="D97" s="52" t="n">
        <f aca="false">ROUND('The Batch'!$C$32,2)</f>
        <v>318.45</v>
      </c>
      <c r="E97" s="21" t="n">
        <f aca="false">D97-C97</f>
        <v>0</v>
      </c>
      <c r="F97" s="14" t="str">
        <f aca="false">IF(ABS(E97)&lt;0.00000001,"PASS","FAIL")</f>
        <v>PASS</v>
      </c>
    </row>
    <row r="98" customFormat="false" ht="15" hidden="false" customHeight="false" outlineLevel="0" collapsed="false">
      <c r="B98" s="3" t="s">
        <v>415</v>
      </c>
      <c r="C98" s="23" t="n">
        <v>317.8</v>
      </c>
      <c r="D98" s="52" t="n">
        <f aca="false">ROUND('The Batch'!$C$33,2)</f>
        <v>317.8</v>
      </c>
      <c r="E98" s="21" t="n">
        <f aca="false">D98-C98</f>
        <v>0</v>
      </c>
      <c r="F98" s="14" t="str">
        <f aca="false">IF(ABS(E98)&lt;0.00000001,"PASS","FAIL")</f>
        <v>PASS</v>
      </c>
    </row>
    <row r="99" customFormat="false" ht="15" hidden="false" customHeight="false" outlineLevel="0" collapsed="false">
      <c r="B99" s="3" t="s">
        <v>416</v>
      </c>
      <c r="C99" s="23" t="n">
        <v>-12.14</v>
      </c>
      <c r="D99" s="52" t="n">
        <f aca="false">ROUND('The Batch'!$D$27,2)</f>
        <v>-12.14</v>
      </c>
      <c r="E99" s="21" t="n">
        <f aca="false">D99-C99</f>
        <v>0</v>
      </c>
      <c r="F99" s="14" t="str">
        <f aca="false">IF(ABS(E99)&lt;0.00000001,"PASS","FAIL")</f>
        <v>PASS</v>
      </c>
    </row>
    <row r="100" customFormat="false" ht="15" hidden="false" customHeight="false" outlineLevel="0" collapsed="false">
      <c r="B100" s="3" t="s">
        <v>417</v>
      </c>
      <c r="C100" s="23" t="n">
        <v>9.24</v>
      </c>
      <c r="D100" s="52" t="n">
        <f aca="false">ROUND('The Batch'!$D$28,2)</f>
        <v>9.24</v>
      </c>
      <c r="E100" s="21" t="n">
        <f aca="false">D100-C100</f>
        <v>0</v>
      </c>
      <c r="F100" s="14" t="str">
        <f aca="false">IF(ABS(E100)&lt;0.00000001,"PASS","FAIL")</f>
        <v>PASS</v>
      </c>
    </row>
    <row r="101" customFormat="false" ht="15" hidden="false" customHeight="false" outlineLevel="0" collapsed="false">
      <c r="B101" s="3" t="s">
        <v>418</v>
      </c>
      <c r="C101" s="23" t="n">
        <v>19.93</v>
      </c>
      <c r="D101" s="52" t="n">
        <f aca="false">ROUND('The Batch'!$D$29,2)</f>
        <v>19.93</v>
      </c>
      <c r="E101" s="21" t="n">
        <f aca="false">D101-C101</f>
        <v>0</v>
      </c>
      <c r="F101" s="14" t="str">
        <f aca="false">IF(ABS(E101)&lt;0.00000001,"PASS","FAIL")</f>
        <v>PASS</v>
      </c>
    </row>
    <row r="102" customFormat="false" ht="15" hidden="false" customHeight="false" outlineLevel="0" collapsed="false">
      <c r="B102" s="3" t="s">
        <v>419</v>
      </c>
      <c r="C102" s="23" t="n">
        <v>26.35</v>
      </c>
      <c r="D102" s="52" t="n">
        <f aca="false">ROUND('The Batch'!$D$30,2)</f>
        <v>26.35</v>
      </c>
      <c r="E102" s="21" t="n">
        <f aca="false">D102-C102</f>
        <v>0</v>
      </c>
      <c r="F102" s="14" t="str">
        <f aca="false">IF(ABS(E102)&lt;0.00000001,"PASS","FAIL")</f>
        <v>PASS</v>
      </c>
    </row>
    <row r="103" customFormat="false" ht="15" hidden="false" customHeight="false" outlineLevel="0" collapsed="false">
      <c r="B103" s="3" t="s">
        <v>420</v>
      </c>
      <c r="C103" s="23" t="n">
        <v>28.49</v>
      </c>
      <c r="D103" s="52" t="n">
        <f aca="false">ROUND('The Batch'!$D$31,2)</f>
        <v>28.49</v>
      </c>
      <c r="E103" s="21" t="n">
        <f aca="false">D103-C103</f>
        <v>0</v>
      </c>
      <c r="F103" s="14" t="str">
        <f aca="false">IF(ABS(E103)&lt;0.00000001,"PASS","FAIL")</f>
        <v>PASS</v>
      </c>
    </row>
    <row r="104" customFormat="false" ht="15" hidden="false" customHeight="false" outlineLevel="0" collapsed="false">
      <c r="B104" s="3" t="s">
        <v>421</v>
      </c>
      <c r="C104" s="23" t="n">
        <v>29.55</v>
      </c>
      <c r="D104" s="52" t="n">
        <f aca="false">ROUND('The Batch'!$D$32,2)</f>
        <v>29.55</v>
      </c>
      <c r="E104" s="21" t="n">
        <f aca="false">D104-C104</f>
        <v>0</v>
      </c>
      <c r="F104" s="14" t="str">
        <f aca="false">IF(ABS(E104)&lt;0.00000001,"PASS","FAIL")</f>
        <v>PASS</v>
      </c>
    </row>
    <row r="105" customFormat="false" ht="15" hidden="false" customHeight="false" outlineLevel="0" collapsed="false">
      <c r="B105" s="3" t="s">
        <v>422</v>
      </c>
      <c r="C105" s="23" t="n">
        <v>30.2</v>
      </c>
      <c r="D105" s="52" t="n">
        <f aca="false">ROUND('The Batch'!$D$33,2)</f>
        <v>30.2</v>
      </c>
      <c r="E105" s="21" t="n">
        <f aca="false">D105-C105</f>
        <v>0</v>
      </c>
      <c r="F105" s="14" t="str">
        <f aca="false">IF(ABS(E105)&lt;0.00000001,"PASS","FAIL")</f>
        <v>PASS</v>
      </c>
    </row>
    <row r="106" customFormat="false" ht="15" hidden="false" customHeight="false" outlineLevel="0" collapsed="false">
      <c r="B106" s="3" t="s">
        <v>423</v>
      </c>
      <c r="C106" s="53" t="n">
        <v>-0.035</v>
      </c>
      <c r="D106" s="54" t="n">
        <f aca="false">ROUND('The Batch'!$E$27,3)</f>
        <v>-0.035</v>
      </c>
      <c r="E106" s="21" t="n">
        <f aca="false">D106-C106</f>
        <v>0</v>
      </c>
      <c r="F106" s="14" t="str">
        <f aca="false">IF(ABS(E106)&lt;0.00000001,"PASS","FAIL")</f>
        <v>PASS</v>
      </c>
    </row>
    <row r="107" customFormat="false" ht="15" hidden="false" customHeight="false" outlineLevel="0" collapsed="false">
      <c r="B107" s="3" t="s">
        <v>424</v>
      </c>
      <c r="C107" s="53" t="n">
        <v>0.027</v>
      </c>
      <c r="D107" s="54" t="n">
        <f aca="false">ROUND('The Batch'!$E$28,3)</f>
        <v>0.027</v>
      </c>
      <c r="E107" s="21" t="n">
        <f aca="false">D107-C107</f>
        <v>0</v>
      </c>
      <c r="F107" s="14" t="str">
        <f aca="false">IF(ABS(E107)&lt;0.00000001,"PASS","FAIL")</f>
        <v>PASS</v>
      </c>
    </row>
    <row r="108" customFormat="false" ht="15" hidden="false" customHeight="false" outlineLevel="0" collapsed="false">
      <c r="B108" s="3" t="s">
        <v>425</v>
      </c>
      <c r="C108" s="53" t="n">
        <v>0.057</v>
      </c>
      <c r="D108" s="54" t="n">
        <f aca="false">ROUND('The Batch'!$E$29,3)</f>
        <v>0.057</v>
      </c>
      <c r="E108" s="21" t="n">
        <f aca="false">D108-C108</f>
        <v>0</v>
      </c>
      <c r="F108" s="14" t="str">
        <f aca="false">IF(ABS(E108)&lt;0.00000001,"PASS","FAIL")</f>
        <v>PASS</v>
      </c>
    </row>
    <row r="109" customFormat="false" ht="15" hidden="false" customHeight="false" outlineLevel="0" collapsed="false">
      <c r="B109" s="3" t="s">
        <v>426</v>
      </c>
      <c r="C109" s="53" t="n">
        <v>0.076</v>
      </c>
      <c r="D109" s="54" t="n">
        <f aca="false">ROUND('The Batch'!$E$30,3)</f>
        <v>0.076</v>
      </c>
      <c r="E109" s="21" t="n">
        <f aca="false">D109-C109</f>
        <v>0</v>
      </c>
      <c r="F109" s="14" t="str">
        <f aca="false">IF(ABS(E109)&lt;0.00000001,"PASS","FAIL")</f>
        <v>PASS</v>
      </c>
    </row>
    <row r="110" customFormat="false" ht="15" hidden="false" customHeight="false" outlineLevel="0" collapsed="false">
      <c r="B110" s="3" t="s">
        <v>427</v>
      </c>
      <c r="C110" s="53" t="n">
        <v>0.082</v>
      </c>
      <c r="D110" s="54" t="n">
        <f aca="false">ROUND('The Batch'!$E$31,3)</f>
        <v>0.082</v>
      </c>
      <c r="E110" s="21" t="n">
        <f aca="false">D110-C110</f>
        <v>0</v>
      </c>
      <c r="F110" s="14" t="str">
        <f aca="false">IF(ABS(E110)&lt;0.00000001,"PASS","FAIL")</f>
        <v>PASS</v>
      </c>
    </row>
    <row r="111" customFormat="false" ht="15" hidden="false" customHeight="false" outlineLevel="0" collapsed="false">
      <c r="B111" s="3" t="s">
        <v>428</v>
      </c>
      <c r="C111" s="53" t="n">
        <v>0.085</v>
      </c>
      <c r="D111" s="54" t="n">
        <f aca="false">ROUND('The Batch'!$E$32,3)</f>
        <v>0.085</v>
      </c>
      <c r="E111" s="21" t="n">
        <f aca="false">D111-C111</f>
        <v>0</v>
      </c>
      <c r="F111" s="14" t="str">
        <f aca="false">IF(ABS(E111)&lt;0.00000001,"PASS","FAIL")</f>
        <v>PASS</v>
      </c>
    </row>
    <row r="112" customFormat="false" ht="15" hidden="false" customHeight="false" outlineLevel="0" collapsed="false">
      <c r="B112" s="3" t="s">
        <v>429</v>
      </c>
      <c r="C112" s="53" t="n">
        <v>0.087</v>
      </c>
      <c r="D112" s="54" t="n">
        <f aca="false">ROUND('The Batch'!$E$33,3)</f>
        <v>0.087</v>
      </c>
      <c r="E112" s="21" t="n">
        <f aca="false">D112-C112</f>
        <v>0</v>
      </c>
      <c r="F112" s="14" t="str">
        <f aca="false">IF(ABS(E112)&lt;0.00000001,"PASS","FAIL")</f>
        <v>PASS</v>
      </c>
    </row>
    <row r="113" customFormat="false" ht="15" hidden="false" customHeight="false" outlineLevel="0" collapsed="false">
      <c r="B113" s="3" t="s">
        <v>430</v>
      </c>
      <c r="C113" s="19" t="n">
        <v>-304</v>
      </c>
      <c r="D113" s="50" t="n">
        <f aca="false">ROUND('The Batch'!$F$27,0)</f>
        <v>-304</v>
      </c>
      <c r="E113" s="21" t="n">
        <f aca="false">D113-C113</f>
        <v>0</v>
      </c>
      <c r="F113" s="14" t="str">
        <f aca="false">IF(ABS(E113)&lt;0.00000001,"PASS","FAIL")</f>
        <v>PASS</v>
      </c>
    </row>
    <row r="114" customFormat="false" ht="15" hidden="false" customHeight="false" outlineLevel="0" collapsed="false">
      <c r="B114" s="3" t="s">
        <v>431</v>
      </c>
      <c r="C114" s="19" t="n">
        <v>462</v>
      </c>
      <c r="D114" s="50" t="n">
        <f aca="false">ROUND('The Batch'!$F$28,0)</f>
        <v>462</v>
      </c>
      <c r="E114" s="21" t="n">
        <f aca="false">D114-C114</f>
        <v>0</v>
      </c>
      <c r="F114" s="14" t="str">
        <f aca="false">IF(ABS(E114)&lt;0.00000001,"PASS","FAIL")</f>
        <v>PASS</v>
      </c>
    </row>
    <row r="115" customFormat="false" ht="15" hidden="false" customHeight="false" outlineLevel="0" collapsed="false">
      <c r="B115" s="3" t="s">
        <v>432</v>
      </c>
      <c r="C115" s="19" t="n">
        <v>1993</v>
      </c>
      <c r="D115" s="50" t="n">
        <f aca="false">ROUND('The Batch'!$F$29,0)</f>
        <v>1993</v>
      </c>
      <c r="E115" s="21" t="n">
        <f aca="false">D115-C115</f>
        <v>0</v>
      </c>
      <c r="F115" s="14" t="str">
        <f aca="false">IF(ABS(E115)&lt;0.00000001,"PASS","FAIL")</f>
        <v>PASS</v>
      </c>
    </row>
    <row r="116" customFormat="false" ht="15" hidden="false" customHeight="false" outlineLevel="0" collapsed="false">
      <c r="B116" s="3" t="s">
        <v>433</v>
      </c>
      <c r="C116" s="19" t="n">
        <v>6587</v>
      </c>
      <c r="D116" s="50" t="n">
        <f aca="false">ROUND('The Batch'!$F$30,0)</f>
        <v>6587</v>
      </c>
      <c r="E116" s="21" t="n">
        <f aca="false">D116-C116</f>
        <v>0</v>
      </c>
      <c r="F116" s="14" t="str">
        <f aca="false">IF(ABS(E116)&lt;0.00000001,"PASS","FAIL")</f>
        <v>PASS</v>
      </c>
    </row>
    <row r="117" customFormat="false" ht="15" hidden="false" customHeight="false" outlineLevel="0" collapsed="false">
      <c r="B117" s="3" t="s">
        <v>434</v>
      </c>
      <c r="C117" s="19" t="n">
        <v>14243</v>
      </c>
      <c r="D117" s="50" t="n">
        <f aca="false">ROUND('The Batch'!$F$31,0)</f>
        <v>14243</v>
      </c>
      <c r="E117" s="21" t="n">
        <f aca="false">D117-C117</f>
        <v>0</v>
      </c>
      <c r="F117" s="14" t="str">
        <f aca="false">IF(ABS(E117)&lt;0.00000001,"PASS","FAIL")</f>
        <v>PASS</v>
      </c>
    </row>
    <row r="118" customFormat="false" ht="15" hidden="false" customHeight="false" outlineLevel="0" collapsed="false">
      <c r="B118" s="3" t="s">
        <v>435</v>
      </c>
      <c r="C118" s="19" t="n">
        <v>29555</v>
      </c>
      <c r="D118" s="50" t="n">
        <f aca="false">ROUND('The Batch'!$F$32,0)</f>
        <v>29555</v>
      </c>
      <c r="E118" s="21" t="n">
        <f aca="false">D118-C118</f>
        <v>0</v>
      </c>
      <c r="F118" s="14" t="str">
        <f aca="false">IF(ABS(E118)&lt;0.00000001,"PASS","FAIL")</f>
        <v>PASS</v>
      </c>
    </row>
    <row r="119" customFormat="false" ht="15" hidden="false" customHeight="false" outlineLevel="0" collapsed="false">
      <c r="B119" s="3" t="s">
        <v>436</v>
      </c>
      <c r="C119" s="19" t="n">
        <v>75490</v>
      </c>
      <c r="D119" s="50" t="n">
        <f aca="false">ROUND('The Batch'!$F$33,0)</f>
        <v>75490</v>
      </c>
      <c r="E119" s="21" t="n">
        <f aca="false">D119-C119</f>
        <v>0</v>
      </c>
      <c r="F119" s="14" t="str">
        <f aca="false">IF(ABS(E119)&lt;0.00000001,"PASS","FAIL")</f>
        <v>PASS</v>
      </c>
    </row>
    <row r="120" customFormat="false" ht="15" hidden="false" customHeight="false" outlineLevel="0" collapsed="false">
      <c r="B120" s="5" t="s">
        <v>437</v>
      </c>
      <c r="C120" s="6"/>
      <c r="D120" s="6"/>
      <c r="E120" s="6"/>
      <c r="F120" s="6"/>
    </row>
    <row r="121" customFormat="false" ht="15" hidden="false" customHeight="false" outlineLevel="0" collapsed="false">
      <c r="B121" s="3" t="s">
        <v>68</v>
      </c>
      <c r="C121" s="23" t="n">
        <v>5.9</v>
      </c>
      <c r="D121" s="52" t="n">
        <f aca="false">ROUND('Make or Buy'!$C$11,2)</f>
        <v>5.9</v>
      </c>
      <c r="E121" s="21" t="n">
        <f aca="false">D121-C121</f>
        <v>0</v>
      </c>
      <c r="F121" s="14" t="str">
        <f aca="false">IF(ABS(E121)&lt;0.00000001,"PASS","FAIL")</f>
        <v>PASS</v>
      </c>
    </row>
    <row r="122" customFormat="false" ht="15" hidden="false" customHeight="false" outlineLevel="0" collapsed="false">
      <c r="B122" s="3" t="s">
        <v>70</v>
      </c>
      <c r="C122" s="23" t="n">
        <v>51</v>
      </c>
      <c r="D122" s="52" t="n">
        <f aca="false">ROUND('Make or Buy'!$C$12,2)</f>
        <v>51</v>
      </c>
      <c r="E122" s="21" t="n">
        <f aca="false">D122-C122</f>
        <v>0</v>
      </c>
      <c r="F122" s="14" t="str">
        <f aca="false">IF(ABS(E122)&lt;0.00000001,"PASS","FAIL")</f>
        <v>PASS</v>
      </c>
    </row>
    <row r="123" customFormat="false" ht="15" hidden="false" customHeight="false" outlineLevel="0" collapsed="false">
      <c r="B123" s="3" t="s">
        <v>71</v>
      </c>
      <c r="C123" s="23" t="n">
        <v>280</v>
      </c>
      <c r="D123" s="52" t="n">
        <f aca="false">ROUND('Make or Buy'!$C$13,2)</f>
        <v>280</v>
      </c>
      <c r="E123" s="21" t="n">
        <f aca="false">D123-C123</f>
        <v>0</v>
      </c>
      <c r="F123" s="14" t="str">
        <f aca="false">IF(ABS(E123)&lt;0.00000001,"PASS","FAIL")</f>
        <v>PASS</v>
      </c>
    </row>
    <row r="124" customFormat="false" ht="15" hidden="false" customHeight="false" outlineLevel="0" collapsed="false">
      <c r="B124" s="5" t="s">
        <v>438</v>
      </c>
      <c r="C124" s="6"/>
      <c r="D124" s="6"/>
      <c r="E124" s="6"/>
      <c r="F124" s="6"/>
    </row>
    <row r="125" customFormat="false" ht="15" hidden="false" customHeight="false" outlineLevel="0" collapsed="false">
      <c r="B125" s="3" t="s">
        <v>68</v>
      </c>
      <c r="C125" s="23" t="n">
        <v>6.53</v>
      </c>
      <c r="D125" s="52" t="n">
        <f aca="false">ROUND('Make or Buy'!$D$11,2)</f>
        <v>6.53</v>
      </c>
      <c r="E125" s="21" t="n">
        <f aca="false">D125-C125</f>
        <v>0</v>
      </c>
      <c r="F125" s="14" t="str">
        <f aca="false">IF(ABS(E125)&lt;0.00000001,"PASS","FAIL")</f>
        <v>PASS</v>
      </c>
    </row>
    <row r="126" customFormat="false" ht="15" hidden="false" customHeight="false" outlineLevel="0" collapsed="false">
      <c r="B126" s="3" t="s">
        <v>70</v>
      </c>
      <c r="C126" s="23" t="n">
        <v>54.53</v>
      </c>
      <c r="D126" s="52" t="n">
        <f aca="false">ROUND('Make or Buy'!$D$12,2)</f>
        <v>54.53</v>
      </c>
      <c r="E126" s="21" t="n">
        <f aca="false">D126-C126</f>
        <v>0</v>
      </c>
      <c r="F126" s="14" t="str">
        <f aca="false">IF(ABS(E126)&lt;0.00000001,"PASS","FAIL")</f>
        <v>PASS</v>
      </c>
    </row>
    <row r="127" customFormat="false" ht="15" hidden="false" customHeight="false" outlineLevel="0" collapsed="false">
      <c r="B127" s="3" t="s">
        <v>71</v>
      </c>
      <c r="C127" s="23" t="n">
        <v>287.69</v>
      </c>
      <c r="D127" s="52" t="n">
        <f aca="false">ROUND('Make or Buy'!$D$13,2)</f>
        <v>287.69</v>
      </c>
      <c r="E127" s="21" t="n">
        <f aca="false">D127-C127</f>
        <v>0</v>
      </c>
      <c r="F127" s="14" t="str">
        <f aca="false">IF(ABS(E127)&lt;0.00000001,"PASS","FAIL")</f>
        <v>PASS</v>
      </c>
    </row>
    <row r="128" customFormat="false" ht="15" hidden="false" customHeight="false" outlineLevel="0" collapsed="false">
      <c r="B128" s="5" t="s">
        <v>439</v>
      </c>
      <c r="C128" s="6"/>
      <c r="D128" s="6"/>
      <c r="E128" s="6"/>
      <c r="F128" s="6"/>
    </row>
    <row r="129" customFormat="false" ht="15" hidden="false" customHeight="false" outlineLevel="0" collapsed="false">
      <c r="B129" s="3" t="s">
        <v>68</v>
      </c>
      <c r="C129" s="23" t="n">
        <v>4.36</v>
      </c>
      <c r="D129" s="52" t="n">
        <f aca="false">ROUND('Make or Buy'!$F$11,2)</f>
        <v>4.36</v>
      </c>
      <c r="E129" s="21" t="n">
        <f aca="false">D129-C129</f>
        <v>0</v>
      </c>
      <c r="F129" s="14" t="str">
        <f aca="false">IF(ABS(E129)&lt;0.00000001,"PASS","FAIL")</f>
        <v>PASS</v>
      </c>
    </row>
    <row r="130" customFormat="false" ht="15" hidden="false" customHeight="false" outlineLevel="0" collapsed="false">
      <c r="B130" s="3" t="s">
        <v>70</v>
      </c>
      <c r="C130" s="23" t="n">
        <v>51.16</v>
      </c>
      <c r="D130" s="52" t="n">
        <f aca="false">ROUND('Make or Buy'!$F$12,2)</f>
        <v>51.16</v>
      </c>
      <c r="E130" s="21" t="n">
        <f aca="false">D130-C130</f>
        <v>0</v>
      </c>
      <c r="F130" s="14" t="str">
        <f aca="false">IF(ABS(E130)&lt;0.00000001,"PASS","FAIL")</f>
        <v>PASS</v>
      </c>
    </row>
    <row r="131" customFormat="false" ht="15" hidden="false" customHeight="false" outlineLevel="0" collapsed="false">
      <c r="B131" s="3" t="s">
        <v>71</v>
      </c>
      <c r="C131" s="23" t="n">
        <v>301.78</v>
      </c>
      <c r="D131" s="52" t="n">
        <f aca="false">ROUND('Make or Buy'!$F$13,2)</f>
        <v>301.78</v>
      </c>
      <c r="E131" s="21" t="n">
        <f aca="false">D131-C131</f>
        <v>0</v>
      </c>
      <c r="F131" s="14" t="str">
        <f aca="false">IF(ABS(E131)&lt;0.00000001,"PASS","FAIL")</f>
        <v>PASS</v>
      </c>
    </row>
    <row r="132" customFormat="false" ht="15" hidden="false" customHeight="false" outlineLevel="0" collapsed="false">
      <c r="B132" s="5" t="s">
        <v>440</v>
      </c>
      <c r="C132" s="6"/>
      <c r="D132" s="6"/>
      <c r="E132" s="6"/>
      <c r="F132" s="6"/>
    </row>
    <row r="133" customFormat="false" ht="15" hidden="false" customHeight="false" outlineLevel="0" collapsed="false">
      <c r="B133" s="3" t="s">
        <v>68</v>
      </c>
      <c r="C133" s="23" t="n">
        <v>4.87</v>
      </c>
      <c r="D133" s="52" t="n">
        <f aca="false">ROUND('Make or Buy'!$H$11,2)</f>
        <v>4.87</v>
      </c>
      <c r="E133" s="21" t="n">
        <f aca="false">D133-C133</f>
        <v>0</v>
      </c>
      <c r="F133" s="14" t="str">
        <f aca="false">IF(ABS(E133)&lt;0.00000001,"PASS","FAIL")</f>
        <v>PASS</v>
      </c>
    </row>
    <row r="134" customFormat="false" ht="15" hidden="false" customHeight="false" outlineLevel="0" collapsed="false">
      <c r="B134" s="3" t="s">
        <v>70</v>
      </c>
      <c r="C134" s="23" t="n">
        <v>64.22</v>
      </c>
      <c r="D134" s="52" t="n">
        <f aca="false">ROUND('Make or Buy'!$H$12,2)</f>
        <v>64.22</v>
      </c>
      <c r="E134" s="21" t="n">
        <f aca="false">D134-C134</f>
        <v>0</v>
      </c>
      <c r="F134" s="14" t="str">
        <f aca="false">IF(ABS(E134)&lt;0.00000001,"PASS","FAIL")</f>
        <v>PASS</v>
      </c>
    </row>
    <row r="135" customFormat="false" ht="15" hidden="false" customHeight="false" outlineLevel="0" collapsed="false">
      <c r="B135" s="3" t="s">
        <v>71</v>
      </c>
      <c r="C135" s="23" t="n">
        <v>436.91</v>
      </c>
      <c r="D135" s="52" t="n">
        <f aca="false">ROUND('Make or Buy'!$H$13,2)</f>
        <v>436.91</v>
      </c>
      <c r="E135" s="21" t="n">
        <f aca="false">D135-C135</f>
        <v>0</v>
      </c>
      <c r="F135" s="14" t="str">
        <f aca="false">IF(ABS(E135)&lt;0.00000001,"PASS","FAIL")</f>
        <v>PASS</v>
      </c>
    </row>
    <row r="136" customFormat="false" ht="15" hidden="false" customHeight="false" outlineLevel="0" collapsed="false">
      <c r="B136" s="5" t="s">
        <v>441</v>
      </c>
      <c r="C136" s="6"/>
      <c r="D136" s="6"/>
      <c r="E136" s="6"/>
      <c r="F136" s="6"/>
    </row>
    <row r="137" customFormat="false" ht="15" hidden="false" customHeight="false" outlineLevel="0" collapsed="false">
      <c r="B137" s="3" t="s">
        <v>68</v>
      </c>
      <c r="C137" s="19" t="n">
        <v>-2857439</v>
      </c>
      <c r="D137" s="50" t="n">
        <f aca="false">ROUND('Make or Buy'!$K$11,0)</f>
        <v>-2857439</v>
      </c>
      <c r="E137" s="21" t="n">
        <f aca="false">D137-C137</f>
        <v>0</v>
      </c>
      <c r="F137" s="14" t="str">
        <f aca="false">IF(ABS(E137)&lt;0.00000001,"PASS","FAIL")</f>
        <v>PASS</v>
      </c>
    </row>
    <row r="138" customFormat="false" ht="15" hidden="false" customHeight="false" outlineLevel="0" collapsed="false">
      <c r="B138" s="3" t="s">
        <v>70</v>
      </c>
      <c r="C138" s="19" t="n">
        <v>18414</v>
      </c>
      <c r="D138" s="50" t="n">
        <f aca="false">ROUND('Make or Buy'!$K$12,0)</f>
        <v>18414</v>
      </c>
      <c r="E138" s="21" t="n">
        <f aca="false">D138-C138</f>
        <v>0</v>
      </c>
      <c r="F138" s="14" t="str">
        <f aca="false">IF(ABS(E138)&lt;0.00000001,"PASS","FAIL")</f>
        <v>PASS</v>
      </c>
    </row>
    <row r="139" customFormat="false" ht="15" hidden="false" customHeight="false" outlineLevel="0" collapsed="false">
      <c r="B139" s="3" t="s">
        <v>71</v>
      </c>
      <c r="C139" s="19" t="n">
        <v>424633</v>
      </c>
      <c r="D139" s="50" t="n">
        <f aca="false">ROUND('Make or Buy'!$K$13,0)</f>
        <v>424633</v>
      </c>
      <c r="E139" s="21" t="n">
        <f aca="false">D139-C139</f>
        <v>0</v>
      </c>
      <c r="F139" s="14" t="str">
        <f aca="false">IF(ABS(E139)&lt;0.00000001,"PASS","FAIL")</f>
        <v>PASS</v>
      </c>
    </row>
    <row r="140" customFormat="false" ht="15" hidden="false" customHeight="false" outlineLevel="0" collapsed="false">
      <c r="B140" s="5" t="s">
        <v>442</v>
      </c>
      <c r="C140" s="6"/>
      <c r="D140" s="6"/>
      <c r="E140" s="6"/>
      <c r="F140" s="6"/>
    </row>
    <row r="141" customFormat="false" ht="15" hidden="false" customHeight="false" outlineLevel="0" collapsed="false">
      <c r="B141" s="3" t="s">
        <v>68</v>
      </c>
      <c r="C141" s="19" t="n">
        <v>958654</v>
      </c>
      <c r="D141" s="50" t="n">
        <f aca="false">ROUND('Make or Buy'!$L$11,0)</f>
        <v>958654</v>
      </c>
      <c r="E141" s="21" t="n">
        <f aca="false">D141-C141</f>
        <v>0</v>
      </c>
      <c r="F141" s="14" t="str">
        <f aca="false">IF(ABS(E141)&lt;0.00000001,"PASS","FAIL")</f>
        <v>PASS</v>
      </c>
    </row>
    <row r="142" customFormat="false" ht="15" hidden="false" customHeight="false" outlineLevel="0" collapsed="false">
      <c r="B142" s="3" t="s">
        <v>70</v>
      </c>
      <c r="C142" s="19" t="n">
        <v>1541486</v>
      </c>
      <c r="D142" s="50" t="n">
        <f aca="false">ROUND('Make or Buy'!$L$12,0)</f>
        <v>1541486</v>
      </c>
      <c r="E142" s="21" t="n">
        <f aca="false">D142-C142</f>
        <v>0</v>
      </c>
      <c r="F142" s="14" t="str">
        <f aca="false">IF(ABS(E142)&lt;0.00000001,"PASS","FAIL")</f>
        <v>PASS</v>
      </c>
    </row>
    <row r="143" customFormat="false" ht="15" hidden="false" customHeight="false" outlineLevel="0" collapsed="false">
      <c r="B143" s="3" t="s">
        <v>71</v>
      </c>
      <c r="C143" s="19" t="n">
        <v>2635033</v>
      </c>
      <c r="D143" s="50" t="n">
        <f aca="false">ROUND('Make or Buy'!$L$13,0)</f>
        <v>2635033</v>
      </c>
      <c r="E143" s="21" t="n">
        <f aca="false">D143-C143</f>
        <v>0</v>
      </c>
      <c r="F143" s="14" t="str">
        <f aca="false">IF(ABS(E143)&lt;0.00000001,"PASS","FAIL")</f>
        <v>PASS</v>
      </c>
    </row>
    <row r="144" customFormat="false" ht="15" hidden="false" customHeight="false" outlineLevel="0" collapsed="false">
      <c r="B144" s="5" t="s">
        <v>443</v>
      </c>
      <c r="C144" s="6"/>
      <c r="D144" s="6"/>
      <c r="E144" s="6"/>
      <c r="F144" s="6"/>
    </row>
    <row r="145" customFormat="false" ht="15" hidden="false" customHeight="false" outlineLevel="0" collapsed="false">
      <c r="B145" s="3" t="s">
        <v>245</v>
      </c>
      <c r="C145" s="19" t="n">
        <v>5809744</v>
      </c>
      <c r="D145" s="50" t="n">
        <f aca="false">ROUND('Make or Buy'!$C$22,0)</f>
        <v>5809744</v>
      </c>
      <c r="E145" s="21" t="n">
        <f aca="false">D145-C145</f>
        <v>0</v>
      </c>
      <c r="F145" s="14" t="str">
        <f aca="false">IF(ABS(E145)&lt;0.00000001,"PASS","FAIL")</f>
        <v>PASS</v>
      </c>
    </row>
    <row r="146" customFormat="false" ht="15" hidden="false" customHeight="false" outlineLevel="0" collapsed="false">
      <c r="B146" s="3" t="s">
        <v>444</v>
      </c>
      <c r="C146" s="19" t="n">
        <v>7630256</v>
      </c>
      <c r="D146" s="50" t="n">
        <f aca="false">ROUND('Make or Buy'!$C$23,0)</f>
        <v>7630256</v>
      </c>
      <c r="E146" s="21" t="n">
        <f aca="false">D146-C146</f>
        <v>0</v>
      </c>
      <c r="F146" s="14" t="str">
        <f aca="false">IF(ABS(E146)&lt;0.00000001,"PASS","FAIL")</f>
        <v>PASS</v>
      </c>
    </row>
    <row r="147" customFormat="false" ht="15" hidden="false" customHeight="false" outlineLevel="0" collapsed="false">
      <c r="B147" s="3" t="s">
        <v>247</v>
      </c>
      <c r="C147" s="19" t="n">
        <v>39680</v>
      </c>
      <c r="D147" s="50" t="n">
        <f aca="false">ROUND('Make or Buy'!$C$24,0)</f>
        <v>39680</v>
      </c>
      <c r="E147" s="21" t="n">
        <f aca="false">D147-C147</f>
        <v>0</v>
      </c>
      <c r="F147" s="14" t="str">
        <f aca="false">IF(ABS(E147)&lt;0.00000001,"PASS","FAIL")</f>
        <v>PASS</v>
      </c>
    </row>
    <row r="148" customFormat="false" ht="15" hidden="false" customHeight="false" outlineLevel="0" collapsed="false">
      <c r="B148" s="3" t="s">
        <v>445</v>
      </c>
      <c r="C148" s="23" t="n">
        <v>192.29</v>
      </c>
      <c r="D148" s="52" t="n">
        <f aca="false">ROUND('Make or Buy'!$C$25,2)</f>
        <v>192.29</v>
      </c>
      <c r="E148" s="21" t="n">
        <f aca="false">D148-C148</f>
        <v>0</v>
      </c>
      <c r="F148" s="14" t="str">
        <f aca="false">IF(ABS(E148)&lt;0.00000001,"PASS","FAIL")</f>
        <v>PASS</v>
      </c>
    </row>
    <row r="149" customFormat="false" ht="15" hidden="false" customHeight="false" outlineLevel="0" collapsed="false">
      <c r="B149" s="3" t="s">
        <v>249</v>
      </c>
      <c r="C149" s="23" t="n">
        <v>87.88</v>
      </c>
      <c r="D149" s="52" t="n">
        <f aca="false">ROUND('Make or Buy'!$C$26,2)</f>
        <v>87.88</v>
      </c>
      <c r="E149" s="21" t="n">
        <f aca="false">D149-C149</f>
        <v>0</v>
      </c>
      <c r="F149" s="14" t="str">
        <f aca="false">IF(ABS(E149)&lt;0.00000001,"PASS","FAIL")</f>
        <v>PASS</v>
      </c>
    </row>
    <row r="150" customFormat="false" ht="15" hidden="false" customHeight="false" outlineLevel="0" collapsed="false">
      <c r="B150" s="3" t="s">
        <v>446</v>
      </c>
      <c r="C150" s="23" t="n">
        <v>21.97</v>
      </c>
      <c r="D150" s="52" t="n">
        <f aca="false">ROUND('Make or Buy'!$C$30,2)</f>
        <v>21.97</v>
      </c>
      <c r="E150" s="21" t="n">
        <f aca="false">D150-C150</f>
        <v>0</v>
      </c>
      <c r="F150" s="14" t="str">
        <f aca="false">IF(ABS(E150)&lt;0.00000001,"PASS","FAIL")</f>
        <v>PASS</v>
      </c>
    </row>
    <row r="151" customFormat="false" ht="15" hidden="false" customHeight="false" outlineLevel="0" collapsed="false">
      <c r="B151" s="3" t="s">
        <v>447</v>
      </c>
      <c r="C151" s="23" t="n">
        <v>23.5</v>
      </c>
      <c r="D151" s="52" t="n">
        <f aca="false">ROUND('Make or Buy'!$D$30,2)</f>
        <v>23.5</v>
      </c>
      <c r="E151" s="21" t="n">
        <f aca="false">D151-C151</f>
        <v>0</v>
      </c>
      <c r="F151" s="14" t="str">
        <f aca="false">IF(ABS(E151)&lt;0.00000001,"PASS","FAIL")</f>
        <v>PASS</v>
      </c>
    </row>
    <row r="152" customFormat="false" ht="15" hidden="false" customHeight="false" outlineLevel="0" collapsed="false">
      <c r="B152" s="3" t="s">
        <v>448</v>
      </c>
      <c r="C152" s="53" t="n">
        <v>0.065</v>
      </c>
      <c r="D152" s="54" t="n">
        <f aca="false">ROUND('Make or Buy'!$F$30,3)</f>
        <v>0.065</v>
      </c>
      <c r="E152" s="21" t="n">
        <f aca="false">D152-C152</f>
        <v>0</v>
      </c>
      <c r="F152" s="14" t="str">
        <f aca="false">IF(ABS(E152)&lt;0.00000001,"PASS","FAIL")</f>
        <v>PASS</v>
      </c>
    </row>
    <row r="153" customFormat="false" ht="15" hidden="false" customHeight="false" outlineLevel="0" collapsed="false">
      <c r="B153" s="3" t="s">
        <v>449</v>
      </c>
      <c r="C153" s="53" t="n">
        <v>0.407</v>
      </c>
      <c r="D153" s="54" t="n">
        <f aca="false">ROUND('Make or Buy'!$G$30,3)</f>
        <v>0.407</v>
      </c>
      <c r="E153" s="21" t="n">
        <f aca="false">D153-C153</f>
        <v>0</v>
      </c>
      <c r="F153" s="14" t="str">
        <f aca="false">IF(ABS(E153)&lt;0.00000001,"PASS","FAIL")</f>
        <v>PASS</v>
      </c>
    </row>
    <row r="154" customFormat="false" ht="15" hidden="false" customHeight="false" outlineLevel="0" collapsed="false">
      <c r="B154" s="5" t="s">
        <v>450</v>
      </c>
      <c r="C154" s="6"/>
      <c r="D154" s="6"/>
      <c r="E154" s="6"/>
      <c r="F154" s="6"/>
    </row>
    <row r="155" customFormat="false" ht="15" hidden="false" customHeight="false" outlineLevel="0" collapsed="false">
      <c r="B155" s="3" t="s">
        <v>451</v>
      </c>
      <c r="C155" s="19" t="n">
        <v>929660</v>
      </c>
      <c r="D155" s="50" t="n">
        <f aca="false">ROUND('Cost to Serve'!$C$19,0)</f>
        <v>929660</v>
      </c>
      <c r="E155" s="21" t="n">
        <f aca="false">D155-C155</f>
        <v>0</v>
      </c>
      <c r="F155" s="14" t="str">
        <f aca="false">IF(ABS(E155)&lt;0.00000001,"PASS","FAIL")</f>
        <v>PASS</v>
      </c>
    </row>
    <row r="156" customFormat="false" ht="15" hidden="false" customHeight="false" outlineLevel="0" collapsed="false">
      <c r="B156" s="3" t="s">
        <v>452</v>
      </c>
      <c r="C156" s="19" t="n">
        <v>151340</v>
      </c>
      <c r="D156" s="50" t="n">
        <f aca="false">ROUND('Cost to Serve'!$C$18,0)</f>
        <v>151340</v>
      </c>
      <c r="E156" s="21" t="n">
        <f aca="false">D156-C156</f>
        <v>0</v>
      </c>
      <c r="F156" s="14" t="str">
        <f aca="false">IF(ABS(E156)&lt;0.00000001,"PASS","FAIL")</f>
        <v>PASS</v>
      </c>
    </row>
    <row r="157" customFormat="false" ht="15" hidden="false" customHeight="false" outlineLevel="0" collapsed="false">
      <c r="B157" s="3" t="s">
        <v>453</v>
      </c>
      <c r="C157" s="19" t="n">
        <v>641487</v>
      </c>
      <c r="D157" s="50" t="n">
        <f aca="false">ROUND('Cost to Serve'!$C$20,0)</f>
        <v>641487</v>
      </c>
      <c r="E157" s="21" t="n">
        <f aca="false">D157-C157</f>
        <v>0</v>
      </c>
      <c r="F157" s="14" t="str">
        <f aca="false">IF(ABS(E157)&lt;0.00000001,"PASS","FAIL")</f>
        <v>PASS</v>
      </c>
    </row>
    <row r="158" customFormat="false" ht="15" hidden="false" customHeight="false" outlineLevel="0" collapsed="false">
      <c r="B158" s="3" t="s">
        <v>267</v>
      </c>
      <c r="C158" s="53" t="n">
        <v>0.31</v>
      </c>
      <c r="D158" s="54" t="n">
        <f aca="false">ROUND('Cost to Serve'!$C$21,3)</f>
        <v>0.31</v>
      </c>
      <c r="E158" s="21" t="n">
        <f aca="false">D158-C158</f>
        <v>0</v>
      </c>
      <c r="F158" s="14" t="str">
        <f aca="false">IF(ABS(E158)&lt;0.00000001,"PASS","FAIL")</f>
        <v>PASS</v>
      </c>
    </row>
    <row r="159" customFormat="false" ht="15" hidden="false" customHeight="false" outlineLevel="0" collapsed="false">
      <c r="B159" s="3" t="s">
        <v>269</v>
      </c>
      <c r="C159" s="19" t="n">
        <v>1536</v>
      </c>
      <c r="D159" s="50" t="n">
        <f aca="false">ROUND('Cost to Serve'!$C$23,0)</f>
        <v>1536</v>
      </c>
      <c r="E159" s="21" t="n">
        <f aca="false">D159-C159</f>
        <v>0</v>
      </c>
      <c r="F159" s="14" t="str">
        <f aca="false">IF(ABS(E159)&lt;0.00000001,"PASS","FAIL")</f>
        <v>PASS</v>
      </c>
    </row>
    <row r="160" customFormat="false" ht="15" hidden="false" customHeight="false" outlineLevel="0" collapsed="false">
      <c r="B160" s="3" t="s">
        <v>135</v>
      </c>
      <c r="C160" s="19" t="n">
        <v>864</v>
      </c>
      <c r="D160" s="50" t="n">
        <f aca="false">ROUND('Cost to Serve'!$C$24,0)</f>
        <v>864</v>
      </c>
      <c r="E160" s="21" t="n">
        <f aca="false">D160-C160</f>
        <v>0</v>
      </c>
      <c r="F160" s="14" t="str">
        <f aca="false">IF(ABS(E160)&lt;0.00000001,"PASS","FAIL")</f>
        <v>PASS</v>
      </c>
    </row>
    <row r="161" customFormat="false" ht="15" hidden="false" customHeight="false" outlineLevel="0" collapsed="false">
      <c r="B161" s="3" t="s">
        <v>136</v>
      </c>
      <c r="C161" s="19" t="n">
        <v>2940</v>
      </c>
      <c r="D161" s="50" t="n">
        <f aca="false">ROUND('Cost to Serve'!$C$25,0)</f>
        <v>2940</v>
      </c>
      <c r="E161" s="21" t="n">
        <f aca="false">D161-C161</f>
        <v>0</v>
      </c>
      <c r="F161" s="14" t="str">
        <f aca="false">IF(ABS(E161)&lt;0.00000001,"PASS","FAIL")</f>
        <v>PASS</v>
      </c>
    </row>
    <row r="162" customFormat="false" ht="15" hidden="false" customHeight="false" outlineLevel="0" collapsed="false">
      <c r="B162" s="3" t="s">
        <v>137</v>
      </c>
      <c r="C162" s="19" t="n">
        <v>1280</v>
      </c>
      <c r="D162" s="50" t="n">
        <f aca="false">ROUND('Cost to Serve'!$C$26,0)</f>
        <v>1280</v>
      </c>
      <c r="E162" s="21" t="n">
        <f aca="false">D162-C162</f>
        <v>0</v>
      </c>
      <c r="F162" s="14" t="str">
        <f aca="false">IF(ABS(E162)&lt;0.00000001,"PASS","FAIL")</f>
        <v>PASS</v>
      </c>
    </row>
    <row r="163" customFormat="false" ht="15" hidden="false" customHeight="false" outlineLevel="0" collapsed="false">
      <c r="B163" s="3" t="s">
        <v>271</v>
      </c>
      <c r="C163" s="19" t="n">
        <v>7544</v>
      </c>
      <c r="D163" s="50" t="n">
        <f aca="false">ROUND('Cost to Serve'!$C$27,0)</f>
        <v>7544</v>
      </c>
      <c r="E163" s="21" t="n">
        <f aca="false">D163-C163</f>
        <v>0</v>
      </c>
      <c r="F163" s="14" t="str">
        <f aca="false">IF(ABS(E163)&lt;0.00000001,"PASS","FAIL")</f>
        <v>PASS</v>
      </c>
    </row>
    <row r="164" customFormat="false" ht="15" hidden="false" customHeight="false" outlineLevel="0" collapsed="false">
      <c r="B164" s="3" t="s">
        <v>272</v>
      </c>
      <c r="C164" s="19" t="n">
        <v>9761</v>
      </c>
      <c r="D164" s="50" t="n">
        <f aca="false">ROUND('Cost to Serve'!$C$28,0)</f>
        <v>9761</v>
      </c>
      <c r="E164" s="21" t="n">
        <f aca="false">D164-C164</f>
        <v>0</v>
      </c>
      <c r="F164" s="14" t="str">
        <f aca="false">IF(ABS(E164)&lt;0.00000001,"PASS","FAIL")</f>
        <v>PASS</v>
      </c>
    </row>
    <row r="165" customFormat="false" ht="15" hidden="false" customHeight="false" outlineLevel="0" collapsed="false">
      <c r="B165" s="3" t="s">
        <v>274</v>
      </c>
      <c r="C165" s="19" t="n">
        <v>23925</v>
      </c>
      <c r="D165" s="50" t="n">
        <f aca="false">ROUND('Cost to Serve'!$C$29,0)</f>
        <v>23925</v>
      </c>
      <c r="E165" s="21" t="n">
        <f aca="false">D165-C165</f>
        <v>0</v>
      </c>
      <c r="F165" s="14" t="str">
        <f aca="false">IF(ABS(E165)&lt;0.00000001,"PASS","FAIL")</f>
        <v>PASS</v>
      </c>
    </row>
    <row r="166" customFormat="false" ht="15" hidden="false" customHeight="false" outlineLevel="0" collapsed="false">
      <c r="B166" s="3" t="s">
        <v>275</v>
      </c>
      <c r="C166" s="23" t="n">
        <v>0.52</v>
      </c>
      <c r="D166" s="52" t="n">
        <f aca="false">ROUND('Cost to Serve'!$C$30,2)</f>
        <v>0.52</v>
      </c>
      <c r="E166" s="21" t="n">
        <f aca="false">D166-C166</f>
        <v>0</v>
      </c>
      <c r="F166" s="14" t="str">
        <f aca="false">IF(ABS(E166)&lt;0.00000001,"PASS","FAIL")</f>
        <v>PASS</v>
      </c>
    </row>
    <row r="167" customFormat="false" ht="15" hidden="false" customHeight="false" outlineLevel="0" collapsed="false">
      <c r="B167" s="3" t="s">
        <v>276</v>
      </c>
      <c r="C167" s="19" t="n">
        <v>264248</v>
      </c>
      <c r="D167" s="50" t="n">
        <f aca="false">ROUND('Cost to Serve'!$C$32,0)</f>
        <v>264248</v>
      </c>
      <c r="E167" s="21" t="n">
        <f aca="false">D167-C167</f>
        <v>0</v>
      </c>
      <c r="F167" s="14" t="str">
        <f aca="false">IF(ABS(E167)&lt;0.00000001,"PASS","FAIL")</f>
        <v>PASS</v>
      </c>
    </row>
    <row r="168" customFormat="false" ht="15" hidden="false" customHeight="false" outlineLevel="0" collapsed="false">
      <c r="B168" s="3" t="s">
        <v>277</v>
      </c>
      <c r="C168" s="53" t="n">
        <v>0.2842</v>
      </c>
      <c r="D168" s="54" t="n">
        <f aca="false">ROUND('Cost to Serve'!$C$33,4)</f>
        <v>0.2842</v>
      </c>
      <c r="E168" s="21" t="n">
        <f aca="false">D168-C168</f>
        <v>0</v>
      </c>
      <c r="F168" s="14" t="str">
        <f aca="false">IF(ABS(E168)&lt;0.00000001,"PASS","FAIL")</f>
        <v>PASS</v>
      </c>
    </row>
    <row r="169" customFormat="false" ht="15" hidden="false" customHeight="false" outlineLevel="0" collapsed="false">
      <c r="B169" s="3" t="s">
        <v>278</v>
      </c>
      <c r="C169" s="23" t="n">
        <v>5.74</v>
      </c>
      <c r="D169" s="52" t="n">
        <f aca="false">ROUND('Cost to Serve'!$C$34,2)</f>
        <v>5.74</v>
      </c>
      <c r="E169" s="21" t="n">
        <f aca="false">D169-C169</f>
        <v>0</v>
      </c>
      <c r="F169" s="14" t="str">
        <f aca="false">IF(ABS(E169)&lt;0.00000001,"PASS","FAIL")</f>
        <v>PASS</v>
      </c>
    </row>
    <row r="170" customFormat="false" ht="15" hidden="false" customHeight="false" outlineLevel="0" collapsed="false">
      <c r="B170" s="5" t="s">
        <v>454</v>
      </c>
      <c r="C170" s="6"/>
      <c r="D170" s="6"/>
      <c r="E170" s="6"/>
      <c r="F170" s="6"/>
    </row>
    <row r="171" customFormat="false" ht="15" hidden="false" customHeight="false" outlineLevel="0" collapsed="false">
      <c r="B171" s="3" t="s">
        <v>451</v>
      </c>
      <c r="C171" s="19" t="n">
        <v>1016140</v>
      </c>
      <c r="D171" s="50" t="n">
        <f aca="false">ROUND('Cost to Serve'!$D$19,0)</f>
        <v>1016140</v>
      </c>
      <c r="E171" s="21" t="n">
        <f aca="false">D171-C171</f>
        <v>0</v>
      </c>
      <c r="F171" s="14" t="str">
        <f aca="false">IF(ABS(E171)&lt;0.00000001,"PASS","FAIL")</f>
        <v>PASS</v>
      </c>
    </row>
    <row r="172" customFormat="false" ht="15" hidden="false" customHeight="false" outlineLevel="0" collapsed="false">
      <c r="B172" s="3" t="s">
        <v>452</v>
      </c>
      <c r="C172" s="19" t="n">
        <v>64860</v>
      </c>
      <c r="D172" s="50" t="n">
        <f aca="false">ROUND('Cost to Serve'!$D$18,0)</f>
        <v>64860</v>
      </c>
      <c r="E172" s="21" t="n">
        <f aca="false">D172-C172</f>
        <v>0</v>
      </c>
      <c r="F172" s="14" t="str">
        <f aca="false">IF(ABS(E172)&lt;0.00000001,"PASS","FAIL")</f>
        <v>PASS</v>
      </c>
    </row>
    <row r="173" customFormat="false" ht="15" hidden="false" customHeight="false" outlineLevel="0" collapsed="false">
      <c r="B173" s="3" t="s">
        <v>453</v>
      </c>
      <c r="C173" s="19" t="n">
        <v>641487</v>
      </c>
      <c r="D173" s="50" t="n">
        <f aca="false">ROUND('Cost to Serve'!$D$20,0)</f>
        <v>641487</v>
      </c>
      <c r="E173" s="21" t="n">
        <f aca="false">D173-C173</f>
        <v>0</v>
      </c>
      <c r="F173" s="14" t="str">
        <f aca="false">IF(ABS(E173)&lt;0.00000001,"PASS","FAIL")</f>
        <v>PASS</v>
      </c>
    </row>
    <row r="174" customFormat="false" ht="15" hidden="false" customHeight="false" outlineLevel="0" collapsed="false">
      <c r="B174" s="3" t="s">
        <v>267</v>
      </c>
      <c r="C174" s="53" t="n">
        <v>0.369</v>
      </c>
      <c r="D174" s="54" t="n">
        <f aca="false">ROUND('Cost to Serve'!$D$21,3)</f>
        <v>0.369</v>
      </c>
      <c r="E174" s="21" t="n">
        <f aca="false">D174-C174</f>
        <v>0</v>
      </c>
      <c r="F174" s="14" t="str">
        <f aca="false">IF(ABS(E174)&lt;0.00000001,"PASS","FAIL")</f>
        <v>PASS</v>
      </c>
    </row>
    <row r="175" customFormat="false" ht="15" hidden="false" customHeight="false" outlineLevel="0" collapsed="false">
      <c r="B175" s="3" t="s">
        <v>269</v>
      </c>
      <c r="C175" s="19" t="n">
        <v>25088</v>
      </c>
      <c r="D175" s="50" t="n">
        <f aca="false">ROUND('Cost to Serve'!$D$23,0)</f>
        <v>25088</v>
      </c>
      <c r="E175" s="21" t="n">
        <f aca="false">D175-C175</f>
        <v>0</v>
      </c>
      <c r="F175" s="14" t="str">
        <f aca="false">IF(ABS(E175)&lt;0.00000001,"PASS","FAIL")</f>
        <v>PASS</v>
      </c>
    </row>
    <row r="176" customFormat="false" ht="15" hidden="false" customHeight="false" outlineLevel="0" collapsed="false">
      <c r="B176" s="3" t="s">
        <v>135</v>
      </c>
      <c r="C176" s="19" t="n">
        <v>24696</v>
      </c>
      <c r="D176" s="50" t="n">
        <f aca="false">ROUND('Cost to Serve'!$D$24,0)</f>
        <v>24696</v>
      </c>
      <c r="E176" s="21" t="n">
        <f aca="false">D176-C176</f>
        <v>0</v>
      </c>
      <c r="F176" s="14" t="str">
        <f aca="false">IF(ABS(E176)&lt;0.00000001,"PASS","FAIL")</f>
        <v>PASS</v>
      </c>
    </row>
    <row r="177" customFormat="false" ht="15" hidden="false" customHeight="false" outlineLevel="0" collapsed="false">
      <c r="B177" s="3" t="s">
        <v>136</v>
      </c>
      <c r="C177" s="19" t="n">
        <v>60760</v>
      </c>
      <c r="D177" s="50" t="n">
        <f aca="false">ROUND('Cost to Serve'!$D$25,0)</f>
        <v>60760</v>
      </c>
      <c r="E177" s="21" t="n">
        <f aca="false">D177-C177</f>
        <v>0</v>
      </c>
      <c r="F177" s="14" t="str">
        <f aca="false">IF(ABS(E177)&lt;0.00000001,"PASS","FAIL")</f>
        <v>PASS</v>
      </c>
    </row>
    <row r="178" customFormat="false" ht="15" hidden="false" customHeight="false" outlineLevel="0" collapsed="false">
      <c r="B178" s="3" t="s">
        <v>137</v>
      </c>
      <c r="C178" s="19" t="n">
        <v>53760</v>
      </c>
      <c r="D178" s="50" t="n">
        <f aca="false">ROUND('Cost to Serve'!$D$26,0)</f>
        <v>53760</v>
      </c>
      <c r="E178" s="21" t="n">
        <f aca="false">D178-C178</f>
        <v>0</v>
      </c>
      <c r="F178" s="14" t="str">
        <f aca="false">IF(ABS(E178)&lt;0.00000001,"PASS","FAIL")</f>
        <v>PASS</v>
      </c>
    </row>
    <row r="179" customFormat="false" ht="15" hidden="false" customHeight="false" outlineLevel="0" collapsed="false">
      <c r="B179" s="3" t="s">
        <v>271</v>
      </c>
      <c r="C179" s="19" t="n">
        <v>39606</v>
      </c>
      <c r="D179" s="50" t="n">
        <f aca="false">ROUND('Cost to Serve'!$D$27,0)</f>
        <v>39606</v>
      </c>
      <c r="E179" s="21" t="n">
        <f aca="false">D179-C179</f>
        <v>0</v>
      </c>
      <c r="F179" s="14" t="str">
        <f aca="false">IF(ABS(E179)&lt;0.00000001,"PASS","FAIL")</f>
        <v>PASS</v>
      </c>
    </row>
    <row r="180" customFormat="false" ht="15" hidden="false" customHeight="false" outlineLevel="0" collapsed="false">
      <c r="B180" s="3" t="s">
        <v>272</v>
      </c>
      <c r="C180" s="19" t="n">
        <v>21813</v>
      </c>
      <c r="D180" s="50" t="n">
        <f aca="false">ROUND('Cost to Serve'!$D$28,0)</f>
        <v>21813</v>
      </c>
      <c r="E180" s="21" t="n">
        <f aca="false">D180-C180</f>
        <v>0</v>
      </c>
      <c r="F180" s="14" t="str">
        <f aca="false">IF(ABS(E180)&lt;0.00000001,"PASS","FAIL")</f>
        <v>PASS</v>
      </c>
    </row>
    <row r="181" customFormat="false" ht="15" hidden="false" customHeight="false" outlineLevel="0" collapsed="false">
      <c r="B181" s="3" t="s">
        <v>274</v>
      </c>
      <c r="C181" s="19" t="n">
        <v>225723</v>
      </c>
      <c r="D181" s="50" t="n">
        <f aca="false">ROUND('Cost to Serve'!$D$29,0)</f>
        <v>225723</v>
      </c>
      <c r="E181" s="21" t="n">
        <f aca="false">D181-C181</f>
        <v>0</v>
      </c>
      <c r="F181" s="14" t="str">
        <f aca="false">IF(ABS(E181)&lt;0.00000001,"PASS","FAIL")</f>
        <v>PASS</v>
      </c>
    </row>
    <row r="182" customFormat="false" ht="15" hidden="false" customHeight="false" outlineLevel="0" collapsed="false">
      <c r="B182" s="3" t="s">
        <v>275</v>
      </c>
      <c r="C182" s="23" t="n">
        <v>4.91</v>
      </c>
      <c r="D182" s="52" t="n">
        <f aca="false">ROUND('Cost to Serve'!$D$30,2)</f>
        <v>4.91</v>
      </c>
      <c r="E182" s="21" t="n">
        <f aca="false">D182-C182</f>
        <v>0</v>
      </c>
      <c r="F182" s="14" t="str">
        <f aca="false">IF(ABS(E182)&lt;0.00000001,"PASS","FAIL")</f>
        <v>PASS</v>
      </c>
    </row>
    <row r="183" customFormat="false" ht="15" hidden="false" customHeight="false" outlineLevel="0" collapsed="false">
      <c r="B183" s="3" t="s">
        <v>276</v>
      </c>
      <c r="C183" s="19" t="n">
        <v>148930</v>
      </c>
      <c r="D183" s="50" t="n">
        <f aca="false">ROUND('Cost to Serve'!$D$32,0)</f>
        <v>148930</v>
      </c>
      <c r="E183" s="21" t="n">
        <f aca="false">D183-C183</f>
        <v>0</v>
      </c>
      <c r="F183" s="14" t="str">
        <f aca="false">IF(ABS(E183)&lt;0.00000001,"PASS","FAIL")</f>
        <v>PASS</v>
      </c>
    </row>
    <row r="184" customFormat="false" ht="15" hidden="false" customHeight="false" outlineLevel="0" collapsed="false">
      <c r="B184" s="3" t="s">
        <v>277</v>
      </c>
      <c r="C184" s="53" t="n">
        <v>0.1466</v>
      </c>
      <c r="D184" s="54" t="n">
        <f aca="false">ROUND('Cost to Serve'!$D$33,4)</f>
        <v>0.1466</v>
      </c>
      <c r="E184" s="21" t="n">
        <f aca="false">D184-C184</f>
        <v>0</v>
      </c>
      <c r="F184" s="14" t="str">
        <f aca="false">IF(ABS(E184)&lt;0.00000001,"PASS","FAIL")</f>
        <v>PASS</v>
      </c>
    </row>
    <row r="185" customFormat="false" ht="15" hidden="false" customHeight="false" outlineLevel="0" collapsed="false">
      <c r="B185" s="3" t="s">
        <v>278</v>
      </c>
      <c r="C185" s="23" t="n">
        <v>3.24</v>
      </c>
      <c r="D185" s="52" t="n">
        <f aca="false">ROUND('Cost to Serve'!$D$34,2)</f>
        <v>3.24</v>
      </c>
      <c r="E185" s="21" t="n">
        <f aca="false">D185-C185</f>
        <v>0</v>
      </c>
      <c r="F185" s="14" t="str">
        <f aca="false">IF(ABS(E185)&lt;0.00000001,"PASS","FAIL")</f>
        <v>PASS</v>
      </c>
    </row>
    <row r="186" customFormat="false" ht="15" hidden="false" customHeight="false" outlineLevel="0" collapsed="false">
      <c r="B186" s="3" t="s">
        <v>455</v>
      </c>
      <c r="C186" s="19" t="n">
        <v>201798</v>
      </c>
      <c r="D186" s="50" t="n">
        <f aca="false">ROUND('Cost to Serve'!$E$29,0)</f>
        <v>201798</v>
      </c>
      <c r="E186" s="21" t="n">
        <f aca="false">D186-C186</f>
        <v>0</v>
      </c>
      <c r="F186" s="14" t="str">
        <f aca="false">IF(ABS(E186)&lt;0.00000001,"PASS","FAIL")</f>
        <v>PASS</v>
      </c>
    </row>
    <row r="187" customFormat="false" ht="15" hidden="false" customHeight="false" outlineLevel="0" collapsed="false">
      <c r="B187" s="5" t="s">
        <v>456</v>
      </c>
      <c r="C187" s="6"/>
      <c r="D187" s="6"/>
      <c r="E187" s="6"/>
      <c r="F187" s="6"/>
    </row>
    <row r="188" customFormat="false" ht="15" hidden="false" customHeight="false" outlineLevel="0" collapsed="false">
      <c r="B188" s="3" t="s">
        <v>284</v>
      </c>
      <c r="C188" s="19" t="n">
        <v>92000</v>
      </c>
      <c r="D188" s="50" t="n">
        <f aca="false">ROUND('Cost to Serve'!$C$43,0)</f>
        <v>92000</v>
      </c>
      <c r="E188" s="21" t="n">
        <f aca="false">D188-C188</f>
        <v>0</v>
      </c>
      <c r="F188" s="14" t="str">
        <f aca="false">IF(ABS(E188)&lt;0.00000001,"PASS","FAIL")</f>
        <v>PASS</v>
      </c>
    </row>
    <row r="189" customFormat="false" ht="15" hidden="false" customHeight="false" outlineLevel="0" collapsed="false">
      <c r="B189" s="3" t="s">
        <v>457</v>
      </c>
      <c r="C189" s="19" t="n">
        <v>1517037</v>
      </c>
      <c r="D189" s="50" t="n">
        <f aca="false">ROUND('Cost to Serve'!$C$51,0)</f>
        <v>1517037</v>
      </c>
      <c r="E189" s="21" t="n">
        <f aca="false">D189-C189</f>
        <v>0</v>
      </c>
      <c r="F189" s="14" t="str">
        <f aca="false">IF(ABS(E189)&lt;0.00000001,"PASS","FAIL")</f>
        <v>PASS</v>
      </c>
    </row>
    <row r="190" customFormat="false" ht="15" hidden="false" customHeight="false" outlineLevel="0" collapsed="false">
      <c r="B190" s="3" t="s">
        <v>294</v>
      </c>
      <c r="C190" s="53" t="n">
        <v>0.226</v>
      </c>
      <c r="D190" s="54" t="n">
        <f aca="false">ROUND('Cost to Serve'!$C$53,3)</f>
        <v>0.226</v>
      </c>
      <c r="E190" s="21" t="n">
        <f aca="false">D190-C190</f>
        <v>0</v>
      </c>
      <c r="F190" s="14" t="str">
        <f aca="false">IF(ABS(E190)&lt;0.00000001,"PASS","FAIL")</f>
        <v>PASS</v>
      </c>
    </row>
    <row r="191" customFormat="false" ht="15" hidden="false" customHeight="false" outlineLevel="0" collapsed="false">
      <c r="B191" s="3" t="s">
        <v>295</v>
      </c>
      <c r="C191" s="19" t="n">
        <v>5202963</v>
      </c>
      <c r="D191" s="50" t="n">
        <f aca="false">ROUND('Cost to Serve'!$C$54,0)</f>
        <v>5202963</v>
      </c>
      <c r="E191" s="21" t="n">
        <f aca="false">D191-C191</f>
        <v>0</v>
      </c>
      <c r="F191" s="14" t="str">
        <f aca="false">IF(ABS(E191)&lt;0.00000001,"PASS","FAIL")</f>
        <v>PASS</v>
      </c>
    </row>
    <row r="192" customFormat="false" ht="15" hidden="false" customHeight="false" outlineLevel="0" collapsed="false">
      <c r="B192" s="3" t="s">
        <v>296</v>
      </c>
      <c r="C192" s="53" t="n">
        <v>0.313</v>
      </c>
      <c r="D192" s="54" t="n">
        <f aca="false">ROUND('Cost to Serve'!$C$55,3)</f>
        <v>0.313</v>
      </c>
      <c r="E192" s="21" t="n">
        <f aca="false">D192-C192</f>
        <v>0</v>
      </c>
      <c r="F192" s="14" t="str">
        <f aca="false">IF(ABS(E192)&lt;0.00000001,"PASS","FAIL")</f>
        <v>PASS</v>
      </c>
    </row>
    <row r="193" customFormat="false" ht="15" hidden="false" customHeight="false" outlineLevel="0" collapsed="false">
      <c r="B193" s="5" t="s">
        <v>458</v>
      </c>
      <c r="C193" s="6"/>
      <c r="D193" s="6"/>
      <c r="E193" s="6"/>
      <c r="F193" s="6"/>
    </row>
    <row r="194" customFormat="false" ht="15" hidden="false" customHeight="false" outlineLevel="0" collapsed="false">
      <c r="B194" s="3" t="s">
        <v>459</v>
      </c>
      <c r="C194" s="19" t="n">
        <v>48050000</v>
      </c>
      <c r="D194" s="50" t="n">
        <f aca="false">ROUND('The Spiral'!$D$12,0)</f>
        <v>48050000</v>
      </c>
      <c r="E194" s="21" t="n">
        <f aca="false">D194-C194</f>
        <v>0</v>
      </c>
      <c r="F194" s="14" t="str">
        <f aca="false">IF(ABS(E194)&lt;0.00000001,"PASS","FAIL")</f>
        <v>PASS</v>
      </c>
    </row>
    <row r="195" customFormat="false" ht="15" hidden="false" customHeight="false" outlineLevel="0" collapsed="false">
      <c r="B195" s="3" t="s">
        <v>460</v>
      </c>
      <c r="C195" s="19" t="n">
        <v>31030000</v>
      </c>
      <c r="D195" s="50" t="n">
        <f aca="false">ROUND('The Spiral'!$D$13,0)</f>
        <v>31030000</v>
      </c>
      <c r="E195" s="21" t="n">
        <f aca="false">D195-C195</f>
        <v>0</v>
      </c>
      <c r="F195" s="14" t="str">
        <f aca="false">IF(ABS(E195)&lt;0.00000001,"PASS","FAIL")</f>
        <v>PASS</v>
      </c>
    </row>
    <row r="196" customFormat="false" ht="15" hidden="false" customHeight="false" outlineLevel="0" collapsed="false">
      <c r="B196" s="3" t="s">
        <v>461</v>
      </c>
      <c r="C196" s="19" t="n">
        <v>15990000</v>
      </c>
      <c r="D196" s="50" t="n">
        <f aca="false">ROUND('The Spiral'!$D$14,0)</f>
        <v>15990000</v>
      </c>
      <c r="E196" s="21" t="n">
        <f aca="false">D196-C196</f>
        <v>0</v>
      </c>
      <c r="F196" s="14" t="str">
        <f aca="false">IF(ABS(E196)&lt;0.00000001,"PASS","FAIL")</f>
        <v>PASS</v>
      </c>
    </row>
    <row r="197" customFormat="false" ht="15" hidden="false" customHeight="false" outlineLevel="0" collapsed="false">
      <c r="B197" s="3" t="s">
        <v>462</v>
      </c>
      <c r="C197" s="19" t="n">
        <v>6786000</v>
      </c>
      <c r="D197" s="50" t="n">
        <f aca="false">ROUND('The Spiral'!$D$15,0)</f>
        <v>6786000</v>
      </c>
      <c r="E197" s="21" t="n">
        <f aca="false">D197-C197</f>
        <v>0</v>
      </c>
      <c r="F197" s="14" t="str">
        <f aca="false">IF(ABS(E197)&lt;0.00000001,"PASS","FAIL")</f>
        <v>PASS</v>
      </c>
    </row>
    <row r="198" customFormat="false" ht="15" hidden="false" customHeight="false" outlineLevel="0" collapsed="false">
      <c r="B198" s="3" t="s">
        <v>463</v>
      </c>
      <c r="C198" s="19" t="n">
        <v>0</v>
      </c>
      <c r="D198" s="50" t="n">
        <f aca="false">ROUND('The Spiral'!$D$16,0)</f>
        <v>0</v>
      </c>
      <c r="E198" s="21" t="n">
        <f aca="false">D198-C198</f>
        <v>0</v>
      </c>
      <c r="F198" s="14" t="str">
        <f aca="false">IF(ABS(E198)&lt;0.00000001,"PASS","FAIL")</f>
        <v>PASS</v>
      </c>
    </row>
    <row r="199" customFormat="false" ht="15" hidden="false" customHeight="false" outlineLevel="0" collapsed="false">
      <c r="B199" s="3" t="s">
        <v>464</v>
      </c>
      <c r="C199" s="19" t="n">
        <v>152940</v>
      </c>
      <c r="D199" s="50" t="n">
        <f aca="false">ROUND('The Spiral'!$E$12,0)</f>
        <v>152940</v>
      </c>
      <c r="E199" s="21" t="n">
        <f aca="false">D199-C199</f>
        <v>0</v>
      </c>
      <c r="F199" s="14" t="str">
        <f aca="false">IF(ABS(E199)&lt;0.00000001,"PASS","FAIL")</f>
        <v>PASS</v>
      </c>
    </row>
    <row r="200" customFormat="false" ht="15" hidden="false" customHeight="false" outlineLevel="0" collapsed="false">
      <c r="B200" s="3" t="s">
        <v>465</v>
      </c>
      <c r="C200" s="19" t="n">
        <v>97440</v>
      </c>
      <c r="D200" s="50" t="n">
        <f aca="false">ROUND('The Spiral'!$E$13,0)</f>
        <v>97440</v>
      </c>
      <c r="E200" s="21" t="n">
        <f aca="false">D200-C200</f>
        <v>0</v>
      </c>
      <c r="F200" s="14" t="str">
        <f aca="false">IF(ABS(E200)&lt;0.00000001,"PASS","FAIL")</f>
        <v>PASS</v>
      </c>
    </row>
    <row r="201" customFormat="false" ht="15" hidden="false" customHeight="false" outlineLevel="0" collapsed="false">
      <c r="B201" s="3" t="s">
        <v>466</v>
      </c>
      <c r="C201" s="19" t="n">
        <v>57760</v>
      </c>
      <c r="D201" s="50" t="n">
        <f aca="false">ROUND('The Spiral'!$E$14,0)</f>
        <v>57760</v>
      </c>
      <c r="E201" s="21" t="n">
        <f aca="false">D201-C201</f>
        <v>0</v>
      </c>
      <c r="F201" s="14" t="str">
        <f aca="false">IF(ABS(E201)&lt;0.00000001,"PASS","FAIL")</f>
        <v>PASS</v>
      </c>
    </row>
    <row r="202" customFormat="false" ht="15" hidden="false" customHeight="false" outlineLevel="0" collapsed="false">
      <c r="B202" s="3" t="s">
        <v>467</v>
      </c>
      <c r="C202" s="19" t="n">
        <v>30030</v>
      </c>
      <c r="D202" s="50" t="n">
        <f aca="false">ROUND('The Spiral'!$E$15,0)</f>
        <v>30030</v>
      </c>
      <c r="E202" s="21" t="n">
        <f aca="false">D202-C202</f>
        <v>0</v>
      </c>
      <c r="F202" s="14" t="str">
        <f aca="false">IF(ABS(E202)&lt;0.00000001,"PASS","FAIL")</f>
        <v>PASS</v>
      </c>
    </row>
    <row r="203" customFormat="false" ht="15" hidden="false" customHeight="false" outlineLevel="0" collapsed="false">
      <c r="B203" s="3" t="s">
        <v>468</v>
      </c>
      <c r="C203" s="19" t="n">
        <v>0</v>
      </c>
      <c r="D203" s="50" t="n">
        <f aca="false">ROUND('The Spiral'!$E$16,0)</f>
        <v>0</v>
      </c>
      <c r="E203" s="21" t="n">
        <f aca="false">D203-C203</f>
        <v>0</v>
      </c>
      <c r="F203" s="14" t="str">
        <f aca="false">IF(ABS(E203)&lt;0.00000001,"PASS","FAIL")</f>
        <v>PASS</v>
      </c>
    </row>
    <row r="204" customFormat="false" ht="15" hidden="false" customHeight="false" outlineLevel="0" collapsed="false">
      <c r="B204" s="3" t="s">
        <v>469</v>
      </c>
      <c r="C204" s="23" t="n">
        <v>87.88</v>
      </c>
      <c r="D204" s="52" t="n">
        <f aca="false">ROUND('The Spiral'!$F$12,2)</f>
        <v>87.88</v>
      </c>
      <c r="E204" s="21" t="n">
        <f aca="false">D204-C204</f>
        <v>0</v>
      </c>
      <c r="F204" s="14" t="str">
        <f aca="false">IF(ABS(E204)&lt;0.00000001,"PASS","FAIL")</f>
        <v>PASS</v>
      </c>
    </row>
    <row r="205" customFormat="false" ht="15" hidden="false" customHeight="false" outlineLevel="0" collapsed="false">
      <c r="B205" s="3" t="s">
        <v>470</v>
      </c>
      <c r="C205" s="23" t="n">
        <v>137.93</v>
      </c>
      <c r="D205" s="52" t="n">
        <f aca="false">ROUND('The Spiral'!$F$13,2)</f>
        <v>137.93</v>
      </c>
      <c r="E205" s="21" t="n">
        <f aca="false">D205-C205</f>
        <v>0</v>
      </c>
      <c r="F205" s="14" t="str">
        <f aca="false">IF(ABS(E205)&lt;0.00000001,"PASS","FAIL")</f>
        <v>PASS</v>
      </c>
    </row>
    <row r="206" customFormat="false" ht="15" hidden="false" customHeight="false" outlineLevel="0" collapsed="false">
      <c r="B206" s="3" t="s">
        <v>471</v>
      </c>
      <c r="C206" s="23" t="n">
        <v>232.69</v>
      </c>
      <c r="D206" s="52" t="n">
        <f aca="false">ROUND('The Spiral'!$F$14,2)</f>
        <v>232.69</v>
      </c>
      <c r="E206" s="21" t="n">
        <f aca="false">D206-C206</f>
        <v>0</v>
      </c>
      <c r="F206" s="14" t="str">
        <f aca="false">IF(ABS(E206)&lt;0.00000001,"PASS","FAIL")</f>
        <v>PASS</v>
      </c>
    </row>
    <row r="207" customFormat="false" ht="15" hidden="false" customHeight="false" outlineLevel="0" collapsed="false">
      <c r="B207" s="3" t="s">
        <v>472</v>
      </c>
      <c r="C207" s="23" t="n">
        <v>447.55</v>
      </c>
      <c r="D207" s="52" t="n">
        <f aca="false">ROUND('The Spiral'!$F$15,2)</f>
        <v>447.55</v>
      </c>
      <c r="E207" s="21" t="n">
        <f aca="false">D207-C207</f>
        <v>0</v>
      </c>
      <c r="F207" s="14" t="str">
        <f aca="false">IF(ABS(E207)&lt;0.00000001,"PASS","FAIL")</f>
        <v>PASS</v>
      </c>
    </row>
    <row r="208" customFormat="false" ht="15" hidden="false" customHeight="false" outlineLevel="0" collapsed="false">
      <c r="B208" s="3" t="s">
        <v>473</v>
      </c>
      <c r="C208" s="19" t="n">
        <v>7291184</v>
      </c>
      <c r="D208" s="50" t="n">
        <f aca="false">ROUND('The Spiral'!$G$12,0)</f>
        <v>7291184</v>
      </c>
      <c r="E208" s="21" t="n">
        <f aca="false">D208-C208</f>
        <v>0</v>
      </c>
      <c r="F208" s="14" t="str">
        <f aca="false">IF(ABS(E208)&lt;0.00000001,"PASS","FAIL")</f>
        <v>PASS</v>
      </c>
    </row>
    <row r="209" customFormat="false" ht="15" hidden="false" customHeight="false" outlineLevel="0" collapsed="false">
      <c r="B209" s="3" t="s">
        <v>474</v>
      </c>
      <c r="C209" s="19" t="n">
        <v>-2528616</v>
      </c>
      <c r="D209" s="50" t="n">
        <f aca="false">ROUND('The Spiral'!$G$13,0)</f>
        <v>-2528616</v>
      </c>
      <c r="E209" s="21" t="n">
        <f aca="false">D209-C209</f>
        <v>0</v>
      </c>
      <c r="F209" s="14" t="str">
        <f aca="false">IF(ABS(E209)&lt;0.00000001,"PASS","FAIL")</f>
        <v>PASS</v>
      </c>
    </row>
    <row r="210" customFormat="false" ht="15" hidden="false" customHeight="false" outlineLevel="0" collapsed="false">
      <c r="B210" s="3" t="s">
        <v>475</v>
      </c>
      <c r="C210" s="19" t="n">
        <v>-11138664</v>
      </c>
      <c r="D210" s="50" t="n">
        <f aca="false">ROUND('The Spiral'!$G$14,0)</f>
        <v>-11138664</v>
      </c>
      <c r="E210" s="21" t="n">
        <f aca="false">D210-C210</f>
        <v>0</v>
      </c>
      <c r="F210" s="14" t="str">
        <f aca="false">IF(ABS(E210)&lt;0.00000001,"PASS","FAIL")</f>
        <v>PASS</v>
      </c>
    </row>
    <row r="211" customFormat="false" ht="15" hidden="false" customHeight="false" outlineLevel="0" collapsed="false">
      <c r="B211" s="3" t="s">
        <v>476</v>
      </c>
      <c r="C211" s="19" t="n">
        <v>-16344942</v>
      </c>
      <c r="D211" s="50" t="n">
        <f aca="false">ROUND('The Spiral'!$G$15,0)</f>
        <v>-16344942</v>
      </c>
      <c r="E211" s="21" t="n">
        <f aca="false">D211-C211</f>
        <v>0</v>
      </c>
      <c r="F211" s="14" t="str">
        <f aca="false">IF(ABS(E211)&lt;0.00000001,"PASS","FAIL")</f>
        <v>PASS</v>
      </c>
    </row>
    <row r="212" customFormat="false" ht="15" hidden="false" customHeight="false" outlineLevel="0" collapsed="false">
      <c r="B212" s="3" t="s">
        <v>477</v>
      </c>
      <c r="C212" s="19" t="n">
        <v>-20160000</v>
      </c>
      <c r="D212" s="50" t="n">
        <f aca="false">ROUND('The Spiral'!$G$16,0)</f>
        <v>-20160000</v>
      </c>
      <c r="E212" s="21" t="n">
        <f aca="false">D212-C212</f>
        <v>0</v>
      </c>
      <c r="F212" s="14" t="str">
        <f aca="false">IF(ABS(E212)&lt;0.00000001,"PASS","FAIL")</f>
        <v>PASS</v>
      </c>
    </row>
    <row r="213" customFormat="false" ht="15" hidden="false" customHeight="false" outlineLevel="0" collapsed="false">
      <c r="B213" s="5" t="s">
        <v>478</v>
      </c>
      <c r="C213" s="6"/>
      <c r="D213" s="6"/>
      <c r="E213" s="6"/>
      <c r="F213" s="6"/>
    </row>
    <row r="214" customFormat="false" ht="15" hidden="false" customHeight="false" outlineLevel="0" collapsed="false">
      <c r="B214" s="3" t="s">
        <v>479</v>
      </c>
      <c r="C214" s="23" t="n">
        <v>6.53</v>
      </c>
      <c r="D214" s="52" t="n">
        <f aca="false">ROUND('The Spiral'!$C$22,2)</f>
        <v>6.53</v>
      </c>
      <c r="E214" s="21" t="n">
        <f aca="false">D214-C214</f>
        <v>0</v>
      </c>
      <c r="F214" s="14" t="str">
        <f aca="false">IF(ABS(E214)&lt;0.00000001,"PASS","FAIL")</f>
        <v>PASS</v>
      </c>
    </row>
    <row r="215" customFormat="false" ht="15" hidden="false" customHeight="false" outlineLevel="0" collapsed="false">
      <c r="B215" s="3" t="s">
        <v>480</v>
      </c>
      <c r="C215" s="23" t="n">
        <v>9.07</v>
      </c>
      <c r="D215" s="52" t="n">
        <f aca="false">ROUND('The Spiral'!$E$22,2)</f>
        <v>9.07</v>
      </c>
      <c r="E215" s="21" t="n">
        <f aca="false">D215-C215</f>
        <v>0</v>
      </c>
      <c r="F215" s="14" t="str">
        <f aca="false">IF(ABS(E215)&lt;0.00000001,"PASS","FAIL")</f>
        <v>PASS</v>
      </c>
    </row>
    <row r="216" customFormat="false" ht="15" hidden="false" customHeight="false" outlineLevel="0" collapsed="false">
      <c r="B216" s="3" t="s">
        <v>481</v>
      </c>
      <c r="C216" s="23" t="n">
        <v>6.77</v>
      </c>
      <c r="D216" s="52" t="n">
        <f aca="false">ROUND('The Spiral'!$F$22,2)</f>
        <v>6.77</v>
      </c>
      <c r="E216" s="21" t="n">
        <f aca="false">D216-C216</f>
        <v>0</v>
      </c>
      <c r="F216" s="14" t="str">
        <f aca="false">IF(ABS(E216)&lt;0.00000001,"PASS","FAIL")</f>
        <v>PASS</v>
      </c>
    </row>
    <row r="217" customFormat="false" ht="15" hidden="false" customHeight="false" outlineLevel="0" collapsed="false">
      <c r="B217" s="3" t="s">
        <v>482</v>
      </c>
      <c r="C217" s="53" t="n">
        <v>0.34</v>
      </c>
      <c r="D217" s="54" t="n">
        <f aca="false">ROUND('The Spiral'!$G$22,3)</f>
        <v>0.34</v>
      </c>
      <c r="E217" s="21" t="n">
        <f aca="false">D217-C217</f>
        <v>0</v>
      </c>
      <c r="F217" s="14" t="str">
        <f aca="false">IF(ABS(E217)&lt;0.00000001,"PASS","FAIL")</f>
        <v>PASS</v>
      </c>
    </row>
    <row r="218" customFormat="false" ht="15" hidden="false" customHeight="false" outlineLevel="0" collapsed="false">
      <c r="B218" s="3" t="s">
        <v>483</v>
      </c>
      <c r="C218" s="23" t="n">
        <v>15.5</v>
      </c>
      <c r="D218" s="52" t="n">
        <f aca="false">ROUND('The Spiral'!$C$23,2)</f>
        <v>15.5</v>
      </c>
      <c r="E218" s="21" t="n">
        <f aca="false">D218-C218</f>
        <v>0</v>
      </c>
      <c r="F218" s="14" t="str">
        <f aca="false">IF(ABS(E218)&lt;0.00000001,"PASS","FAIL")</f>
        <v>PASS</v>
      </c>
    </row>
    <row r="219" customFormat="false" ht="15" hidden="false" customHeight="false" outlineLevel="0" collapsed="false">
      <c r="B219" s="3" t="s">
        <v>484</v>
      </c>
      <c r="C219" s="23" t="n">
        <v>21.52</v>
      </c>
      <c r="D219" s="52" t="n">
        <f aca="false">ROUND('The Spiral'!$E$23,2)</f>
        <v>21.52</v>
      </c>
      <c r="E219" s="21" t="n">
        <f aca="false">D219-C219</f>
        <v>0</v>
      </c>
      <c r="F219" s="14" t="str">
        <f aca="false">IF(ABS(E219)&lt;0.00000001,"PASS","FAIL")</f>
        <v>PASS</v>
      </c>
    </row>
    <row r="220" customFormat="false" ht="15" hidden="false" customHeight="false" outlineLevel="0" collapsed="false">
      <c r="B220" s="3" t="s">
        <v>485</v>
      </c>
      <c r="C220" s="23" t="n">
        <v>19.37</v>
      </c>
      <c r="D220" s="52" t="n">
        <f aca="false">ROUND('The Spiral'!$F$23,2)</f>
        <v>19.37</v>
      </c>
      <c r="E220" s="21" t="n">
        <f aca="false">D220-C220</f>
        <v>0</v>
      </c>
      <c r="F220" s="14" t="str">
        <f aca="false">IF(ABS(E220)&lt;0.00000001,"PASS","FAIL")</f>
        <v>PASS</v>
      </c>
    </row>
    <row r="221" customFormat="false" ht="15" hidden="false" customHeight="false" outlineLevel="0" collapsed="false">
      <c r="B221" s="3" t="s">
        <v>486</v>
      </c>
      <c r="C221" s="53" t="n">
        <v>0.111</v>
      </c>
      <c r="D221" s="54" t="n">
        <f aca="false">ROUND('The Spiral'!$G$23,3)</f>
        <v>0.111</v>
      </c>
      <c r="E221" s="21" t="n">
        <f aca="false">D221-C221</f>
        <v>0</v>
      </c>
      <c r="F221" s="14" t="str">
        <f aca="false">IF(ABS(E221)&lt;0.00000001,"PASS","FAIL")</f>
        <v>PASS</v>
      </c>
    </row>
    <row r="222" customFormat="false" ht="15" hidden="false" customHeight="false" outlineLevel="0" collapsed="false">
      <c r="B222" s="3" t="s">
        <v>487</v>
      </c>
      <c r="C222" s="23" t="n">
        <v>54.53</v>
      </c>
      <c r="D222" s="52" t="n">
        <f aca="false">ROUND('The Spiral'!$C$24,2)</f>
        <v>54.53</v>
      </c>
      <c r="E222" s="21" t="n">
        <f aca="false">D222-C222</f>
        <v>0</v>
      </c>
      <c r="F222" s="14" t="str">
        <f aca="false">IF(ABS(E222)&lt;0.00000001,"PASS","FAIL")</f>
        <v>PASS</v>
      </c>
    </row>
    <row r="223" customFormat="false" ht="15" hidden="false" customHeight="false" outlineLevel="0" collapsed="false">
      <c r="B223" s="3" t="s">
        <v>488</v>
      </c>
      <c r="C223" s="23" t="n">
        <v>75.74</v>
      </c>
      <c r="D223" s="52" t="n">
        <f aca="false">ROUND('The Spiral'!$E$24,2)</f>
        <v>75.74</v>
      </c>
      <c r="E223" s="21" t="n">
        <f aca="false">D223-C223</f>
        <v>0</v>
      </c>
      <c r="F223" s="14" t="str">
        <f aca="false">IF(ABS(E223)&lt;0.00000001,"PASS","FAIL")</f>
        <v>PASS</v>
      </c>
    </row>
    <row r="224" customFormat="false" ht="15" hidden="false" customHeight="false" outlineLevel="0" collapsed="false">
      <c r="B224" s="3" t="s">
        <v>489</v>
      </c>
      <c r="C224" s="23" t="n">
        <v>89.19</v>
      </c>
      <c r="D224" s="52" t="n">
        <f aca="false">ROUND('The Spiral'!$F$24,2)</f>
        <v>89.19</v>
      </c>
      <c r="E224" s="21" t="n">
        <f aca="false">D224-C224</f>
        <v>0</v>
      </c>
      <c r="F224" s="14" t="str">
        <f aca="false">IF(ABS(E224)&lt;0.00000001,"PASS","FAIL")</f>
        <v>PASS</v>
      </c>
    </row>
    <row r="225" customFormat="false" ht="15" hidden="false" customHeight="false" outlineLevel="0" collapsed="false">
      <c r="B225" s="3" t="s">
        <v>490</v>
      </c>
      <c r="C225" s="53" t="n">
        <v>-0.151</v>
      </c>
      <c r="D225" s="54" t="n">
        <f aca="false">ROUND('The Spiral'!$G$24,3)</f>
        <v>-0.151</v>
      </c>
      <c r="E225" s="21" t="n">
        <f aca="false">D225-C225</f>
        <v>0</v>
      </c>
      <c r="F225" s="14" t="str">
        <f aca="false">IF(ABS(E225)&lt;0.00000001,"PASS","FAIL")</f>
        <v>PASS</v>
      </c>
    </row>
    <row r="226" customFormat="false" ht="15" hidden="false" customHeight="false" outlineLevel="0" collapsed="false">
      <c r="B226" s="3" t="s">
        <v>491</v>
      </c>
      <c r="C226" s="23" t="n">
        <v>287.69</v>
      </c>
      <c r="D226" s="52" t="n">
        <f aca="false">ROUND('The Spiral'!$C$25,2)</f>
        <v>287.69</v>
      </c>
      <c r="E226" s="21" t="n">
        <f aca="false">D226-C226</f>
        <v>0</v>
      </c>
      <c r="F226" s="14" t="str">
        <f aca="false">IF(ABS(E226)&lt;0.00000001,"PASS","FAIL")</f>
        <v>PASS</v>
      </c>
    </row>
    <row r="227" customFormat="false" ht="15" hidden="false" customHeight="false" outlineLevel="0" collapsed="false">
      <c r="B227" s="3" t="s">
        <v>492</v>
      </c>
      <c r="C227" s="23" t="n">
        <v>399.57</v>
      </c>
      <c r="D227" s="52" t="n">
        <f aca="false">ROUND('The Spiral'!$E$25,2)</f>
        <v>399.57</v>
      </c>
      <c r="E227" s="21" t="n">
        <f aca="false">D227-C227</f>
        <v>0</v>
      </c>
      <c r="F227" s="14" t="str">
        <f aca="false">IF(ABS(E227)&lt;0.00000001,"PASS","FAIL")</f>
        <v>PASS</v>
      </c>
    </row>
    <row r="228" customFormat="false" ht="15" hidden="false" customHeight="false" outlineLevel="0" collapsed="false">
      <c r="B228" s="3" t="s">
        <v>493</v>
      </c>
      <c r="C228" s="23" t="n">
        <v>606.81</v>
      </c>
      <c r="D228" s="52" t="n">
        <f aca="false">ROUND('The Spiral'!$F$25,2)</f>
        <v>606.81</v>
      </c>
      <c r="E228" s="21" t="n">
        <f aca="false">D228-C228</f>
        <v>0</v>
      </c>
      <c r="F228" s="14" t="str">
        <f aca="false">IF(ABS(E228)&lt;0.00000001,"PASS","FAIL")</f>
        <v>PASS</v>
      </c>
    </row>
    <row r="229" customFormat="false" ht="15" hidden="false" customHeight="false" outlineLevel="0" collapsed="false">
      <c r="B229" s="3" t="s">
        <v>494</v>
      </c>
      <c r="C229" s="53" t="n">
        <v>-0.342</v>
      </c>
      <c r="D229" s="54" t="n">
        <f aca="false">ROUND('The Spiral'!$G$25,3)</f>
        <v>-0.342</v>
      </c>
      <c r="E229" s="21" t="n">
        <f aca="false">D229-C229</f>
        <v>0</v>
      </c>
      <c r="F229" s="14" t="str">
        <f aca="false">IF(ABS(E229)&lt;0.00000001,"PASS","FAIL")</f>
        <v>PASS</v>
      </c>
    </row>
    <row r="230" customFormat="false" ht="15" hidden="false" customHeight="false" outlineLevel="0" collapsed="false">
      <c r="B230" s="5" t="s">
        <v>495</v>
      </c>
      <c r="C230" s="6"/>
      <c r="D230" s="6"/>
      <c r="E230" s="6"/>
      <c r="F230" s="6"/>
    </row>
    <row r="231" customFormat="false" ht="15" hidden="false" customHeight="false" outlineLevel="0" collapsed="false">
      <c r="B231" s="3" t="s">
        <v>483</v>
      </c>
      <c r="C231" s="23" t="n">
        <v>18.6</v>
      </c>
      <c r="D231" s="52" t="n">
        <f aca="false">ROUND('The Spiral'!$C$29,2)</f>
        <v>18.6</v>
      </c>
      <c r="E231" s="21" t="n">
        <f aca="false">D231-C231</f>
        <v>0</v>
      </c>
      <c r="F231" s="14" t="str">
        <f aca="false">IF(ABS(E231)&lt;0.00000001,"PASS","FAIL")</f>
        <v>PASS</v>
      </c>
    </row>
    <row r="232" customFormat="false" ht="15" hidden="false" customHeight="false" outlineLevel="0" collapsed="false">
      <c r="B232" s="3" t="s">
        <v>484</v>
      </c>
      <c r="C232" s="23" t="n">
        <v>25.83</v>
      </c>
      <c r="D232" s="52" t="n">
        <f aca="false">ROUND('The Spiral'!$E$29,2)</f>
        <v>25.83</v>
      </c>
      <c r="E232" s="21" t="n">
        <f aca="false">D232-C232</f>
        <v>0</v>
      </c>
      <c r="F232" s="14" t="str">
        <f aca="false">IF(ABS(E232)&lt;0.00000001,"PASS","FAIL")</f>
        <v>PASS</v>
      </c>
    </row>
    <row r="233" customFormat="false" ht="15" hidden="false" customHeight="false" outlineLevel="0" collapsed="false">
      <c r="B233" s="3" t="s">
        <v>485</v>
      </c>
      <c r="C233" s="23" t="n">
        <v>19.37</v>
      </c>
      <c r="D233" s="52" t="n">
        <f aca="false">ROUND('The Spiral'!$F$29,2)</f>
        <v>19.37</v>
      </c>
      <c r="E233" s="21" t="n">
        <f aca="false">D233-C233</f>
        <v>0</v>
      </c>
      <c r="F233" s="14" t="str">
        <f aca="false">IF(ABS(E233)&lt;0.00000001,"PASS","FAIL")</f>
        <v>PASS</v>
      </c>
    </row>
    <row r="234" customFormat="false" ht="15" hidden="false" customHeight="false" outlineLevel="0" collapsed="false">
      <c r="B234" s="3" t="s">
        <v>486</v>
      </c>
      <c r="C234" s="53" t="n">
        <v>0.334</v>
      </c>
      <c r="D234" s="54" t="n">
        <f aca="false">ROUND('The Spiral'!$G$29,3)</f>
        <v>0.334</v>
      </c>
      <c r="E234" s="21" t="n">
        <f aca="false">D234-C234</f>
        <v>0</v>
      </c>
      <c r="F234" s="14" t="str">
        <f aca="false">IF(ABS(E234)&lt;0.00000001,"PASS","FAIL")</f>
        <v>PASS</v>
      </c>
    </row>
    <row r="235" customFormat="false" ht="15" hidden="false" customHeight="false" outlineLevel="0" collapsed="false">
      <c r="B235" s="3" t="s">
        <v>487</v>
      </c>
      <c r="C235" s="23" t="n">
        <v>66.29</v>
      </c>
      <c r="D235" s="52" t="n">
        <f aca="false">ROUND('The Spiral'!$C$30,2)</f>
        <v>66.29</v>
      </c>
      <c r="E235" s="21" t="n">
        <f aca="false">D235-C235</f>
        <v>0</v>
      </c>
      <c r="F235" s="14" t="str">
        <f aca="false">IF(ABS(E235)&lt;0.00000001,"PASS","FAIL")</f>
        <v>PASS</v>
      </c>
    </row>
    <row r="236" customFormat="false" ht="15" hidden="false" customHeight="false" outlineLevel="0" collapsed="false">
      <c r="B236" s="3" t="s">
        <v>488</v>
      </c>
      <c r="C236" s="23" t="n">
        <v>92.07</v>
      </c>
      <c r="D236" s="52" t="n">
        <f aca="false">ROUND('The Spiral'!$E$30,2)</f>
        <v>92.07</v>
      </c>
      <c r="E236" s="21" t="n">
        <f aca="false">D236-C236</f>
        <v>0</v>
      </c>
      <c r="F236" s="14" t="str">
        <f aca="false">IF(ABS(E236)&lt;0.00000001,"PASS","FAIL")</f>
        <v>PASS</v>
      </c>
    </row>
    <row r="237" customFormat="false" ht="15" hidden="false" customHeight="false" outlineLevel="0" collapsed="false">
      <c r="B237" s="3" t="s">
        <v>489</v>
      </c>
      <c r="C237" s="23" t="n">
        <v>89.19</v>
      </c>
      <c r="D237" s="52" t="n">
        <f aca="false">ROUND('The Spiral'!$F$30,2)</f>
        <v>89.19</v>
      </c>
      <c r="E237" s="21" t="n">
        <f aca="false">D237-C237</f>
        <v>0</v>
      </c>
      <c r="F237" s="14" t="str">
        <f aca="false">IF(ABS(E237)&lt;0.00000001,"PASS","FAIL")</f>
        <v>PASS</v>
      </c>
    </row>
    <row r="238" customFormat="false" ht="15" hidden="false" customHeight="false" outlineLevel="0" collapsed="false">
      <c r="B238" s="3" t="s">
        <v>490</v>
      </c>
      <c r="C238" s="53" t="n">
        <v>0.032</v>
      </c>
      <c r="D238" s="54" t="n">
        <f aca="false">ROUND('The Spiral'!$G$30,3)</f>
        <v>0.032</v>
      </c>
      <c r="E238" s="21" t="n">
        <f aca="false">D238-C238</f>
        <v>0</v>
      </c>
      <c r="F238" s="14" t="str">
        <f aca="false">IF(ABS(E238)&lt;0.00000001,"PASS","FAIL")</f>
        <v>PASS</v>
      </c>
    </row>
    <row r="239" customFormat="false" ht="15" hidden="false" customHeight="false" outlineLevel="0" collapsed="false">
      <c r="B239" s="3" t="s">
        <v>491</v>
      </c>
      <c r="C239" s="23" t="n">
        <v>364.77</v>
      </c>
      <c r="D239" s="52" t="n">
        <f aca="false">ROUND('The Spiral'!$C$31,2)</f>
        <v>364.77</v>
      </c>
      <c r="E239" s="21" t="n">
        <f aca="false">D239-C239</f>
        <v>0</v>
      </c>
      <c r="F239" s="14" t="str">
        <f aca="false">IF(ABS(E239)&lt;0.00000001,"PASS","FAIL")</f>
        <v>PASS</v>
      </c>
    </row>
    <row r="240" customFormat="false" ht="15" hidden="false" customHeight="false" outlineLevel="0" collapsed="false">
      <c r="B240" s="3" t="s">
        <v>492</v>
      </c>
      <c r="C240" s="23" t="n">
        <v>506.62</v>
      </c>
      <c r="D240" s="52" t="n">
        <f aca="false">ROUND('The Spiral'!$E$31,2)</f>
        <v>506.62</v>
      </c>
      <c r="E240" s="21" t="n">
        <f aca="false">D240-C240</f>
        <v>0</v>
      </c>
      <c r="F240" s="14" t="str">
        <f aca="false">IF(ABS(E240)&lt;0.00000001,"PASS","FAIL")</f>
        <v>PASS</v>
      </c>
    </row>
    <row r="241" customFormat="false" ht="15" hidden="false" customHeight="false" outlineLevel="0" collapsed="false">
      <c r="B241" s="3" t="s">
        <v>493</v>
      </c>
      <c r="C241" s="23" t="n">
        <v>606.81</v>
      </c>
      <c r="D241" s="52" t="n">
        <f aca="false">ROUND('The Spiral'!$F$31,2)</f>
        <v>606.81</v>
      </c>
      <c r="E241" s="21" t="n">
        <f aca="false">D241-C241</f>
        <v>0</v>
      </c>
      <c r="F241" s="14" t="str">
        <f aca="false">IF(ABS(E241)&lt;0.00000001,"PASS","FAIL")</f>
        <v>PASS</v>
      </c>
    </row>
    <row r="242" customFormat="false" ht="15" hidden="false" customHeight="false" outlineLevel="0" collapsed="false">
      <c r="B242" s="3" t="s">
        <v>494</v>
      </c>
      <c r="C242" s="53" t="n">
        <v>-0.165</v>
      </c>
      <c r="D242" s="54" t="n">
        <f aca="false">ROUND('The Spiral'!$G$31,3)</f>
        <v>-0.165</v>
      </c>
      <c r="E242" s="21" t="n">
        <f aca="false">D242-C242</f>
        <v>0</v>
      </c>
      <c r="F242" s="14" t="str">
        <f aca="false">IF(ABS(E242)&lt;0.00000001,"PASS","FAIL")</f>
        <v>PASS</v>
      </c>
    </row>
    <row r="243" customFormat="false" ht="15" hidden="false" customHeight="false" outlineLevel="0" collapsed="false">
      <c r="B243" s="5" t="s">
        <v>496</v>
      </c>
      <c r="C243" s="6"/>
      <c r="D243" s="6"/>
      <c r="E243" s="6"/>
      <c r="F243" s="6"/>
    </row>
    <row r="244" customFormat="false" ht="15" hidden="false" customHeight="false" outlineLevel="0" collapsed="false">
      <c r="B244" s="3" t="s">
        <v>487</v>
      </c>
      <c r="C244" s="23" t="n">
        <v>88.56</v>
      </c>
      <c r="D244" s="52" t="n">
        <f aca="false">ROUND('The Spiral'!$C$35,2)</f>
        <v>88.56</v>
      </c>
      <c r="E244" s="21" t="n">
        <f aca="false">D244-C244</f>
        <v>0</v>
      </c>
      <c r="F244" s="14" t="str">
        <f aca="false">IF(ABS(E244)&lt;0.00000001,"PASS","FAIL")</f>
        <v>PASS</v>
      </c>
    </row>
    <row r="245" customFormat="false" ht="15" hidden="false" customHeight="false" outlineLevel="0" collapsed="false">
      <c r="B245" s="3" t="s">
        <v>488</v>
      </c>
      <c r="C245" s="23" t="n">
        <v>123</v>
      </c>
      <c r="D245" s="52" t="n">
        <f aca="false">ROUND('The Spiral'!$E$35,2)</f>
        <v>123</v>
      </c>
      <c r="E245" s="21" t="n">
        <f aca="false">D245-C245</f>
        <v>0</v>
      </c>
      <c r="F245" s="14" t="str">
        <f aca="false">IF(ABS(E245)&lt;0.00000001,"PASS","FAIL")</f>
        <v>PASS</v>
      </c>
    </row>
    <row r="246" customFormat="false" ht="15" hidden="false" customHeight="false" outlineLevel="0" collapsed="false">
      <c r="B246" s="3" t="s">
        <v>489</v>
      </c>
      <c r="C246" s="23" t="n">
        <v>89.19</v>
      </c>
      <c r="D246" s="52" t="n">
        <f aca="false">ROUND('The Spiral'!$F$35,2)</f>
        <v>89.19</v>
      </c>
      <c r="E246" s="21" t="n">
        <f aca="false">D246-C246</f>
        <v>0</v>
      </c>
      <c r="F246" s="14" t="str">
        <f aca="false">IF(ABS(E246)&lt;0.00000001,"PASS","FAIL")</f>
        <v>PASS</v>
      </c>
    </row>
    <row r="247" customFormat="false" ht="15" hidden="false" customHeight="false" outlineLevel="0" collapsed="false">
      <c r="B247" s="3" t="s">
        <v>490</v>
      </c>
      <c r="C247" s="53" t="n">
        <v>0.379</v>
      </c>
      <c r="D247" s="54" t="n">
        <f aca="false">ROUND('The Spiral'!$G$35,3)</f>
        <v>0.379</v>
      </c>
      <c r="E247" s="21" t="n">
        <f aca="false">D247-C247</f>
        <v>0</v>
      </c>
      <c r="F247" s="14" t="str">
        <f aca="false">IF(ABS(E247)&lt;0.00000001,"PASS","FAIL")</f>
        <v>PASS</v>
      </c>
    </row>
    <row r="248" customFormat="false" ht="15" hidden="false" customHeight="false" outlineLevel="0" collapsed="false">
      <c r="B248" s="3" t="s">
        <v>491</v>
      </c>
      <c r="C248" s="23" t="n">
        <v>510.69</v>
      </c>
      <c r="D248" s="52" t="n">
        <f aca="false">ROUND('The Spiral'!$C$36,2)</f>
        <v>510.69</v>
      </c>
      <c r="E248" s="21" t="n">
        <f aca="false">D248-C248</f>
        <v>0</v>
      </c>
      <c r="F248" s="14" t="str">
        <f aca="false">IF(ABS(E248)&lt;0.00000001,"PASS","FAIL")</f>
        <v>PASS</v>
      </c>
    </row>
    <row r="249" customFormat="false" ht="15" hidden="false" customHeight="false" outlineLevel="0" collapsed="false">
      <c r="B249" s="3" t="s">
        <v>492</v>
      </c>
      <c r="C249" s="23" t="n">
        <v>709.3</v>
      </c>
      <c r="D249" s="52" t="n">
        <f aca="false">ROUND('The Spiral'!$E$36,2)</f>
        <v>709.3</v>
      </c>
      <c r="E249" s="21" t="n">
        <f aca="false">D249-C249</f>
        <v>0</v>
      </c>
      <c r="F249" s="14" t="str">
        <f aca="false">IF(ABS(E249)&lt;0.00000001,"PASS","FAIL")</f>
        <v>PASS</v>
      </c>
    </row>
    <row r="250" customFormat="false" ht="15" hidden="false" customHeight="false" outlineLevel="0" collapsed="false">
      <c r="B250" s="3" t="s">
        <v>493</v>
      </c>
      <c r="C250" s="23" t="n">
        <v>606.81</v>
      </c>
      <c r="D250" s="52" t="n">
        <f aca="false">ROUND('The Spiral'!$F$36,2)</f>
        <v>606.81</v>
      </c>
      <c r="E250" s="21" t="n">
        <f aca="false">D250-C250</f>
        <v>0</v>
      </c>
      <c r="F250" s="14" t="str">
        <f aca="false">IF(ABS(E250)&lt;0.00000001,"PASS","FAIL")</f>
        <v>PASS</v>
      </c>
    </row>
    <row r="251" customFormat="false" ht="15" hidden="false" customHeight="false" outlineLevel="0" collapsed="false">
      <c r="B251" s="3" t="s">
        <v>494</v>
      </c>
      <c r="C251" s="53" t="n">
        <v>0.169</v>
      </c>
      <c r="D251" s="54" t="n">
        <f aca="false">ROUND('The Spiral'!$G$36,3)</f>
        <v>0.169</v>
      </c>
      <c r="E251" s="21" t="n">
        <f aca="false">D251-C251</f>
        <v>0</v>
      </c>
      <c r="F251" s="14" t="str">
        <f aca="false">IF(ABS(E251)&lt;0.00000001,"PASS","FAIL")</f>
        <v>PASS</v>
      </c>
    </row>
    <row r="252" customFormat="false" ht="15" hidden="false" customHeight="false" outlineLevel="0" collapsed="false">
      <c r="B252" s="5" t="s">
        <v>497</v>
      </c>
      <c r="C252" s="6"/>
      <c r="D252" s="6"/>
      <c r="E252" s="6"/>
      <c r="F252" s="6"/>
    </row>
    <row r="253" customFormat="false" ht="15" hidden="false" customHeight="false" outlineLevel="0" collapsed="false">
      <c r="B253" s="3" t="s">
        <v>491</v>
      </c>
      <c r="C253" s="23" t="n">
        <v>841.59</v>
      </c>
      <c r="D253" s="52" t="n">
        <f aca="false">ROUND('The Spiral'!$C$40,2)</f>
        <v>841.59</v>
      </c>
      <c r="E253" s="21" t="n">
        <f aca="false">D253-C253</f>
        <v>0</v>
      </c>
      <c r="F253" s="14" t="str">
        <f aca="false">IF(ABS(E253)&lt;0.00000001,"PASS","FAIL")</f>
        <v>PASS</v>
      </c>
    </row>
    <row r="254" customFormat="false" ht="15" hidden="false" customHeight="false" outlineLevel="0" collapsed="false">
      <c r="B254" s="3" t="s">
        <v>492</v>
      </c>
      <c r="C254" s="23" t="n">
        <v>1168.87</v>
      </c>
      <c r="D254" s="52" t="n">
        <f aca="false">ROUND('The Spiral'!$E$40,2)</f>
        <v>1168.87</v>
      </c>
      <c r="E254" s="21" t="n">
        <f aca="false">D254-C254</f>
        <v>0</v>
      </c>
      <c r="F254" s="14" t="str">
        <f aca="false">IF(ABS(E254)&lt;0.00000001,"PASS","FAIL")</f>
        <v>PASS</v>
      </c>
    </row>
    <row r="255" customFormat="false" ht="15" hidden="false" customHeight="false" outlineLevel="0" collapsed="false">
      <c r="B255" s="3" t="s">
        <v>493</v>
      </c>
      <c r="C255" s="23" t="n">
        <v>606.81</v>
      </c>
      <c r="D255" s="52" t="n">
        <f aca="false">ROUND('The Spiral'!$F$40,2)</f>
        <v>606.81</v>
      </c>
      <c r="E255" s="21" t="n">
        <f aca="false">D255-C255</f>
        <v>0</v>
      </c>
      <c r="F255" s="14" t="str">
        <f aca="false">IF(ABS(E255)&lt;0.00000001,"PASS","FAIL")</f>
        <v>PASS</v>
      </c>
    </row>
    <row r="256" customFormat="false" ht="15" hidden="false" customHeight="false" outlineLevel="0" collapsed="false">
      <c r="B256" s="3" t="s">
        <v>494</v>
      </c>
      <c r="C256" s="53" t="n">
        <v>0.926</v>
      </c>
      <c r="D256" s="54" t="n">
        <f aca="false">ROUND('The Spiral'!$G$40,3)</f>
        <v>0.926</v>
      </c>
      <c r="E256" s="21" t="n">
        <f aca="false">D256-C256</f>
        <v>0</v>
      </c>
      <c r="F256" s="14" t="str">
        <f aca="false">IF(ABS(E256)&lt;0.00000001,"PASS","FAIL")</f>
        <v>PASS</v>
      </c>
    </row>
    <row r="257" customFormat="false" ht="15" hidden="false" customHeight="false" outlineLevel="0" collapsed="false">
      <c r="B257" s="5" t="s">
        <v>498</v>
      </c>
      <c r="C257" s="6"/>
      <c r="D257" s="6"/>
      <c r="E257" s="6"/>
      <c r="F257" s="6"/>
    </row>
    <row r="258" customFormat="false" ht="15" hidden="false" customHeight="false" outlineLevel="0" collapsed="false">
      <c r="B258" s="3" t="s">
        <v>68</v>
      </c>
      <c r="C258" s="23" t="n">
        <v>6.77</v>
      </c>
      <c r="D258" s="52" t="n">
        <f aca="false">ROUND('Price Correction'!$E$7,2)</f>
        <v>6.77</v>
      </c>
      <c r="E258" s="21" t="n">
        <f aca="false">D258-C258</f>
        <v>0</v>
      </c>
      <c r="F258" s="14" t="str">
        <f aca="false">IF(ABS(E258)&lt;0.00000001,"PASS","FAIL")</f>
        <v>PASS</v>
      </c>
    </row>
    <row r="259" customFormat="false" ht="15" hidden="false" customHeight="false" outlineLevel="0" collapsed="false">
      <c r="B259" s="3" t="s">
        <v>69</v>
      </c>
      <c r="C259" s="23" t="n">
        <v>19.37</v>
      </c>
      <c r="D259" s="52" t="n">
        <f aca="false">ROUND('Price Correction'!$E$8,2)</f>
        <v>19.37</v>
      </c>
      <c r="E259" s="21" t="n">
        <f aca="false">D259-C259</f>
        <v>0</v>
      </c>
      <c r="F259" s="14" t="str">
        <f aca="false">IF(ABS(E259)&lt;0.00000001,"PASS","FAIL")</f>
        <v>PASS</v>
      </c>
    </row>
    <row r="260" customFormat="false" ht="15" hidden="false" customHeight="false" outlineLevel="0" collapsed="false">
      <c r="B260" s="3" t="s">
        <v>70</v>
      </c>
      <c r="C260" s="23" t="n">
        <v>89.19</v>
      </c>
      <c r="D260" s="52" t="n">
        <f aca="false">ROUND('Price Correction'!$E$9,2)</f>
        <v>89.19</v>
      </c>
      <c r="E260" s="21" t="n">
        <f aca="false">D260-C260</f>
        <v>0</v>
      </c>
      <c r="F260" s="14" t="str">
        <f aca="false">IF(ABS(E260)&lt;0.00000001,"PASS","FAIL")</f>
        <v>PASS</v>
      </c>
    </row>
    <row r="261" customFormat="false" ht="15" hidden="false" customHeight="false" outlineLevel="0" collapsed="false">
      <c r="B261" s="3" t="s">
        <v>71</v>
      </c>
      <c r="C261" s="23" t="n">
        <v>606.81</v>
      </c>
      <c r="D261" s="52" t="n">
        <f aca="false">ROUND('Price Correction'!$E$10,2)</f>
        <v>606.81</v>
      </c>
      <c r="E261" s="21" t="n">
        <f aca="false">D261-C261</f>
        <v>0</v>
      </c>
      <c r="F261" s="14" t="str">
        <f aca="false">IF(ABS(E261)&lt;0.00000001,"PASS","FAIL")</f>
        <v>PASS</v>
      </c>
    </row>
    <row r="262" customFormat="false" ht="15" hidden="false" customHeight="false" outlineLevel="0" collapsed="false">
      <c r="B262" s="5" t="s">
        <v>499</v>
      </c>
      <c r="C262" s="6"/>
      <c r="D262" s="6"/>
      <c r="E262" s="6"/>
      <c r="F262" s="6"/>
    </row>
    <row r="263" customFormat="false" ht="15" hidden="false" customHeight="false" outlineLevel="0" collapsed="false">
      <c r="B263" s="3" t="s">
        <v>68</v>
      </c>
      <c r="C263" s="23" t="n">
        <v>-2.43</v>
      </c>
      <c r="D263" s="52" t="n">
        <f aca="false">ROUND('Price Correction'!$F$7,2)</f>
        <v>-2.43</v>
      </c>
      <c r="E263" s="21" t="n">
        <f aca="false">D263-C263</f>
        <v>0</v>
      </c>
      <c r="F263" s="14" t="str">
        <f aca="false">IF(ABS(E263)&lt;0.00000001,"PASS","FAIL")</f>
        <v>PASS</v>
      </c>
    </row>
    <row r="264" customFormat="false" ht="15" hidden="false" customHeight="false" outlineLevel="0" collapsed="false">
      <c r="B264" s="3" t="s">
        <v>69</v>
      </c>
      <c r="C264" s="23" t="n">
        <v>-4.13</v>
      </c>
      <c r="D264" s="52" t="n">
        <f aca="false">ROUND('Price Correction'!$F$8,2)</f>
        <v>-4.13</v>
      </c>
      <c r="E264" s="21" t="n">
        <f aca="false">D264-C264</f>
        <v>0</v>
      </c>
      <c r="F264" s="14" t="str">
        <f aca="false">IF(ABS(E264)&lt;0.00000001,"PASS","FAIL")</f>
        <v>PASS</v>
      </c>
    </row>
    <row r="265" customFormat="false" ht="15" hidden="false" customHeight="false" outlineLevel="0" collapsed="false">
      <c r="B265" s="3" t="s">
        <v>70</v>
      </c>
      <c r="C265" s="23" t="n">
        <v>11.19</v>
      </c>
      <c r="D265" s="52" t="n">
        <f aca="false">ROUND('Price Correction'!$F$9,2)</f>
        <v>11.19</v>
      </c>
      <c r="E265" s="21" t="n">
        <f aca="false">D265-C265</f>
        <v>0</v>
      </c>
      <c r="F265" s="14" t="str">
        <f aca="false">IF(ABS(E265)&lt;0.00000001,"PASS","FAIL")</f>
        <v>PASS</v>
      </c>
    </row>
    <row r="266" customFormat="false" ht="15" hidden="false" customHeight="false" outlineLevel="0" collapsed="false">
      <c r="B266" s="3" t="s">
        <v>71</v>
      </c>
      <c r="C266" s="23" t="n">
        <v>258.81</v>
      </c>
      <c r="D266" s="52" t="n">
        <f aca="false">ROUND('Price Correction'!$F$10,2)</f>
        <v>258.81</v>
      </c>
      <c r="E266" s="21" t="n">
        <f aca="false">D266-C266</f>
        <v>0</v>
      </c>
      <c r="F266" s="14" t="str">
        <f aca="false">IF(ABS(E266)&lt;0.00000001,"PASS","FAIL")</f>
        <v>PASS</v>
      </c>
    </row>
    <row r="267" customFormat="false" ht="15" hidden="false" customHeight="false" outlineLevel="0" collapsed="false">
      <c r="B267" s="5" t="s">
        <v>500</v>
      </c>
      <c r="C267" s="6"/>
      <c r="D267" s="6"/>
      <c r="E267" s="6"/>
      <c r="F267" s="6"/>
    </row>
    <row r="268" customFormat="false" ht="15" hidden="false" customHeight="false" outlineLevel="0" collapsed="false">
      <c r="B268" s="3" t="s">
        <v>68</v>
      </c>
      <c r="C268" s="53" t="n">
        <v>-0.264</v>
      </c>
      <c r="D268" s="54" t="n">
        <f aca="false">ROUND('Price Correction'!$G$7,3)</f>
        <v>-0.264</v>
      </c>
      <c r="E268" s="21" t="n">
        <f aca="false">D268-C268</f>
        <v>0</v>
      </c>
      <c r="F268" s="14" t="str">
        <f aca="false">IF(ABS(E268)&lt;0.00000001,"PASS","FAIL")</f>
        <v>PASS</v>
      </c>
    </row>
    <row r="269" customFormat="false" ht="15" hidden="false" customHeight="false" outlineLevel="0" collapsed="false">
      <c r="B269" s="3" t="s">
        <v>69</v>
      </c>
      <c r="C269" s="53" t="n">
        <v>-0.176</v>
      </c>
      <c r="D269" s="54" t="n">
        <f aca="false">ROUND('Price Correction'!$G$8,3)</f>
        <v>-0.176</v>
      </c>
      <c r="E269" s="21" t="n">
        <f aca="false">D269-C269</f>
        <v>0</v>
      </c>
      <c r="F269" s="14" t="str">
        <f aca="false">IF(ABS(E269)&lt;0.00000001,"PASS","FAIL")</f>
        <v>PASS</v>
      </c>
    </row>
    <row r="270" customFormat="false" ht="15" hidden="false" customHeight="false" outlineLevel="0" collapsed="false">
      <c r="B270" s="3" t="s">
        <v>70</v>
      </c>
      <c r="C270" s="53" t="n">
        <v>0.144</v>
      </c>
      <c r="D270" s="54" t="n">
        <f aca="false">ROUND('Price Correction'!$G$9,3)</f>
        <v>0.144</v>
      </c>
      <c r="E270" s="21" t="n">
        <f aca="false">D270-C270</f>
        <v>0</v>
      </c>
      <c r="F270" s="14" t="str">
        <f aca="false">IF(ABS(E270)&lt;0.00000001,"PASS","FAIL")</f>
        <v>PASS</v>
      </c>
    </row>
    <row r="271" customFormat="false" ht="15" hidden="false" customHeight="false" outlineLevel="0" collapsed="false">
      <c r="B271" s="3" t="s">
        <v>71</v>
      </c>
      <c r="C271" s="53" t="n">
        <v>0.744</v>
      </c>
      <c r="D271" s="54" t="n">
        <f aca="false">ROUND('Price Correction'!$G$10,3)</f>
        <v>0.744</v>
      </c>
      <c r="E271" s="21" t="n">
        <f aca="false">D271-C271</f>
        <v>0</v>
      </c>
      <c r="F271" s="14" t="str">
        <f aca="false">IF(ABS(E271)&lt;0.00000001,"PASS","FAIL")</f>
        <v>PASS</v>
      </c>
    </row>
    <row r="272" customFormat="false" ht="15" hidden="false" customHeight="false" outlineLevel="0" collapsed="false">
      <c r="B272" s="5" t="s">
        <v>501</v>
      </c>
      <c r="C272" s="6"/>
      <c r="D272" s="6"/>
      <c r="E272" s="6"/>
      <c r="F272" s="6"/>
    </row>
    <row r="273" customFormat="false" ht="15" hidden="false" customHeight="false" outlineLevel="0" collapsed="false">
      <c r="B273" s="3" t="s">
        <v>68</v>
      </c>
      <c r="C273" s="19" t="n">
        <v>-4497479</v>
      </c>
      <c r="D273" s="50" t="n">
        <f aca="false">ROUND('Price Correction'!$I$7,0)</f>
        <v>-4497479</v>
      </c>
      <c r="E273" s="21" t="n">
        <f aca="false">D273-C273</f>
        <v>0</v>
      </c>
      <c r="F273" s="14" t="str">
        <f aca="false">IF(ABS(E273)&lt;0.00000001,"PASS","FAIL")</f>
        <v>PASS</v>
      </c>
    </row>
    <row r="274" customFormat="false" ht="15" hidden="false" customHeight="false" outlineLevel="0" collapsed="false">
      <c r="B274" s="3" t="s">
        <v>69</v>
      </c>
      <c r="C274" s="19" t="n">
        <v>-2644118</v>
      </c>
      <c r="D274" s="50" t="n">
        <f aca="false">ROUND('Price Correction'!$I$8,0)</f>
        <v>-2644118</v>
      </c>
      <c r="E274" s="21" t="n">
        <f aca="false">D274-C274</f>
        <v>0</v>
      </c>
      <c r="F274" s="14" t="str">
        <f aca="false">IF(ABS(E274)&lt;0.00000001,"PASS","FAIL")</f>
        <v>PASS</v>
      </c>
    </row>
    <row r="275" customFormat="false" ht="15" hidden="false" customHeight="false" outlineLevel="0" collapsed="false">
      <c r="B275" s="3" t="s">
        <v>70</v>
      </c>
      <c r="C275" s="19" t="n">
        <v>1320861</v>
      </c>
      <c r="D275" s="50" t="n">
        <f aca="false">ROUND('Price Correction'!$I$9,0)</f>
        <v>1320861</v>
      </c>
      <c r="E275" s="21" t="n">
        <f aca="false">D275-C275</f>
        <v>0</v>
      </c>
      <c r="F275" s="14" t="str">
        <f aca="false">IF(ABS(E275)&lt;0.00000001,"PASS","FAIL")</f>
        <v>PASS</v>
      </c>
    </row>
    <row r="276" customFormat="false" ht="15" hidden="false" customHeight="false" outlineLevel="0" collapsed="false">
      <c r="B276" s="3" t="s">
        <v>71</v>
      </c>
      <c r="C276" s="19" t="n">
        <v>5046869</v>
      </c>
      <c r="D276" s="50" t="n">
        <f aca="false">ROUND('Price Correction'!$I$10,0)</f>
        <v>5046869</v>
      </c>
      <c r="E276" s="21" t="n">
        <f aca="false">D276-C276</f>
        <v>0</v>
      </c>
      <c r="F276" s="14" t="str">
        <f aca="false">IF(ABS(E276)&lt;0.00000001,"PASS","FAIL")</f>
        <v>PASS</v>
      </c>
    </row>
    <row r="277" customFormat="false" ht="15" hidden="false" customHeight="false" outlineLevel="0" collapsed="false">
      <c r="B277" s="3" t="s">
        <v>502</v>
      </c>
      <c r="C277" s="19" t="n">
        <v>-773867</v>
      </c>
      <c r="D277" s="50" t="n">
        <f aca="false">ROUND('Price Correction'!$I$11,0)</f>
        <v>-773867</v>
      </c>
      <c r="E277" s="21" t="n">
        <f aca="false">D277-C277</f>
        <v>0</v>
      </c>
      <c r="F277" s="14" t="str">
        <f aca="false">IF(ABS(E277)&lt;0.00000001,"PASS","FAIL")</f>
        <v>PASS</v>
      </c>
    </row>
    <row r="278" customFormat="false" ht="15" hidden="false" customHeight="false" outlineLevel="0" collapsed="false">
      <c r="B278" s="5" t="s">
        <v>503</v>
      </c>
      <c r="C278" s="6"/>
      <c r="D278" s="6"/>
      <c r="E278" s="6"/>
      <c r="F278" s="6"/>
    </row>
    <row r="279" customFormat="false" ht="15" hidden="false" customHeight="false" outlineLevel="0" collapsed="false">
      <c r="B279" s="3" t="s">
        <v>68</v>
      </c>
      <c r="C279" s="19" t="n">
        <v>8003785</v>
      </c>
      <c r="D279" s="50" t="n">
        <f aca="false">ROUND('Price Correction'!$C$21,0)</f>
        <v>8003785</v>
      </c>
      <c r="E279" s="21" t="n">
        <f aca="false">D279-C279</f>
        <v>0</v>
      </c>
      <c r="F279" s="14" t="str">
        <f aca="false">IF(ABS(E279)&lt;0.00000001,"PASS","FAIL")</f>
        <v>PASS</v>
      </c>
    </row>
    <row r="280" customFormat="false" ht="15" hidden="false" customHeight="false" outlineLevel="0" collapsed="false">
      <c r="B280" s="3" t="s">
        <v>69</v>
      </c>
      <c r="C280" s="19" t="n">
        <v>6114965</v>
      </c>
      <c r="D280" s="50" t="n">
        <f aca="false">ROUND('Price Correction'!$C$22,0)</f>
        <v>6114965</v>
      </c>
      <c r="E280" s="21" t="n">
        <f aca="false">D280-C280</f>
        <v>0</v>
      </c>
      <c r="F280" s="14" t="str">
        <f aca="false">IF(ABS(E280)&lt;0.00000001,"PASS","FAIL")</f>
        <v>PASS</v>
      </c>
    </row>
    <row r="281" customFormat="false" ht="15" hidden="false" customHeight="false" outlineLevel="0" collapsed="false">
      <c r="B281" s="3" t="s">
        <v>70</v>
      </c>
      <c r="C281" s="19" t="n">
        <v>1626100</v>
      </c>
      <c r="D281" s="50" t="n">
        <f aca="false">ROUND('Price Correction'!$C$23,0)</f>
        <v>1626100</v>
      </c>
      <c r="E281" s="21" t="n">
        <f aca="false">D281-C281</f>
        <v>0</v>
      </c>
      <c r="F281" s="14" t="str">
        <f aca="false">IF(ABS(E281)&lt;0.00000001,"PASS","FAIL")</f>
        <v>PASS</v>
      </c>
    </row>
    <row r="282" customFormat="false" ht="15" hidden="false" customHeight="false" outlineLevel="0" collapsed="false">
      <c r="B282" s="3" t="s">
        <v>71</v>
      </c>
      <c r="C282" s="19" t="n">
        <v>-1733666</v>
      </c>
      <c r="D282" s="50" t="n">
        <f aca="false">ROUND('Price Correction'!$C$24,0)</f>
        <v>-1733666</v>
      </c>
      <c r="E282" s="21" t="n">
        <f aca="false">D282-C282</f>
        <v>0</v>
      </c>
      <c r="F282" s="14" t="str">
        <f aca="false">IF(ABS(E282)&lt;0.00000001,"PASS","FAIL")</f>
        <v>PASS</v>
      </c>
    </row>
    <row r="283" customFormat="false" ht="15" hidden="false" customHeight="false" outlineLevel="0" collapsed="false">
      <c r="B283" s="5" t="s">
        <v>504</v>
      </c>
      <c r="C283" s="6"/>
      <c r="D283" s="6"/>
      <c r="E283" s="6"/>
      <c r="F283" s="6"/>
    </row>
    <row r="284" customFormat="false" ht="15" hidden="false" customHeight="false" outlineLevel="0" collapsed="false">
      <c r="B284" s="3" t="s">
        <v>68</v>
      </c>
      <c r="C284" s="53" t="n">
        <v>0.237</v>
      </c>
      <c r="D284" s="54" t="n">
        <f aca="false">ROUND('Price Correction'!$G$21,3)</f>
        <v>0.237</v>
      </c>
      <c r="E284" s="21" t="n">
        <f aca="false">D284-C284</f>
        <v>0</v>
      </c>
      <c r="F284" s="14" t="str">
        <f aca="false">IF(ABS(E284)&lt;0.00000001,"PASS","FAIL")</f>
        <v>PASS</v>
      </c>
    </row>
    <row r="285" customFormat="false" ht="15" hidden="false" customHeight="false" outlineLevel="0" collapsed="false">
      <c r="B285" s="3" t="s">
        <v>69</v>
      </c>
      <c r="C285" s="53" t="n">
        <v>0.244</v>
      </c>
      <c r="D285" s="54" t="n">
        <f aca="false">ROUND('Price Correction'!$G$22,3)</f>
        <v>0.244</v>
      </c>
      <c r="E285" s="21" t="n">
        <f aca="false">D285-C285</f>
        <v>0</v>
      </c>
      <c r="F285" s="14" t="str">
        <f aca="false">IF(ABS(E285)&lt;0.00000001,"PASS","FAIL")</f>
        <v>PASS</v>
      </c>
    </row>
    <row r="286" customFormat="false" ht="15" hidden="false" customHeight="false" outlineLevel="0" collapsed="false">
      <c r="B286" s="3" t="s">
        <v>70</v>
      </c>
      <c r="C286" s="53" t="n">
        <v>0.289</v>
      </c>
      <c r="D286" s="54" t="n">
        <f aca="false">ROUND('Price Correction'!$G$23,3)</f>
        <v>0.289</v>
      </c>
      <c r="E286" s="21" t="n">
        <f aca="false">D286-C286</f>
        <v>0</v>
      </c>
      <c r="F286" s="14" t="str">
        <f aca="false">IF(ABS(E286)&lt;0.00000001,"PASS","FAIL")</f>
        <v>PASS</v>
      </c>
    </row>
    <row r="287" customFormat="false" ht="15" hidden="false" customHeight="false" outlineLevel="0" collapsed="false">
      <c r="B287" s="5" t="s">
        <v>505</v>
      </c>
      <c r="C287" s="6"/>
      <c r="D287" s="6"/>
      <c r="E287" s="6"/>
      <c r="F287" s="6"/>
    </row>
    <row r="288" customFormat="false" ht="15" hidden="false" customHeight="false" outlineLevel="0" collapsed="false">
      <c r="B288" s="3" t="s">
        <v>68</v>
      </c>
      <c r="C288" s="19" t="n">
        <v>1257796</v>
      </c>
      <c r="D288" s="50" t="n">
        <f aca="false">ROUND('Price Correction'!$H$21,0)</f>
        <v>1257796</v>
      </c>
      <c r="E288" s="21" t="n">
        <f aca="false">D288-C288</f>
        <v>0</v>
      </c>
      <c r="F288" s="14" t="str">
        <f aca="false">IF(ABS(E288)&lt;0.00000001,"PASS","FAIL")</f>
        <v>PASS</v>
      </c>
    </row>
    <row r="289" customFormat="false" ht="15" hidden="false" customHeight="false" outlineLevel="0" collapsed="false">
      <c r="B289" s="3" t="s">
        <v>69</v>
      </c>
      <c r="C289" s="19" t="n">
        <v>429224</v>
      </c>
      <c r="D289" s="50" t="n">
        <f aca="false">ROUND('Price Correction'!$H$22,0)</f>
        <v>429224</v>
      </c>
      <c r="E289" s="21" t="n">
        <f aca="false">D289-C289</f>
        <v>0</v>
      </c>
      <c r="F289" s="14" t="str">
        <f aca="false">IF(ABS(E289)&lt;0.00000001,"PASS","FAIL")</f>
        <v>PASS</v>
      </c>
    </row>
    <row r="290" customFormat="false" ht="15" hidden="false" customHeight="false" outlineLevel="0" collapsed="false">
      <c r="B290" s="3" t="s">
        <v>70</v>
      </c>
      <c r="C290" s="19" t="n">
        <v>71945</v>
      </c>
      <c r="D290" s="50" t="n">
        <f aca="false">ROUND('Price Correction'!$H$23,0)</f>
        <v>71945</v>
      </c>
      <c r="E290" s="21" t="n">
        <f aca="false">D290-C290</f>
        <v>0</v>
      </c>
      <c r="F290" s="14" t="str">
        <f aca="false">IF(ABS(E290)&lt;0.00000001,"PASS","FAIL")</f>
        <v>PASS</v>
      </c>
    </row>
    <row r="291" customFormat="false" ht="15" hidden="false" customHeight="false" outlineLevel="0" collapsed="false">
      <c r="B291" s="5" t="s">
        <v>506</v>
      </c>
      <c r="C291" s="6"/>
      <c r="D291" s="6"/>
      <c r="E291" s="6"/>
      <c r="F291" s="6"/>
    </row>
    <row r="292" customFormat="false" ht="15" hidden="false" customHeight="false" outlineLevel="0" collapsed="false">
      <c r="B292" s="3" t="s">
        <v>68</v>
      </c>
      <c r="C292" s="53" t="n">
        <v>0.32</v>
      </c>
      <c r="D292" s="54" t="n">
        <f aca="false">ROUND('Price Correction'!$I$21,3)</f>
        <v>0.32</v>
      </c>
      <c r="E292" s="21" t="n">
        <f aca="false">D292-C292</f>
        <v>0</v>
      </c>
      <c r="F292" s="14" t="str">
        <f aca="false">IF(ABS(E292)&lt;0.00000001,"PASS","FAIL")</f>
        <v>PASS</v>
      </c>
    </row>
    <row r="293" customFormat="false" ht="15" hidden="false" customHeight="false" outlineLevel="0" collapsed="false">
      <c r="B293" s="3" t="s">
        <v>69</v>
      </c>
      <c r="C293" s="53" t="n">
        <v>0.329</v>
      </c>
      <c r="D293" s="54" t="n">
        <f aca="false">ROUND('Price Correction'!$I$22,3)</f>
        <v>0.329</v>
      </c>
      <c r="E293" s="21" t="n">
        <f aca="false">D293-C293</f>
        <v>0</v>
      </c>
      <c r="F293" s="14" t="str">
        <f aca="false">IF(ABS(E293)&lt;0.00000001,"PASS","FAIL")</f>
        <v>PASS</v>
      </c>
    </row>
    <row r="294" customFormat="false" ht="15" hidden="false" customHeight="false" outlineLevel="0" collapsed="false">
      <c r="B294" s="3" t="s">
        <v>70</v>
      </c>
      <c r="C294" s="53" t="n">
        <v>0.39</v>
      </c>
      <c r="D294" s="54" t="n">
        <f aca="false">ROUND('Price Correction'!$I$23,3)</f>
        <v>0.39</v>
      </c>
      <c r="E294" s="21" t="n">
        <f aca="false">D294-C294</f>
        <v>0</v>
      </c>
      <c r="F294" s="14" t="str">
        <f aca="false">IF(ABS(E294)&lt;0.00000001,"PASS","FAIL")</f>
        <v>PASS</v>
      </c>
    </row>
    <row r="295" customFormat="false" ht="15" hidden="false" customHeight="false" outlineLevel="0" collapsed="false">
      <c r="B295" s="5" t="s">
        <v>507</v>
      </c>
      <c r="C295" s="6"/>
      <c r="D295" s="6"/>
      <c r="E295" s="6"/>
      <c r="F295" s="6"/>
    </row>
    <row r="296" customFormat="false" ht="15" hidden="false" customHeight="false" outlineLevel="0" collapsed="false">
      <c r="B296" s="3" t="s">
        <v>68</v>
      </c>
      <c r="C296" s="23" t="n">
        <v>5.02</v>
      </c>
      <c r="D296" s="52" t="n">
        <f aca="false">ROUND('Price Correction'!$K$21,2)</f>
        <v>5.02</v>
      </c>
      <c r="E296" s="21" t="n">
        <f aca="false">D296-C296</f>
        <v>0</v>
      </c>
      <c r="F296" s="14" t="str">
        <f aca="false">IF(ABS(E296)&lt;0.00000001,"PASS","FAIL")</f>
        <v>PASS</v>
      </c>
    </row>
    <row r="297" customFormat="false" ht="15" hidden="false" customHeight="false" outlineLevel="0" collapsed="false">
      <c r="B297" s="3" t="s">
        <v>69</v>
      </c>
      <c r="C297" s="23" t="n">
        <v>14.99</v>
      </c>
      <c r="D297" s="52" t="n">
        <f aca="false">ROUND('Price Correction'!$K$22,2)</f>
        <v>14.99</v>
      </c>
      <c r="E297" s="21" t="n">
        <f aca="false">D297-C297</f>
        <v>0</v>
      </c>
      <c r="F297" s="14" t="str">
        <f aca="false">IF(ABS(E297)&lt;0.00000001,"PASS","FAIL")</f>
        <v>PASS</v>
      </c>
    </row>
    <row r="298" customFormat="false" ht="15" hidden="false" customHeight="false" outlineLevel="0" collapsed="false">
      <c r="B298" s="3" t="s">
        <v>70</v>
      </c>
      <c r="C298" s="23" t="n">
        <v>77.95</v>
      </c>
      <c r="D298" s="52" t="n">
        <f aca="false">ROUND('Price Correction'!$K$23,2)</f>
        <v>77.95</v>
      </c>
      <c r="E298" s="21" t="n">
        <f aca="false">D298-C298</f>
        <v>0</v>
      </c>
      <c r="F298" s="14" t="str">
        <f aca="false">IF(ABS(E298)&lt;0.00000001,"PASS","FAIL")</f>
        <v>PASS</v>
      </c>
    </row>
    <row r="299" customFormat="false" ht="15" hidden="false" customHeight="false" outlineLevel="0" collapsed="false">
      <c r="B299" s="5" t="s">
        <v>508</v>
      </c>
      <c r="C299" s="6"/>
      <c r="D299" s="6"/>
      <c r="E299" s="6"/>
      <c r="F299" s="6"/>
    </row>
    <row r="300" customFormat="false" ht="15" hidden="false" customHeight="false" outlineLevel="0" collapsed="false">
      <c r="B300" s="3" t="s">
        <v>359</v>
      </c>
      <c r="C300" s="23" t="n">
        <v>436.91</v>
      </c>
      <c r="D300" s="52" t="n">
        <f aca="false">ROUND('Price Correction'!$C$29,2)</f>
        <v>436.91</v>
      </c>
      <c r="E300" s="21" t="n">
        <f aca="false">D300-C300</f>
        <v>0</v>
      </c>
      <c r="F300" s="14" t="str">
        <f aca="false">IF(ABS(E300)&lt;0.00000001,"PASS","FAIL")</f>
        <v>PASS</v>
      </c>
    </row>
    <row r="301" customFormat="false" ht="15" hidden="false" customHeight="false" outlineLevel="0" collapsed="false">
      <c r="B301" s="3" t="s">
        <v>360</v>
      </c>
      <c r="C301" s="53" t="n">
        <v>0.255</v>
      </c>
      <c r="D301" s="54" t="n">
        <f aca="false">ROUND('Price Correction'!$C$30,3)</f>
        <v>0.255</v>
      </c>
      <c r="E301" s="21" t="n">
        <f aca="false">D301-C301</f>
        <v>0</v>
      </c>
      <c r="F301" s="14" t="str">
        <f aca="false">IF(ABS(E301)&lt;0.00000001,"PASS","FAIL")</f>
        <v>PASS</v>
      </c>
    </row>
    <row r="302" customFormat="false" ht="15" hidden="false" customHeight="false" outlineLevel="0" collapsed="false">
      <c r="B302" s="5" t="s">
        <v>509</v>
      </c>
      <c r="C302" s="6"/>
      <c r="D302" s="6"/>
      <c r="E302" s="6"/>
      <c r="F302" s="6"/>
    </row>
    <row r="303" customFormat="false" ht="15" hidden="false" customHeight="false" outlineLevel="0" collapsed="false">
      <c r="B303" s="3" t="s">
        <v>510</v>
      </c>
      <c r="C303" s="19" t="n">
        <v>0</v>
      </c>
      <c r="D303" s="50" t="n">
        <f aca="false">ROUND('Price Correction'!$M$21-'Price Correction'!$C$21,0)</f>
        <v>0</v>
      </c>
      <c r="E303" s="21" t="n">
        <f aca="false">D303-C303</f>
        <v>0</v>
      </c>
      <c r="F303" s="14" t="str">
        <f aca="false">IF(ABS(E303)&lt;0.00000001,"PASS","FAIL")</f>
        <v>PASS</v>
      </c>
    </row>
    <row r="304" customFormat="false" ht="15" hidden="false" customHeight="false" outlineLevel="0" collapsed="false">
      <c r="B304" s="3" t="s">
        <v>511</v>
      </c>
      <c r="C304" s="19" t="n">
        <v>0</v>
      </c>
      <c r="D304" s="50" t="n">
        <f aca="false">ROUND('Price Correction'!$M$22-'Price Correction'!$C$22,0)</f>
        <v>0</v>
      </c>
      <c r="E304" s="21" t="n">
        <f aca="false">D304-C304</f>
        <v>0</v>
      </c>
      <c r="F304" s="14" t="str">
        <f aca="false">IF(ABS(E304)&lt;0.00000001,"PASS","FAIL")</f>
        <v>PASS</v>
      </c>
    </row>
    <row r="305" customFormat="false" ht="15" hidden="false" customHeight="false" outlineLevel="0" collapsed="false">
      <c r="B305" s="3" t="s">
        <v>512</v>
      </c>
      <c r="C305" s="19" t="n">
        <v>0</v>
      </c>
      <c r="D305" s="50" t="n">
        <f aca="false">ROUND('Price Correction'!$M$23-'Price Correction'!$C$23,0)</f>
        <v>0</v>
      </c>
      <c r="E305" s="21" t="n">
        <f aca="false">D305-C305</f>
        <v>0</v>
      </c>
      <c r="F305" s="14" t="str">
        <f aca="false">IF(ABS(E305)&lt;0.00000001,"PASS","FAIL")</f>
        <v>PASS</v>
      </c>
    </row>
    <row r="306" customFormat="false" ht="15" hidden="false" customHeight="false" outlineLevel="0" collapsed="false">
      <c r="B306" s="3" t="s">
        <v>513</v>
      </c>
      <c r="C306" s="19" t="n">
        <v>13440000</v>
      </c>
      <c r="D306" s="50" t="n">
        <f aca="false">ROUND(SUMPRODUCT(Inputs!$C$80:$F$80,Inputs!$C$7:$F$7),0)</f>
        <v>13440000</v>
      </c>
      <c r="E306" s="21" t="n">
        <f aca="false">D306-C306</f>
        <v>0</v>
      </c>
      <c r="F306" s="14" t="str">
        <f aca="false">IF(ABS(E306)&lt;0.00000001,"PASS","FAIL")</f>
        <v>PASS</v>
      </c>
    </row>
    <row r="307" customFormat="false" ht="15" hidden="false" customHeight="false" outlineLevel="0" collapsed="false">
      <c r="B307" s="3" t="s">
        <v>514</v>
      </c>
      <c r="C307" s="19" t="n">
        <v>13440000</v>
      </c>
      <c r="D307" s="50" t="n">
        <f aca="false">ROUND(Inputs!$G$87,0)</f>
        <v>13440000</v>
      </c>
      <c r="E307" s="21" t="n">
        <f aca="false">D307-C307</f>
        <v>0</v>
      </c>
      <c r="F307" s="14" t="str">
        <f aca="false">IF(ABS(E307)&lt;0.00000001,"PASS","FAIL")</f>
        <v>PASS</v>
      </c>
    </row>
    <row r="308" customFormat="false" ht="15" hidden="false" customHeight="false" outlineLevel="0" collapsed="false">
      <c r="B308" s="3" t="s">
        <v>515</v>
      </c>
      <c r="C308" s="19" t="n">
        <v>13440000</v>
      </c>
      <c r="D308" s="50" t="n">
        <f aca="false">ROUND(Inputs!$G$90+Inputs!$G$94,0)</f>
        <v>13440000</v>
      </c>
      <c r="E308" s="21" t="n">
        <f aca="false">D308-C308</f>
        <v>0</v>
      </c>
      <c r="F308" s="14" t="str">
        <f aca="false">IF(ABS(E308)&lt;0.00000001,"PASS","FAIL")</f>
        <v>PASS</v>
      </c>
    </row>
    <row r="309" customFormat="false" ht="15" hidden="false" customHeight="false" outlineLevel="0" collapsed="false">
      <c r="B309" s="3" t="s">
        <v>516</v>
      </c>
      <c r="C309" s="19" t="n">
        <v>-20160000</v>
      </c>
      <c r="D309" s="50" t="n">
        <f aca="false">ROUND(-Inputs!$C$25-Inputs!$C$30,0)</f>
        <v>-20160000</v>
      </c>
      <c r="E309" s="21" t="n">
        <f aca="false">D309-C309</f>
        <v>0</v>
      </c>
      <c r="F309" s="14" t="str">
        <f aca="false">IF(ABS(E309)&lt;0.00000001,"PASS","FAIL")</f>
        <v>PASS</v>
      </c>
    </row>
    <row r="310" customFormat="false" ht="15" hidden="false" customHeight="false" outlineLevel="0" collapsed="false">
      <c r="B310" s="5" t="s">
        <v>517</v>
      </c>
    </row>
    <row r="311" customFormat="false" ht="15" hidden="false" customHeight="false" outlineLevel="0" collapsed="false">
      <c r="B311" s="3" t="s">
        <v>518</v>
      </c>
      <c r="C311" s="23" t="n">
        <v>273.93</v>
      </c>
      <c r="D311" s="52" t="n">
        <f aca="false">ROUND('The Batch'!$C$39,2)</f>
        <v>273.93</v>
      </c>
      <c r="E311" s="21" t="n">
        <f aca="false">D311-C311</f>
        <v>0</v>
      </c>
      <c r="F311" s="14" t="str">
        <f aca="false">IF(ABS(E311)&lt;0.00000001,"PASS","FAIL")</f>
        <v>PASS</v>
      </c>
    </row>
    <row r="312" customFormat="false" ht="15" hidden="false" customHeight="false" outlineLevel="0" collapsed="false">
      <c r="B312" s="3" t="s">
        <v>519</v>
      </c>
      <c r="C312" s="23" t="n">
        <v>795.26</v>
      </c>
      <c r="D312" s="52" t="n">
        <f aca="false">ROUND('The Batch'!$C$40,2)</f>
        <v>795.26</v>
      </c>
      <c r="E312" s="21" t="n">
        <f aca="false">D312-C312</f>
        <v>0</v>
      </c>
      <c r="F312" s="14" t="str">
        <f aca="false">IF(ABS(E312)&lt;0.00000001,"PASS","FAIL")</f>
        <v>PASS</v>
      </c>
    </row>
    <row r="313" customFormat="false" ht="15" hidden="false" customHeight="false" outlineLevel="0" collapsed="false">
      <c r="B313" s="3" t="s">
        <v>520</v>
      </c>
      <c r="C313" s="23" t="n">
        <v>1301.44</v>
      </c>
      <c r="D313" s="52" t="n">
        <f aca="false">ROUND('The Batch'!$C$41,2)</f>
        <v>1301.44</v>
      </c>
      <c r="E313" s="21" t="n">
        <f aca="false">D313-C313</f>
        <v>0</v>
      </c>
      <c r="F313" s="14" t="str">
        <f aca="false">IF(ABS(E313)&lt;0.00000001,"PASS","FAIL")</f>
        <v>PASS</v>
      </c>
    </row>
    <row r="314" customFormat="false" ht="15" hidden="false" customHeight="false" outlineLevel="0" collapsed="false">
      <c r="B314" s="3" t="s">
        <v>521</v>
      </c>
      <c r="C314" s="23" t="n">
        <v>413.47</v>
      </c>
      <c r="D314" s="52" t="n">
        <f aca="false">ROUND('The Batch'!$C$42,2)</f>
        <v>413.47</v>
      </c>
      <c r="E314" s="21" t="n">
        <f aca="false">D314-C314</f>
        <v>0</v>
      </c>
      <c r="F314" s="14" t="str">
        <f aca="false">IF(ABS(E314)&lt;0.00000001,"PASS","FAIL")</f>
        <v>PASS</v>
      </c>
    </row>
    <row r="315" customFormat="false" ht="15" hidden="false" customHeight="false" outlineLevel="0" collapsed="false">
      <c r="B315" s="3" t="s">
        <v>522</v>
      </c>
      <c r="C315" s="25" t="n">
        <v>0.353</v>
      </c>
      <c r="D315" s="57" t="n">
        <f aca="false">ROUND('Price Correction'!$C$38,3)</f>
        <v>0.353</v>
      </c>
      <c r="E315" s="21" t="n">
        <f aca="false">D315-C315</f>
        <v>0</v>
      </c>
      <c r="F315" s="14" t="str">
        <f aca="false">IF(ABS(E315)&lt;0.00000001,"PASS","FAIL")</f>
        <v>PASS</v>
      </c>
    </row>
    <row r="316" customFormat="false" ht="15" hidden="false" customHeight="false" outlineLevel="0" collapsed="false">
      <c r="B316" s="3" t="s">
        <v>523</v>
      </c>
      <c r="C316" s="25" t="n">
        <v>0.177</v>
      </c>
      <c r="D316" s="57" t="n">
        <f aca="false">ROUND('Price Correction'!$C$40,3)</f>
        <v>0.177</v>
      </c>
      <c r="E316" s="21" t="n">
        <f aca="false">D316-C316</f>
        <v>0</v>
      </c>
      <c r="F316" s="14" t="str">
        <f aca="false">IF(ABS(E316)&lt;0.00000001,"PASS","FAIL")</f>
        <v>PASS</v>
      </c>
    </row>
    <row r="317" customFormat="false" ht="15" hidden="false" customHeight="false" outlineLevel="0" collapsed="false">
      <c r="B317" s="3" t="s">
        <v>524</v>
      </c>
      <c r="C317" s="19" t="n">
        <v>-1448227</v>
      </c>
      <c r="D317" s="50" t="n">
        <f aca="false">ROUND('Price Correction'!$C$41,0)</f>
        <v>-1448227</v>
      </c>
      <c r="E317" s="21" t="n">
        <f aca="false">D317-C317</f>
        <v>0</v>
      </c>
      <c r="F317" s="14" t="str">
        <f aca="false">IF(ABS(E317)&lt;0.00000001,"PASS","FAIL")</f>
        <v>PASS</v>
      </c>
    </row>
    <row r="318" customFormat="false" ht="15" hidden="false" customHeight="false" outlineLevel="0" collapsed="false">
      <c r="B318" s="3" t="s">
        <v>525</v>
      </c>
      <c r="C318" s="19" t="n">
        <v>-1505346</v>
      </c>
      <c r="D318" s="50" t="n">
        <f aca="false">ROUND('Price Correction'!$C$42,0)</f>
        <v>-1505346</v>
      </c>
      <c r="E318" s="21" t="n">
        <f aca="false">D318-C318</f>
        <v>0</v>
      </c>
      <c r="F318" s="14" t="str">
        <f aca="false">IF(ABS(E318)&lt;0.00000001,"PASS","FAIL")</f>
        <v>PASS</v>
      </c>
    </row>
    <row r="319" customFormat="false" ht="15" hidden="false" customHeight="false" outlineLevel="0" collapsed="false">
      <c r="B319" s="3" t="s">
        <v>526</v>
      </c>
      <c r="C319" s="19" t="n">
        <v>0</v>
      </c>
      <c r="D319" s="50" t="n">
        <f aca="false">ROUND('Price Correction'!$C$43,0)</f>
        <v>0</v>
      </c>
      <c r="E319" s="21" t="n">
        <f aca="false">D319-C319</f>
        <v>0</v>
      </c>
      <c r="F319" s="14" t="str">
        <f aca="false">IF(ABS(E319)&lt;0.00000001,"PASS","FAIL")</f>
        <v>PASS</v>
      </c>
    </row>
    <row r="320" customFormat="false" ht="15" hidden="false" customHeight="false" outlineLevel="0" collapsed="false">
      <c r="B320" s="3" t="s">
        <v>527</v>
      </c>
      <c r="C320" s="19" t="n">
        <v>-4364667</v>
      </c>
      <c r="D320" s="50" t="n">
        <f aca="false">ROUND('Price Correction'!$C$44,0)</f>
        <v>-4364667</v>
      </c>
      <c r="E320" s="21" t="n">
        <f aca="false">D320-C320</f>
        <v>0</v>
      </c>
      <c r="F320" s="14" t="str">
        <f aca="false">IF(ABS(E320)&lt;0.00000001,"PASS","FAIL")</f>
        <v>PASS</v>
      </c>
    </row>
    <row r="321" customFormat="false" ht="15" hidden="false" customHeight="false" outlineLevel="0" collapsed="false">
      <c r="B321" s="3" t="s">
        <v>528</v>
      </c>
      <c r="C321" s="58" t="n">
        <v>0.88</v>
      </c>
      <c r="D321" s="59" t="n">
        <f aca="false">ROUND('Price Correction'!$C$45,2)</f>
        <v>0.88</v>
      </c>
      <c r="E321" s="21" t="n">
        <f aca="false">D321-C321</f>
        <v>0</v>
      </c>
      <c r="F321" s="14" t="str">
        <f aca="false">IF(ABS(E321)&lt;0.00000001,"PASS","FAIL")</f>
        <v>PASS</v>
      </c>
    </row>
    <row r="322" customFormat="false" ht="15" hidden="false" customHeight="false" outlineLevel="0" collapsed="false">
      <c r="B322" s="3" t="s">
        <v>529</v>
      </c>
      <c r="C322" s="25" t="n">
        <v>0.334</v>
      </c>
      <c r="D322" s="57" t="n">
        <f aca="false">ROUND('The Spiral'!$C$50,3)</f>
        <v>0.334</v>
      </c>
      <c r="E322" s="21" t="n">
        <f aca="false">D322-C322</f>
        <v>0</v>
      </c>
      <c r="F322" s="14" t="str">
        <f aca="false">IF(ABS(E322)&lt;0.00000001,"PASS","FAIL")</f>
        <v>PASS</v>
      </c>
    </row>
    <row r="323" customFormat="false" ht="15" hidden="false" customHeight="false" outlineLevel="0" collapsed="false">
      <c r="B323" s="3" t="s">
        <v>530</v>
      </c>
      <c r="C323" s="60" t="n">
        <v>4</v>
      </c>
      <c r="D323" s="61" t="n">
        <f aca="false">ROUND('The Spiral'!$C$52,0)</f>
        <v>4</v>
      </c>
      <c r="E323" s="21" t="n">
        <f aca="false">D323-C323</f>
        <v>0</v>
      </c>
      <c r="F323" s="14" t="str">
        <f aca="false">IF(ABS(E323)&lt;0.00000001,"PASS","FAIL")</f>
        <v>PASS</v>
      </c>
    </row>
    <row r="324" customFormat="false" ht="15" hidden="false" customHeight="false" outlineLevel="0" collapsed="false">
      <c r="B324" s="3" t="s">
        <v>531</v>
      </c>
      <c r="C324" s="19" t="n">
        <v>0</v>
      </c>
      <c r="D324" s="50" t="n">
        <f aca="false">ROUND('Price Correction'!$C$46-'Price Correction'!$C$24,0)</f>
        <v>0</v>
      </c>
      <c r="E324" s="21" t="n">
        <f aca="false">D324-C324</f>
        <v>0</v>
      </c>
      <c r="F324" s="14" t="str">
        <f aca="false">IF(ABS(E324)&lt;0.00000001,"PASS","FAIL")</f>
        <v>PASS</v>
      </c>
    </row>
    <row r="326" customFormat="false" ht="15" hidden="false" customHeight="false" outlineLevel="0" collapsed="false">
      <c r="B326" s="3" t="s">
        <v>532</v>
      </c>
      <c r="C326" s="23" t="n">
        <f aca="false">COUNTIF(F7:F324,"PASS")+COUNTIF(F7:F324,"FAIL")</f>
        <v>276</v>
      </c>
    </row>
    <row r="327" customFormat="false" ht="15" hidden="false" customHeight="false" outlineLevel="0" collapsed="false">
      <c r="B327" s="3" t="s">
        <v>533</v>
      </c>
      <c r="C327" s="23" t="n">
        <f aca="false">COUNTIF(F7:F324,"PASS")</f>
        <v>276</v>
      </c>
    </row>
    <row r="328" customFormat="false" ht="15" hidden="false" customHeight="false" outlineLevel="0" collapsed="false">
      <c r="B328" s="3" t="s">
        <v>534</v>
      </c>
      <c r="C328" s="23" t="n">
        <f aca="false">COUNTIF(F7:F324,"FAIL")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2026-09-11T18:59:54Z</dcterms:created>
  <dc:creator>openpyxl</dc:creator>
  <dc:description/>
  <dc:language>en-US</dc:language>
  <cp:lastModifiedBy/>
  <dcterms:modified xsi:type="dcterms:W3CDTF">2026-09-24T01:44:45Z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