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Read me" sheetId="1" state="visible" r:id="rId3"/>
    <sheet name="Inputs" sheetId="2" state="visible" r:id="rId4"/>
    <sheet name="Bridge" sheetId="3" state="visible" r:id="rId5"/>
    <sheet name="Pricing" sheetId="4" state="visible" r:id="rId6"/>
    <sheet name="Amendment" sheetId="5" state="visible" r:id="rId7"/>
    <sheet name="Margin and Monitoring" sheetId="6" state="visible" r:id="rId8"/>
    <sheet name="Checks" sheetId="7" state="visible" r:id="rId9"/>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<sst xmlns="http://schemas.openxmlformats.org/spreadsheetml/2006/main" count="502" uniqueCount="353">
  <si>
    <t xml:space="preserve">Pricing and the Amendment</t>
  </si>
  <si>
    <t xml:space="preserve">Companion workbook 4 to Credit Analysis, by Julian R. Sterling</t>
  </si>
  <si>
    <t xml:space="preserve">What this workbook is</t>
  </si>
  <si>
    <t xml:space="preserve">The last two questions in the book, in one file: what the loan is being paid for the risk it has taken, and what a covenant amendment costs on the covenant nobody reset.</t>
  </si>
  <si>
    <t xml:space="preserve">The experiment to run first</t>
  </si>
  <si>
    <t xml:space="preserve">On the Pricing sheet, move the reference exit multiple from 4.00x to 3.50x and read the break-even probability of default. It falls from 15.0829 per cent to 11.2029 per cent. Half a turn of exit multiple — well inside anyone's estimating error — moves the answer more than any plausible revision to the default assumption. The price is a recovery view wearing a probability's clothes.</t>
  </si>
  <si>
    <t xml:space="preserve">The second experiment</t>
  </si>
  <si>
    <t xml:space="preserve">On the Amendment sheet, set the margin ratchet to zero and read the cost in turns of cover. It does not go to zero: the fee alone still costs more than the cover headroom the loan was written with. There is no version of this amendment that leaves the cover covenant intact, which is the general result and not a feature of this borrower.</t>
  </si>
  <si>
    <t xml:space="preserve">On the two figures that disagree</t>
  </si>
  <si>
    <t xml:space="preserve">Expected loss on day-one exposure is 1.0608 per cent; averaged over the amortising balance it is 0.6271 per cent. Both are computed here and neither is wrong. Use the day-one figure and know why: it prices the only day on which the lender has no choice about the exposure.</t>
  </si>
  <si>
    <t xml:space="preserve">On the checks</t>
  </si>
  <si>
    <t xml:space="preserve">The Checks sheet sets every figure the book prints beside this workbook's own formula, to the last printed decimal. Where the book is wrong, the row carries the corrected figure and its note says what the book prints. A FAIL means an input or a formula has changed.</t>
  </si>
  <si>
    <t xml:space="preserve">Revised 24 September 2026</t>
  </si>
  <si>
    <t xml:space="preserve">Revised 24 September 2026. A new sheet, Margin and Monitoring, computes Chapter 3's margin and loss, the conditions of Chapter 15, Chapter 17's monitoring sheet and Chapter 18's price read both ways. Corrections: the ratchet over four years is 2,400,000 and the whole package 3,600,000 (Chapters 3 and 11 print 3,600,000 for the ratchet and 4,800,000 for the package), which is 20.2703 per cent of the four-year margin and 3.0000 per cent of the facility. The loss in one default at 4.0x is 31,824,089.60. Chapter 17's leverage trigger of 4.1000x is below the 4.2164x at close, so it is tripped on the day of signing; the only room for a trigger is the 0.0336 of a turn below the covenant. Chapter 18's gap between a 4.0x and a 3.0x recovery is 2.94 times the extra margin, not two and a half. The Checks sheet recorded one printed figure wrongly (94.2685 for 94.2682) and now tests to the last printed decimal.</t>
  </si>
  <si>
    <t xml:space="preserve">Halstead Packaging — inputs</t>
  </si>
  <si>
    <t xml:space="preserve">Blue cells on a yellow fill are inputs. Everything else in this workbook is a formula.</t>
  </si>
  <si>
    <t xml:space="preserve">The business</t>
  </si>
  <si>
    <t xml:space="preserve">Revenue</t>
  </si>
  <si>
    <t xml:space="preserve">Statutory EBITDA</t>
  </si>
  <si>
    <t xml:space="preserve">Add-backs proposed by management — switch each on or off</t>
  </si>
  <si>
    <t xml:space="preserve">Adjustment</t>
  </si>
  <si>
    <t xml:space="preserve">Amount</t>
  </si>
  <si>
    <t xml:space="preserve">On</t>
  </si>
  <si>
    <t xml:space="preserve">Restructuring described as non-recurring</t>
  </si>
  <si>
    <t xml:space="preserve">Run-rate savings from the plant closed in March</t>
  </si>
  <si>
    <t xml:space="preserve">Full-year effect of the acquisition completed in July</t>
  </si>
  <si>
    <t xml:space="preserve">Sponsor monitoring fees</t>
  </si>
  <si>
    <t xml:space="preserve">Share-based payment</t>
  </si>
  <si>
    <t xml:space="preserve">Foreign exchange losses</t>
  </si>
  <si>
    <t xml:space="preserve">Total add-backs switched on</t>
  </si>
  <si>
    <t xml:space="preserve">Quality-of-earnings haircuts — switch each on or off</t>
  </si>
  <si>
    <t xml:space="preserve">Disallowance</t>
  </si>
  <si>
    <t xml:space="preserve">Savings not yet actioned, 60 per cent of the run-rate</t>
  </si>
  <si>
    <t xml:space="preserve">Acquisition effect capped at contracts already signed</t>
  </si>
  <si>
    <t xml:space="preserve">Restructuring, recurring for a third year</t>
  </si>
  <si>
    <t xml:space="preserve">Development costs capitalised that should be expensed</t>
  </si>
  <si>
    <t xml:space="preserve">Total haircuts switched on</t>
  </si>
  <si>
    <t xml:space="preserve">From earnings to cash</t>
  </si>
  <si>
    <t xml:space="preserve">Maintenance capital expenditure</t>
  </si>
  <si>
    <t xml:space="preserve">Increase in working capital</t>
  </si>
  <si>
    <t xml:space="preserve">Cash tax</t>
  </si>
  <si>
    <t xml:space="preserve">The facility and the covenants</t>
  </si>
  <si>
    <t xml:space="preserve">Senior net debt</t>
  </si>
  <si>
    <t xml:space="preserve">Interest rate</t>
  </si>
  <si>
    <t xml:space="preserve">Base rate</t>
  </si>
  <si>
    <t xml:space="preserve">Amortisation rate</t>
  </si>
  <si>
    <t xml:space="preserve">Leverage covenant</t>
  </si>
  <si>
    <t xml:space="preserve">Cover covenant</t>
  </si>
  <si>
    <t xml:space="preserve">The downside, the recovery and the price</t>
  </si>
  <si>
    <t xml:space="preserve">Operating leverage</t>
  </si>
  <si>
    <t xml:space="preserve">Revenue change in the downside</t>
  </si>
  <si>
    <t xml:space="preserve">Enforcement costs</t>
  </si>
  <si>
    <t xml:space="preserve">Probability of default (an assumption)</t>
  </si>
  <si>
    <t xml:space="preserve">Covenant level after a reset</t>
  </si>
  <si>
    <t xml:space="preserve">Amendment fee</t>
  </si>
  <si>
    <t xml:space="preserve">Margin ratchet</t>
  </si>
  <si>
    <t xml:space="preserve">The bridge, from the audited number to cash</t>
  </si>
  <si>
    <t xml:space="preserve">Every line is an argument. Switch it off on the Inputs sheet and watch the leverage move.</t>
  </si>
  <si>
    <t xml:space="preserve">Cumulative</t>
  </si>
  <si>
    <t xml:space="preserve">+ Restructuring described as non-recurring</t>
  </si>
  <si>
    <t xml:space="preserve">+ Run-rate savings from the plant closed in March</t>
  </si>
  <si>
    <t xml:space="preserve">+ Full-year effect of the acquisition completed in July</t>
  </si>
  <si>
    <t xml:space="preserve">+ Sponsor monitoring fees</t>
  </si>
  <si>
    <t xml:space="preserve">+ Share-based payment</t>
  </si>
  <si>
    <t xml:space="preserve">+ Foreign exchange losses</t>
  </si>
  <si>
    <t xml:space="preserve">= EBITDA as adjusted by management</t>
  </si>
  <si>
    <t xml:space="preserve">- Savings not yet actioned, 60 per cent of the run-rate</t>
  </si>
  <si>
    <t xml:space="preserve">- Acquisition effect capped at contracts already signed</t>
  </si>
  <si>
    <t xml:space="preserve">- Restructuring, recurring for a third year</t>
  </si>
  <si>
    <t xml:space="preserve">- Development costs capitalised that should be expensed</t>
  </si>
  <si>
    <t xml:space="preserve">= EBITDA as adjusted by the lender</t>
  </si>
  <si>
    <t xml:space="preserve">- Maintenance capital expenditure</t>
  </si>
  <si>
    <t xml:space="preserve">- Increase in working capital</t>
  </si>
  <si>
    <t xml:space="preserve">- Cash tax</t>
  </si>
  <si>
    <t xml:space="preserve">= Cash available for debt service</t>
  </si>
  <si>
    <t xml:space="preserve">What the add-backs are worth</t>
  </si>
  <si>
    <t xml:space="preserve">Add-backs as a share of statutory EBITDA</t>
  </si>
  <si>
    <t xml:space="preserve">Add-backs as a share of the number the loan is sized on</t>
  </si>
  <si>
    <t xml:space="preserve">The price of the risk actually taken</t>
  </si>
  <si>
    <t xml:space="preserve">A margin is a number until it is set against an expected loss. This sheet sets it.</t>
  </si>
  <si>
    <t xml:space="preserve">What the loan is priced at</t>
  </si>
  <si>
    <t xml:space="preserve">Margin</t>
  </si>
  <si>
    <t xml:space="preserve">Margin, in cash a year</t>
  </si>
  <si>
    <t xml:space="preserve">The recovery the price rests on</t>
  </si>
  <si>
    <t xml:space="preserve">EBITDA as adjusted by the lender</t>
  </si>
  <si>
    <t xml:space="preserve">EBITDA in the downside, where defaults happen</t>
  </si>
  <si>
    <t xml:space="preserve">Reference exit multiple</t>
  </si>
  <si>
    <t xml:space="preserve">Enterprise value at that multiple</t>
  </si>
  <si>
    <t xml:space="preserve">Net of enforcement costs</t>
  </si>
  <si>
    <t xml:space="preserve">Recovery</t>
  </si>
  <si>
    <t xml:space="preserve">Loss given default</t>
  </si>
  <si>
    <t xml:space="preserve">The price of the risk, on day-one exposure</t>
  </si>
  <si>
    <t xml:space="preserve">Probability of default (an assumption, and stated as one)</t>
  </si>
  <si>
    <t xml:space="preserve">Expected loss</t>
  </si>
  <si>
    <t xml:space="preserve">Expected loss, in cash a year</t>
  </si>
  <si>
    <t xml:space="preserve">Share of the margin consumed by the expected loss</t>
  </si>
  <si>
    <t xml:space="preserve">Residual, for the cost of capital and net margin</t>
  </si>
  <si>
    <t xml:space="preserve">Residual, in cash a year</t>
  </si>
  <si>
    <t xml:space="preserve">The reverse test — what would have to be true for the margin to be gone</t>
  </si>
  <si>
    <t xml:space="preserve">Exit multiple</t>
  </si>
  <si>
    <t xml:space="preserve">Break-even probability of default</t>
  </si>
  <si>
    <t xml:space="preserve">3.0x</t>
  </si>
  <si>
    <t xml:space="preserve">3.5x</t>
  </si>
  <si>
    <t xml:space="preserve">4.0x</t>
  </si>
  <si>
    <t xml:space="preserve">4.5x</t>
  </si>
  <si>
    <t xml:space="preserve">5.0x</t>
  </si>
  <si>
    <t xml:space="preserve">Above a 5.0x exit the recovery is complete, the loss given default is nil, and the break-even probability of default is not defined.</t>
  </si>
  <si>
    <t xml:space="preserve">The shortcut and the full computation, which disagree</t>
  </si>
  <si>
    <t xml:space="preserve">The single-period figure above holds the exposure at the day-one balance. The facility amortises; the sum that survives enforcement does not.</t>
  </si>
  <si>
    <t xml:space="preserve">Year</t>
  </si>
  <si>
    <t xml:space="preserve">Debt outstanding</t>
  </si>
  <si>
    <t xml:space="preserve">1</t>
  </si>
  <si>
    <t xml:space="preserve">2</t>
  </si>
  <si>
    <t xml:space="preserve">3</t>
  </si>
  <si>
    <t xml:space="preserve">4</t>
  </si>
  <si>
    <t xml:space="preserve">Average loss given default over the four years</t>
  </si>
  <si>
    <t xml:space="preserve">Average expected loss over the four years</t>
  </si>
  <si>
    <t xml:space="preserve">Expected loss on day-one exposure</t>
  </si>
  <si>
    <t xml:space="preserve">The gap, in per cent of the facility</t>
  </si>
  <si>
    <t xml:space="preserve">Neither is wrong. The day-one figure prices the only day on which the lender has no choice about the exposure; the average assumes the borrower survives to amortise, inside a calculation about default.</t>
  </si>
  <si>
    <t xml:space="preserve">What an amendment buys, and what it costs on the other covenant</t>
  </si>
  <si>
    <t xml:space="preserve">The fee is the number that gets negotiated. It is the least consequential thing in the letter.</t>
  </si>
  <si>
    <t xml:space="preserve">Years remaining on the facility</t>
  </si>
  <si>
    <t xml:space="preserve">The two covenant levels</t>
  </si>
  <si>
    <t xml:space="preserve">Covenant</t>
  </si>
  <si>
    <t xml:space="preserve">EBITDA it admits</t>
  </si>
  <si>
    <t xml:space="preserve">Fall in EBITDA it tolerates</t>
  </si>
  <si>
    <t xml:space="preserve">As written</t>
  </si>
  <si>
    <t xml:space="preserve">As reset</t>
  </si>
  <si>
    <t xml:space="preserve">Extra tolerance bought, in percentage points</t>
  </si>
  <si>
    <t xml:space="preserve">The price</t>
  </si>
  <si>
    <t xml:space="preserve">Amendment fee, per cent of the facility</t>
  </si>
  <si>
    <t xml:space="preserve">Ratchet in year one</t>
  </si>
  <si>
    <t xml:space="preserve">Package over the remaining years, as the letter reads</t>
  </si>
  <si>
    <t xml:space="preserve">The same package, on the balance that actually amortises</t>
  </si>
  <si>
    <t xml:space="preserve">Balance at the start</t>
  </si>
  <si>
    <t xml:space="preserve">Ratchet collected</t>
  </si>
  <si>
    <t xml:space="preserve">Ratchet collected over four years</t>
  </si>
  <si>
    <t xml:space="preserve">Package as it is actually collected</t>
  </si>
  <si>
    <t xml:space="preserve">The credit paper should carry the headline, because that is what the amendment letter says. The pricing note should carry the collected figure, because that is what arrives.</t>
  </si>
  <si>
    <t xml:space="preserve">What the room costs, per unit</t>
  </si>
  <si>
    <t xml:space="preserve">Cost per percentage point of EBITDA cushion</t>
  </si>
  <si>
    <t xml:space="preserve">Fee as a share of one year's interest</t>
  </si>
  <si>
    <t xml:space="preserve">Fee as a share of one year's expected loss</t>
  </si>
  <si>
    <t xml:space="preserve">Package as a share of the lender's EBITDA</t>
  </si>
  <si>
    <t xml:space="preserve">What it does to the covenant nobody reset</t>
  </si>
  <si>
    <t xml:space="preserve">First year after the reset</t>
  </si>
  <si>
    <t xml:space="preserve">Cash</t>
  </si>
  <si>
    <t xml:space="preserve">Debt service</t>
  </si>
  <si>
    <t xml:space="preserve">Cover</t>
  </si>
  <si>
    <t xml:space="preserve">Before the amendment</t>
  </si>
  <si>
    <t xml:space="preserve">Ratchet in debt service only</t>
  </si>
  <si>
    <t xml:space="preserve">Fee also charged to cash</t>
  </si>
  <si>
    <t xml:space="preserve">Fee and ratchet charged to cash</t>
  </si>
  <si>
    <t xml:space="preserve">Cost in turns of cover, on the full reading</t>
  </si>
  <si>
    <t xml:space="preserve">Cost in turns of cover, charging the ratchet once</t>
  </si>
  <si>
    <t xml:space="preserve">Cover headroom before the amendment</t>
  </si>
  <si>
    <t xml:space="preserve">Cash the cover test requires on the mildest reading</t>
  </si>
  <si>
    <t xml:space="preserve">Shortfall, on the day the amendment is signed</t>
  </si>
  <si>
    <t xml:space="preserve">Leverage covenants are fixed by adding debt capacity, which costs cash. Cover covenants are measured on cash. A lender who resets one without recomputing the other has waived the second and charged nothing for it.</t>
  </si>
  <si>
    <t xml:space="preserve">What the borrower can do instead, and for nothing</t>
  </si>
  <si>
    <t xml:space="preserve">Cover with maintenance capital expenditure suspended</t>
  </si>
  <si>
    <t xml:space="preserve">Turns of cover that buys</t>
  </si>
  <si>
    <t xml:space="preserve">Cover with it halved</t>
  </si>
  <si>
    <t xml:space="preserve">Both exceed what the amendment costs, and both are available to a borrower with no capital expenditure floor in the documents.</t>
  </si>
  <si>
    <t xml:space="preserve">The branch in which the fee is beside the point</t>
  </si>
  <si>
    <t xml:space="preserve">Enforcement today, net of costs</t>
  </si>
  <si>
    <t xml:space="preserve">EBITDA a year later, on the same downside path</t>
  </si>
  <si>
    <t xml:space="preserve">Enforcement a year later, net of costs</t>
  </si>
  <si>
    <t xml:space="preserve">Recovery given up by waiting a year</t>
  </si>
  <si>
    <t xml:space="preserve">That, as a multiple of the whole package charged for the year</t>
  </si>
  <si>
    <t xml:space="preserve">And as a multiple of the fee alone</t>
  </si>
  <si>
    <t xml:space="preserve">The fee is not the price of the amendment. The foregone recovery is.</t>
  </si>
  <si>
    <t xml:space="preserve">What the lender is buying, the conditions, the monitoring sheet, and the price read both ways</t>
  </si>
  <si>
    <t xml:space="preserve">Chapters 3, 11, 15, 17 and 18. Amber cells on this sheet are settings, not facts of the case.</t>
  </si>
  <si>
    <t xml:space="preserve">What the lender is buying (Chapter 3)</t>
  </si>
  <si>
    <t xml:space="preserve">Opening balance</t>
  </si>
  <si>
    <t xml:space="preserve">Margin over the four years, if everything goes right</t>
  </si>
  <si>
    <t xml:space="preserve">  as a share of the advance</t>
  </si>
  <si>
    <t xml:space="preserve">Taken out after two years</t>
  </si>
  <si>
    <t xml:space="preserve">Loss in one default at the 4.0x exit</t>
  </si>
  <si>
    <t xml:space="preserve">Revised: Chapter 3 prints 31,824,120.00, from the rounded loss rate</t>
  </si>
  <si>
    <t xml:space="preserve">  times the four-year margin</t>
  </si>
  <si>
    <t xml:space="preserve">Loss at a 3.0x exit</t>
  </si>
  <si>
    <t xml:space="preserve">Revised: Chapter 3 prints 53,868,120.00</t>
  </si>
  <si>
    <t xml:space="preserve">Expected loss at twice the assumed default rate</t>
  </si>
  <si>
    <t xml:space="preserve">Margin ratchet over the four years remaining</t>
  </si>
  <si>
    <t xml:space="preserve">Revised: Chapter 3 prints 3,600,000</t>
  </si>
  <si>
    <t xml:space="preserve">Amendment package, fee and ratchet</t>
  </si>
  <si>
    <t xml:space="preserve">Revised: Chapters 3 and 11 print 4,800,000</t>
  </si>
  <si>
    <t xml:space="preserve">  as a share of the four-year margin</t>
  </si>
  <si>
    <t xml:space="preserve">Revised: Chapter 3 prints 27.0270</t>
  </si>
  <si>
    <t xml:space="preserve">  as a share of the facility</t>
  </si>
  <si>
    <t xml:space="preserve">Revised: Chapter 11 prints 4.0000</t>
  </si>
  <si>
    <t xml:space="preserve">Balance at maturity</t>
  </si>
  <si>
    <t xml:space="preserve">  over the lender's EBITDA</t>
  </si>
  <si>
    <t xml:space="preserve">  over the downside EBITDA</t>
  </si>
  <si>
    <t xml:space="preserve">Enterprise value at 4.0x on the downside, less the balance</t>
  </si>
  <si>
    <t xml:space="preserve">Enforcement costs at the 4.0x exit</t>
  </si>
  <si>
    <t xml:space="preserve">The conditions worth more than the fee (Chapter 15)</t>
  </si>
  <si>
    <t xml:space="preserve">Room the reset multiplies</t>
  </si>
  <si>
    <t xml:space="preserve">Annual ratchet over the original EBITDA cushion</t>
  </si>
  <si>
    <t xml:space="preserve">Days before a quarter is seen</t>
  </si>
  <si>
    <t xml:space="preserve">  EBITDA eroded on the downside path</t>
  </si>
  <si>
    <t xml:space="preserve">  times the fall that breaks the covenant</t>
  </si>
  <si>
    <t xml:space="preserve">Revised: Chapter 15 prints 8.2452</t>
  </si>
  <si>
    <t xml:space="preserve">Days with monthly accounts within twenty days</t>
  </si>
  <si>
    <t xml:space="preserve">  EBITDA eroded</t>
  </si>
  <si>
    <t xml:space="preserve">Cash sweep, share of excess cash</t>
  </si>
  <si>
    <t xml:space="preserve">Excess cash</t>
  </si>
  <si>
    <t xml:space="preserve">  swept</t>
  </si>
  <si>
    <t xml:space="preserve">Debt at the first anniversary</t>
  </si>
  <si>
    <t xml:space="preserve">  leverage</t>
  </si>
  <si>
    <t xml:space="preserve">  without the sweep</t>
  </si>
  <si>
    <t xml:space="preserve">  difference, turns</t>
  </si>
  <si>
    <t xml:space="preserve">Revised: Chapter 15 prints 0.0646</t>
  </si>
  <si>
    <t xml:space="preserve">Equity value at 4.5x on the lender's EBITDA</t>
  </si>
  <si>
    <t xml:space="preserve">  at 5.0x</t>
  </si>
  <si>
    <t xml:space="preserve">The monitoring sheet (Chapter 17)</t>
  </si>
  <si>
    <t xml:space="preserve">Leverage cushion in EBITDA</t>
  </si>
  <si>
    <t xml:space="preserve">  as a share of revenue</t>
  </si>
  <si>
    <t xml:space="preserve">Restructuring line over that cushion</t>
  </si>
  <si>
    <t xml:space="preserve">A quarter of maintenance capital expenditure</t>
  </si>
  <si>
    <t xml:space="preserve">  cover if it is deferred</t>
  </si>
  <si>
    <t xml:space="preserve">  turns of cover</t>
  </si>
  <si>
    <t xml:space="preserve">  over the cover cushion</t>
  </si>
  <si>
    <t xml:space="preserve">Working capital, in days of revenue</t>
  </si>
  <si>
    <t xml:space="preserve">Leverage at close</t>
  </si>
  <si>
    <t xml:space="preserve">Leverage trigger printed in Chapter 17</t>
  </si>
  <si>
    <t xml:space="preserve">  trigger less leverage at close</t>
  </si>
  <si>
    <t xml:space="preserve">Revised: the book calls this 0.1164 worse; it is 0.1164 better</t>
  </si>
  <si>
    <t xml:space="preserve">  status on the day of signing</t>
  </si>
  <si>
    <t xml:space="preserve">  room for any leverage trigger, close to covenant</t>
  </si>
  <si>
    <t xml:space="preserve">Cover trigger printed in Chapter 17</t>
  </si>
  <si>
    <t xml:space="preserve">  room above the covenant</t>
  </si>
  <si>
    <t xml:space="preserve">  below cover at close</t>
  </si>
  <si>
    <t xml:space="preserve">The price, read both ways (Chapter 18)</t>
  </si>
  <si>
    <t xml:space="preserve">Margin increase tested</t>
  </si>
  <si>
    <t xml:space="preserve">  a year</t>
  </si>
  <si>
    <t xml:space="preserve">Loss given default, 3.0x less 4.0x</t>
  </si>
  <si>
    <t xml:space="preserve">  expected loss at the assumed default rate</t>
  </si>
  <si>
    <t xml:space="preserve">  over the margin increase</t>
  </si>
  <si>
    <t xml:space="preserve">Revised: Chapter 18 says two and a half times</t>
  </si>
  <si>
    <t xml:space="preserve">Half a turn of exit multiple</t>
  </si>
  <si>
    <t xml:space="preserve">Break-even default rate moves by</t>
  </si>
  <si>
    <t xml:space="preserve">3.0x to 3.5x</t>
  </si>
  <si>
    <t xml:space="preserve">3.5x to 4.0x</t>
  </si>
  <si>
    <t xml:space="preserve">4.0x to 4.5x</t>
  </si>
  <si>
    <t xml:space="preserve">4.5x to 5.0x</t>
  </si>
  <si>
    <t xml:space="preserve">Revised: Chapter 18 says half a turn moves the break-even by 2.3 points. That is the step from 3.0x to 3.5x only; around the case's 4.0x it is 3.9 points down and 8.0 up.</t>
  </si>
  <si>
    <t xml:space="preserve">Break-even default rate over the assumed one</t>
  </si>
  <si>
    <t xml:space="preserve">Checks</t>
  </si>
  <si>
    <t xml:space="preserve">Each row sets a figure printed in the book beside the figure this workbook computes.</t>
  </si>
  <si>
    <t xml:space="preserve">Ch.</t>
  </si>
  <si>
    <t xml:space="preserve">Figure</t>
  </si>
  <si>
    <t xml:space="preserve">Printed</t>
  </si>
  <si>
    <t xml:space="preserve">Workbook</t>
  </si>
  <si>
    <t xml:space="preserve">Difference</t>
  </si>
  <si>
    <t xml:space="preserve">Result</t>
  </si>
  <si>
    <t xml:space="preserve">Note</t>
  </si>
  <si>
    <t xml:space="preserve">18</t>
  </si>
  <si>
    <t xml:space="preserve">Recovery at a 4.0x exit</t>
  </si>
  <si>
    <t xml:space="preserve">Share of the margin consumed</t>
  </si>
  <si>
    <t xml:space="preserve">Residual after expected loss</t>
  </si>
  <si>
    <t xml:space="preserve">Break-even probability of default at a 4.0x exit</t>
  </si>
  <si>
    <t xml:space="preserve">Break-even at a 3.0x exit</t>
  </si>
  <si>
    <t xml:space="preserve">Break-even at a 5.0x exit</t>
  </si>
  <si>
    <t xml:space="preserve">Loss given default at a 3.0x exit</t>
  </si>
  <si>
    <t xml:space="preserve">Loss given default at a 4.5x exit</t>
  </si>
  <si>
    <t xml:space="preserve">Recovery in year one on the amortised balance</t>
  </si>
  <si>
    <t xml:space="preserve">Recovery in year four on the amortised balance</t>
  </si>
  <si>
    <t xml:space="preserve">Loss given default in year four</t>
  </si>
  <si>
    <t xml:space="preserve">Average loss given default over four years</t>
  </si>
  <si>
    <t xml:space="preserve">Average expected loss over four years</t>
  </si>
  <si>
    <t xml:space="preserve">Gap between day-one and average expected loss</t>
  </si>
  <si>
    <t xml:space="preserve">15</t>
  </si>
  <si>
    <t xml:space="preserve">EBITDA admitted by the covenant as written</t>
  </si>
  <si>
    <t xml:space="preserve">EBITDA admitted after the reset</t>
  </si>
  <si>
    <t xml:space="preserve">Fall in EBITDA the covenant as written tolerates</t>
  </si>
  <si>
    <t xml:space="preserve">Fall in EBITDA the reset tolerates</t>
  </si>
  <si>
    <t xml:space="preserve">Extra tolerance bought</t>
  </si>
  <si>
    <t xml:space="preserve">revised: Chapter 15 prints 18.8973, from rounded tolerances</t>
  </si>
  <si>
    <t xml:space="preserve">Margin ratchet in year one</t>
  </si>
  <si>
    <t xml:space="preserve">Package over four years, as the letter reads</t>
  </si>
  <si>
    <t xml:space="preserve">Ratchet collected on the amortising balance</t>
  </si>
  <si>
    <t xml:space="preserve">Cost per percentage point of cushion</t>
  </si>
  <si>
    <t xml:space="preserve">corrected: the first file recorded 94.2685; the book prints 94.2682</t>
  </si>
  <si>
    <t xml:space="preserve">Cover before the amendment</t>
  </si>
  <si>
    <t xml:space="preserve">Cover with the ratchet in debt service only</t>
  </si>
  <si>
    <t xml:space="preserve">Cover with the fee also charged to cash</t>
  </si>
  <si>
    <t xml:space="preserve">Cover with fee and ratchet charged to cash</t>
  </si>
  <si>
    <t xml:space="preserve">Cost in turns of cover, full reading</t>
  </si>
  <si>
    <t xml:space="preserve">Cost in turns of cover, ratchet charged once</t>
  </si>
  <si>
    <t xml:space="preserve">Shortfall on the mildest reading</t>
  </si>
  <si>
    <t xml:space="preserve">EBITDA a year later on the downside path</t>
  </si>
  <si>
    <t xml:space="preserve">That, as a multiple of the whole package</t>
  </si>
  <si>
    <t xml:space="preserve">That, as a multiple of the fee alone</t>
  </si>
  <si>
    <t xml:space="preserve">Margin, year 1</t>
  </si>
  <si>
    <t xml:space="preserve">Margin, year 4</t>
  </si>
  <si>
    <t xml:space="preserve">Margin over four years</t>
  </si>
  <si>
    <t xml:space="preserve">  share of the advance</t>
  </si>
  <si>
    <t xml:space="preserve">Two years</t>
  </si>
  <si>
    <t xml:space="preserve">  share</t>
  </si>
  <si>
    <t xml:space="preserve">Loss in one default at 4.0x</t>
  </si>
  <si>
    <t xml:space="preserve">revised: Chapter 3 prints 31,824,120.00</t>
  </si>
  <si>
    <t xml:space="preserve">  times the margin</t>
  </si>
  <si>
    <t xml:space="preserve">Loss at 3.0x</t>
  </si>
  <si>
    <t xml:space="preserve">revised: Chapter 3 prints 53,868,120.00</t>
  </si>
  <si>
    <t xml:space="preserve">Expected loss at 8 per cent</t>
  </si>
  <si>
    <t xml:space="preserve">Ratchet over four years</t>
  </si>
  <si>
    <t xml:space="preserve">revised: Chapter 3 prints 3,600,000</t>
  </si>
  <si>
    <t xml:space="preserve">Amendment package</t>
  </si>
  <si>
    <t xml:space="preserve">revised: Chapters 3 and 11 print 4,800,000</t>
  </si>
  <si>
    <t xml:space="preserve">  share of the four-year margin</t>
  </si>
  <si>
    <t xml:space="preserve">revised: Chapter 3 prints 27.0270</t>
  </si>
  <si>
    <t xml:space="preserve">11</t>
  </si>
  <si>
    <t xml:space="preserve">  share of the facility</t>
  </si>
  <si>
    <t xml:space="preserve">revised: Chapter 11 prints 4.0000</t>
  </si>
  <si>
    <t xml:space="preserve">Enterprise value less the balance</t>
  </si>
  <si>
    <t xml:space="preserve">Enforcement costs at 4.0x</t>
  </si>
  <si>
    <t xml:space="preserve">Ratchet over the cushion</t>
  </si>
  <si>
    <t xml:space="preserve">135 days of the downside</t>
  </si>
  <si>
    <t xml:space="preserve">  times the trigger</t>
  </si>
  <si>
    <t xml:space="preserve">revised: Chapter 15 prints 8.2452</t>
  </si>
  <si>
    <t xml:space="preserve">Fifty days</t>
  </si>
  <si>
    <t xml:space="preserve">Swept</t>
  </si>
  <si>
    <t xml:space="preserve">  difference</t>
  </si>
  <si>
    <t xml:space="preserve">revised: Chapter 15 prints 0.0646</t>
  </si>
  <si>
    <t xml:space="preserve">Equity at 4.5x</t>
  </si>
  <si>
    <t xml:space="preserve">Equity at 5.0x</t>
  </si>
  <si>
    <t xml:space="preserve">17</t>
  </si>
  <si>
    <t xml:space="preserve">Cushion as a share of revenue</t>
  </si>
  <si>
    <t xml:space="preserve">A quarter of maintenance</t>
  </si>
  <si>
    <t xml:space="preserve">  cover if deferred</t>
  </si>
  <si>
    <t xml:space="preserve">  turns</t>
  </si>
  <si>
    <t xml:space="preserve">  over the cushion</t>
  </si>
  <si>
    <t xml:space="preserve">Working capital days</t>
  </si>
  <si>
    <t xml:space="preserve">Leverage trigger less leverage at close</t>
  </si>
  <si>
    <t xml:space="preserve">revised: the book reads it as 0.1164 worse</t>
  </si>
  <si>
    <t xml:space="preserve">Room for a leverage trigger</t>
  </si>
  <si>
    <t xml:space="preserve">Twenty-five basis points a year</t>
  </si>
  <si>
    <t xml:space="preserve">  expected loss</t>
  </si>
  <si>
    <t xml:space="preserve">revised: Chapter 18 says two and a half times</t>
  </si>
  <si>
    <t xml:space="preserve">Half a turn, 3.0x to 3.5x</t>
  </si>
  <si>
    <t xml:space="preserve">Half a turn, 3.5x to 4.0x</t>
  </si>
  <si>
    <t xml:space="preserve">new</t>
  </si>
  <si>
    <t xml:space="preserve">Half a turn, 4.0x to 4.5x</t>
  </si>
  <si>
    <t xml:space="preserve">Break-even over the assumption</t>
  </si>
  <si>
    <t xml:space="preserve">Identity, any inputs: the four-year margin is the margin times the sum of the opening balances</t>
  </si>
  <si>
    <t xml:space="preserve">holds for any inputs</t>
  </si>
  <si>
    <t xml:space="preserve">Checks that pass</t>
  </si>
  <si>
    <t xml:space="preserve">Checks that fail</t>
  </si>
  <si>
    <t xml:space="preserve">All checks</t>
  </si>
</sst>
</file>

<file path=xl/styles.xml><?xml version="1.0" encoding="utf-8"?>
<styleSheet xmlns="http://schemas.openxmlformats.org/spreadsheetml/2006/main">
  <numFmts count="12">
    <numFmt numFmtId="164" formatCode="General"/>
    <numFmt numFmtId="165" formatCode="#,##0.00;\-#,##0.00"/>
    <numFmt numFmtId="166" formatCode="0"/>
    <numFmt numFmtId="167" formatCode="0.0000%"/>
    <numFmt numFmtId="168" formatCode="0.0000\x"/>
    <numFmt numFmtId="169" formatCode="0.00"/>
    <numFmt numFmtId="170" formatCode="0.00\x"/>
    <numFmt numFmtId="171" formatCode="0.0000"/>
    <numFmt numFmtId="172" formatCode="0%"/>
    <numFmt numFmtId="173" formatCode="0.00%"/>
    <numFmt numFmtId="174" formatCode="0.000000"/>
    <numFmt numFmtId="175" formatCode="@"/>
  </numFmts>
  <fonts count="14">
    <font>
      <sz val="11"/>
      <color theme="1"/>
      <name val="Calibri"/>
      <family val="2"/>
      <charset val="1"/>
    </font>
    <font>
      <sz val="10"/>
      <name val="Arial"/>
      <family val="0"/>
    </font>
    <font>
      <sz val="10"/>
      <name val="Arial"/>
      <family val="0"/>
    </font>
    <font>
      <sz val="10"/>
      <name val="Arial"/>
      <family val="0"/>
    </font>
    <font>
      <b val="true"/>
      <sz val="16"/>
      <color rgb="FF1F4E5F"/>
      <name val="Calibri"/>
      <family val="0"/>
      <charset val="1"/>
    </font>
    <font>
      <i val="true"/>
      <sz val="10"/>
      <color rgb="FF5A6A70"/>
      <name val="Calibri"/>
      <family val="0"/>
      <charset val="1"/>
    </font>
    <font>
      <b val="true"/>
      <sz val="12"/>
      <color rgb="FF1F4E5F"/>
      <name val="Calibri"/>
      <family val="0"/>
      <charset val="1"/>
    </font>
    <font>
      <sz val="11"/>
      <color rgb="FF1A1A1A"/>
      <name val="Calibri"/>
      <family val="0"/>
      <charset val="1"/>
    </font>
    <font>
      <b val="true"/>
      <sz val="11"/>
      <color rgb="FF0B4FA0"/>
      <name val="Calibri"/>
      <family val="0"/>
      <charset val="1"/>
    </font>
    <font>
      <b val="true"/>
      <sz val="10"/>
      <color rgb="FFFFFFFF"/>
      <name val="Calibri"/>
      <family val="0"/>
      <charset val="1"/>
    </font>
    <font>
      <b val="true"/>
      <sz val="11"/>
      <color rgb="FF1A1A1A"/>
      <name val="Calibri"/>
      <family val="0"/>
      <charset val="1"/>
    </font>
    <font>
      <i val="true"/>
      <sz val="9"/>
      <color rgb="FF5A6A70"/>
      <name val="Calibri"/>
      <family val="0"/>
      <charset val="1"/>
    </font>
    <font>
      <sz val="10"/>
      <color rgb="FF5A6A70"/>
      <name val="Calibri"/>
      <family val="0"/>
      <charset val="1"/>
    </font>
    <font>
      <sz val="9"/>
      <color rgb="FF5A6A70"/>
      <name val="Calibri"/>
      <family val="0"/>
      <charset val="1"/>
    </font>
  </fonts>
  <fills count="5">
    <fill>
      <patternFill patternType="none"/>
    </fill>
    <fill>
      <patternFill patternType="gray125"/>
    </fill>
    <fill>
      <patternFill patternType="solid">
        <fgColor rgb="FFFFF6D8"/>
        <bgColor rgb="FFF2F5F7"/>
      </patternFill>
    </fill>
    <fill>
      <patternFill patternType="solid">
        <fgColor rgb="FF1F4E5F"/>
        <bgColor rgb="FF0B4FA0"/>
      </patternFill>
    </fill>
    <fill>
      <patternFill patternType="solid">
        <fgColor rgb="FFF2F5F7"/>
        <bgColor rgb="FFFFFFFF"/>
      </patternFill>
    </fill>
  </fills>
  <borders count="4">
    <border diagonalUp="false" diagonalDown="false">
      <left/>
      <right/>
      <top/>
      <bottom/>
      <diagonal/>
    </border>
    <border diagonalUp="false" diagonalDown="false">
      <left/>
      <right/>
      <top/>
      <bottom style="medium">
        <color rgb="FF1F4E5F"/>
      </bottom>
      <diagonal/>
    </border>
    <border diagonalUp="false" diagonalDown="false">
      <left/>
      <right/>
      <top/>
      <bottom style="thin">
        <color rgb="FFBFC8CC"/>
      </bottom>
      <diagonal/>
    </border>
    <border diagonalUp="false" diagonalDown="false">
      <left style="thin">
        <color rgb="FFBFC8CC"/>
      </left>
      <right style="thin">
        <color rgb="FFBFC8CC"/>
      </right>
      <top style="thin">
        <color rgb="FFBFC8CC"/>
      </top>
      <bottom style="thin">
        <color rgb="FFBFC8CC"/>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51">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center"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6" fillId="0" borderId="2"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0" fillId="0" borderId="2" xfId="0" applyFont="fals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5" fontId="8" fillId="2" borderId="3" xfId="0" applyFont="true" applyBorder="true" applyAlignment="false" applyProtection="false">
      <alignment horizontal="general" vertical="bottom" textRotation="0" wrapText="false" indent="0" shrinkToFit="false"/>
      <protection locked="true" hidden="false"/>
    </xf>
    <xf numFmtId="164" fontId="9" fillId="3" borderId="3" xfId="0" applyFont="true" applyBorder="true" applyAlignment="true" applyProtection="false">
      <alignment horizontal="left" vertical="center" textRotation="0" wrapText="true" indent="0" shrinkToFit="false"/>
      <protection locked="true" hidden="false"/>
    </xf>
    <xf numFmtId="164" fontId="9" fillId="3" borderId="3" xfId="0" applyFont="true" applyBorder="true" applyAlignment="true" applyProtection="false">
      <alignment horizontal="right" vertical="center" textRotation="0" wrapText="true" indent="0" shrinkToFit="false"/>
      <protection locked="true" hidden="false"/>
    </xf>
    <xf numFmtId="166" fontId="8" fillId="2" borderId="3" xfId="0" applyFont="true" applyBorder="true" applyAlignment="true" applyProtection="false">
      <alignment horizontal="center"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5" fontId="10" fillId="0" borderId="0" xfId="0" applyFont="true" applyBorder="false" applyAlignment="false" applyProtection="false">
      <alignment horizontal="general" vertical="bottom" textRotation="0" wrapText="false" indent="0" shrinkToFit="false"/>
      <protection locked="true" hidden="false"/>
    </xf>
    <xf numFmtId="167" fontId="8" fillId="2" borderId="3" xfId="0" applyFont="true" applyBorder="true" applyAlignment="false" applyProtection="false">
      <alignment horizontal="general" vertical="bottom" textRotation="0" wrapText="false" indent="0" shrinkToFit="false"/>
      <protection locked="true" hidden="false"/>
    </xf>
    <xf numFmtId="168" fontId="8" fillId="2" borderId="3" xfId="0" applyFont="true" applyBorder="true" applyAlignment="false" applyProtection="false">
      <alignment horizontal="general" vertical="bottom" textRotation="0" wrapText="false" indent="0" shrinkToFit="false"/>
      <protection locked="true" hidden="false"/>
    </xf>
    <xf numFmtId="169" fontId="8" fillId="2" borderId="3" xfId="0" applyFont="true" applyBorder="true" applyAlignment="false" applyProtection="false">
      <alignment horizontal="general" vertical="bottom" textRotation="0" wrapText="false" indent="0" shrinkToFit="false"/>
      <protection locked="true" hidden="false"/>
    </xf>
    <xf numFmtId="165" fontId="7" fillId="0" borderId="0" xfId="0" applyFont="true" applyBorder="false" applyAlignment="false" applyProtection="false">
      <alignment horizontal="general" vertical="bottom" textRotation="0" wrapText="false" indent="0" shrinkToFit="false"/>
      <protection locked="true" hidden="false"/>
    </xf>
    <xf numFmtId="167" fontId="10" fillId="0" borderId="0" xfId="0" applyFont="true" applyBorder="false" applyAlignment="false" applyProtection="false">
      <alignment horizontal="general" vertical="bottom" textRotation="0" wrapText="false" indent="0" shrinkToFit="false"/>
      <protection locked="true" hidden="false"/>
    </xf>
    <xf numFmtId="167" fontId="7" fillId="0" borderId="0" xfId="0" applyFont="true" applyBorder="false" applyAlignment="false" applyProtection="false">
      <alignment horizontal="general" vertical="bottom" textRotation="0" wrapText="false" indent="0" shrinkToFit="false"/>
      <protection locked="true" hidden="false"/>
    </xf>
    <xf numFmtId="170" fontId="8" fillId="2" borderId="3" xfId="0" applyFont="true" applyBorder="true" applyAlignment="false" applyProtection="false">
      <alignment horizontal="general" vertical="bottom" textRotation="0" wrapText="false" indent="0" shrinkToFit="false"/>
      <protection locked="true" hidden="false"/>
    </xf>
    <xf numFmtId="164" fontId="7" fillId="4" borderId="0" xfId="0" applyFont="true" applyBorder="false" applyAlignment="false" applyProtection="false">
      <alignment horizontal="general" vertical="bottom" textRotation="0" wrapText="false" indent="0" shrinkToFit="false"/>
      <protection locked="true" hidden="false"/>
    </xf>
    <xf numFmtId="167" fontId="7" fillId="4"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5" fontId="7" fillId="4" borderId="0" xfId="0" applyFont="true" applyBorder="false" applyAlignment="false" applyProtection="false">
      <alignment horizontal="general" vertical="bottom" textRotation="0" wrapText="false" indent="0" shrinkToFit="false"/>
      <protection locked="true" hidden="false"/>
    </xf>
    <xf numFmtId="166" fontId="8" fillId="2" borderId="3" xfId="0" applyFont="true" applyBorder="true" applyAlignment="false" applyProtection="false">
      <alignment horizontal="general" vertical="bottom" textRotation="0" wrapText="false" indent="0" shrinkToFit="false"/>
      <protection locked="true" hidden="false"/>
    </xf>
    <xf numFmtId="168" fontId="7" fillId="0" borderId="0" xfId="0" applyFont="true" applyBorder="false" applyAlignment="false" applyProtection="false">
      <alignment horizontal="general" vertical="bottom" textRotation="0" wrapText="false" indent="0" shrinkToFit="false"/>
      <protection locked="true" hidden="false"/>
    </xf>
    <xf numFmtId="168" fontId="10" fillId="0" borderId="0" xfId="0" applyFont="true" applyBorder="false" applyAlignment="false" applyProtection="false">
      <alignment horizontal="general" vertical="bottom" textRotation="0" wrapText="false" indent="0" shrinkToFit="false"/>
      <protection locked="true" hidden="false"/>
    </xf>
    <xf numFmtId="164" fontId="0" fillId="4" borderId="0" xfId="0" applyFont="false" applyBorder="false" applyAlignment="false" applyProtection="false">
      <alignment horizontal="general" vertical="bottom" textRotation="0" wrapText="false" indent="0" shrinkToFit="false"/>
      <protection locked="true" hidden="false"/>
    </xf>
    <xf numFmtId="168" fontId="7" fillId="4" borderId="0" xfId="0" applyFont="true" applyBorder="false" applyAlignment="false" applyProtection="false">
      <alignment horizontal="general" vertical="bottom" textRotation="0" wrapText="false" indent="0" shrinkToFit="false"/>
      <protection locked="true" hidden="false"/>
    </xf>
    <xf numFmtId="164" fontId="10" fillId="4" borderId="0" xfId="0" applyFont="true" applyBorder="false" applyAlignment="false" applyProtection="false">
      <alignment horizontal="general" vertical="bottom" textRotation="0" wrapText="false" indent="0" shrinkToFit="false"/>
      <protection locked="true" hidden="false"/>
    </xf>
    <xf numFmtId="165" fontId="10" fillId="4" borderId="0" xfId="0" applyFont="true" applyBorder="false" applyAlignment="false" applyProtection="false">
      <alignment horizontal="general" vertical="bottom" textRotation="0" wrapText="false" indent="0" shrinkToFit="false"/>
      <protection locked="true" hidden="false"/>
    </xf>
    <xf numFmtId="168" fontId="10" fillId="4" borderId="0" xfId="0" applyFont="true" applyBorder="false" applyAlignment="false" applyProtection="false">
      <alignment horizontal="general" vertical="bottom" textRotation="0" wrapText="false" indent="0" shrinkToFit="false"/>
      <protection locked="true" hidden="false"/>
    </xf>
    <xf numFmtId="171" fontId="10" fillId="0" borderId="0" xfId="0" applyFont="true" applyBorder="false" applyAlignment="false" applyProtection="false">
      <alignment horizontal="general" vertical="bottom" textRotation="0" wrapText="false" indent="0" shrinkToFit="false"/>
      <protection locked="true" hidden="false"/>
    </xf>
    <xf numFmtId="171" fontId="7" fillId="0" borderId="0" xfId="0" applyFont="tru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9" fillId="3" borderId="0" xfId="0" applyFont="true" applyBorder="false" applyAlignment="true" applyProtection="false">
      <alignment horizontal="general" vertical="center" textRotation="0" wrapText="true" indent="0" shrinkToFit="false"/>
      <protection locked="true" hidden="false"/>
    </xf>
    <xf numFmtId="166" fontId="7" fillId="0" borderId="0" xfId="0" applyFont="true" applyBorder="false" applyAlignment="false" applyProtection="false">
      <alignment horizontal="general"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6" fontId="8" fillId="2" borderId="0" xfId="0" applyFont="true" applyBorder="false" applyAlignment="false" applyProtection="false">
      <alignment horizontal="general" vertical="bottom" textRotation="0" wrapText="false" indent="0" shrinkToFit="false"/>
      <protection locked="true" hidden="false"/>
    </xf>
    <xf numFmtId="172" fontId="8" fillId="2" borderId="0" xfId="0" applyFont="true" applyBorder="false" applyAlignment="false" applyProtection="false">
      <alignment horizontal="general" vertical="bottom" textRotation="0" wrapText="false" indent="0" shrinkToFit="false"/>
      <protection locked="true" hidden="false"/>
    </xf>
    <xf numFmtId="168" fontId="8" fillId="2" borderId="0" xfId="0" applyFont="true" applyBorder="false" applyAlignment="false" applyProtection="false">
      <alignment horizontal="general" vertical="bottom" textRotation="0" wrapText="false" indent="0" shrinkToFit="false"/>
      <protection locked="true" hidden="false"/>
    </xf>
    <xf numFmtId="173" fontId="8" fillId="2" borderId="0" xfId="0" applyFont="true" applyBorder="false" applyAlignment="false" applyProtection="false">
      <alignment horizontal="general" vertical="bottom" textRotation="0" wrapText="false" indent="0" shrinkToFit="false"/>
      <protection locked="true" hidden="false"/>
    </xf>
    <xf numFmtId="164" fontId="9" fillId="3" borderId="0" xfId="0" applyFont="true" applyBorder="false" applyAlignment="false" applyProtection="false">
      <alignment horizontal="general" vertical="bottom" textRotation="0" wrapText="false" indent="0" shrinkToFit="false"/>
      <protection locked="true" hidden="false"/>
    </xf>
    <xf numFmtId="174" fontId="7" fillId="0" borderId="0" xfId="0" applyFont="true" applyBorder="false" applyAlignment="false" applyProtection="false">
      <alignment horizontal="general" vertical="bottom" textRotation="0" wrapText="false" indent="0" shrinkToFit="false"/>
      <protection locked="true" hidden="false"/>
    </xf>
    <xf numFmtId="175" fontId="10" fillId="0" borderId="0" xfId="0" applyFont="true" applyBorder="false" applyAlignment="false" applyProtection="false">
      <alignment horizontal="general" vertical="bottom" textRotation="0" wrapText="false" indent="0" shrinkToFit="false"/>
      <protection locked="true" hidden="false"/>
    </xf>
    <xf numFmtId="174" fontId="7" fillId="4" borderId="0" xfId="0" applyFont="true" applyBorder="false" applyAlignment="false" applyProtection="false">
      <alignment horizontal="general" vertical="bottom" textRotation="0" wrapText="false" indent="0" shrinkToFit="false"/>
      <protection locked="true" hidden="false"/>
    </xf>
    <xf numFmtId="175" fontId="10" fillId="4" borderId="0" xfId="0" applyFont="true" applyBorder="false" applyAlignment="false" applyProtection="false">
      <alignment horizontal="general" vertical="bottom" textRotation="0" wrapText="false" indent="0" shrinkToFit="false"/>
      <protection locked="true" hidden="false"/>
    </xf>
    <xf numFmtId="171" fontId="7" fillId="4"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C8CC"/>
      <rgbColor rgb="FF808080"/>
      <rgbColor rgb="FF9999FF"/>
      <rgbColor rgb="FF993366"/>
      <rgbColor rgb="FFFFF6D8"/>
      <rgbColor rgb="FFF2F5F7"/>
      <rgbColor rgb="FF660066"/>
      <rgbColor rgb="FFFF8080"/>
      <rgbColor rgb="FF0B4FA0"/>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A6A70"/>
      <rgbColor rgb="FF969696"/>
      <rgbColor rgb="FF1F4E5F"/>
      <rgbColor rgb="FF339966"/>
      <rgbColor rgb="FF003300"/>
      <rgbColor rgb="FF333300"/>
      <rgbColor rgb="FF993300"/>
      <rgbColor rgb="FF993366"/>
      <rgbColor rgb="FF333399"/>
      <rgbColor rgb="FF1A1A1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27"/>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10"/>
  </cols>
  <sheetData>
    <row r="1" customFormat="false" ht="24" hidden="false" customHeight="true" outlineLevel="0" collapsed="false">
      <c r="A1" s="1" t="s">
        <v>0</v>
      </c>
    </row>
    <row r="2" customFormat="false" ht="15" hidden="false" customHeight="false" outlineLevel="0" collapsed="false">
      <c r="A2" s="2" t="s">
        <v>1</v>
      </c>
    </row>
    <row r="3" customFormat="false" ht="15" hidden="false" customHeight="false" outlineLevel="0" collapsed="false">
      <c r="A3" s="3"/>
    </row>
    <row r="5" customFormat="false" ht="15" hidden="false" customHeight="false" outlineLevel="0" collapsed="false">
      <c r="A5" s="4" t="s">
        <v>2</v>
      </c>
    </row>
    <row r="7" customFormat="false" ht="30" hidden="false" customHeight="true" outlineLevel="0" collapsed="false">
      <c r="A7" s="5" t="s">
        <v>3</v>
      </c>
    </row>
    <row r="9" customFormat="false" ht="15" hidden="false" customHeight="false" outlineLevel="0" collapsed="false">
      <c r="A9" s="4" t="s">
        <v>4</v>
      </c>
    </row>
    <row r="11" customFormat="false" ht="60" hidden="false" customHeight="true" outlineLevel="0" collapsed="false">
      <c r="A11" s="5" t="s">
        <v>5</v>
      </c>
    </row>
    <row r="13" customFormat="false" ht="15" hidden="false" customHeight="false" outlineLevel="0" collapsed="false">
      <c r="A13" s="4" t="s">
        <v>6</v>
      </c>
    </row>
    <row r="15" customFormat="false" ht="60" hidden="false" customHeight="true" outlineLevel="0" collapsed="false">
      <c r="A15" s="5" t="s">
        <v>7</v>
      </c>
    </row>
    <row r="17" customFormat="false" ht="15" hidden="false" customHeight="false" outlineLevel="0" collapsed="false">
      <c r="A17" s="4" t="s">
        <v>8</v>
      </c>
    </row>
    <row r="19" customFormat="false" ht="45" hidden="false" customHeight="true" outlineLevel="0" collapsed="false">
      <c r="A19" s="5" t="s">
        <v>9</v>
      </c>
    </row>
    <row r="21" customFormat="false" ht="15" hidden="false" customHeight="false" outlineLevel="0" collapsed="false">
      <c r="A21" s="4" t="s">
        <v>10</v>
      </c>
    </row>
    <row r="23" customFormat="false" ht="30" hidden="false" customHeight="true" outlineLevel="0" collapsed="false">
      <c r="A23" s="5" t="s">
        <v>11</v>
      </c>
    </row>
    <row r="25" customFormat="false" ht="15" hidden="false" customHeight="false" outlineLevel="0" collapsed="false">
      <c r="A25" s="6" t="s">
        <v>12</v>
      </c>
    </row>
    <row r="27" customFormat="false" ht="150" hidden="false" customHeight="true" outlineLevel="0" collapsed="false">
      <c r="A27" s="5" t="s">
        <v>13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5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6"/>
    <col collapsed="false" customWidth="true" hidden="false" outlineLevel="0" max="2" min="2" style="0" width="18"/>
    <col collapsed="false" customWidth="true" hidden="false" outlineLevel="0" max="3" min="3" style="0" width="10"/>
    <col collapsed="false" customWidth="true" hidden="false" outlineLevel="0" max="4" min="4" style="0" width="40"/>
  </cols>
  <sheetData>
    <row r="1" customFormat="false" ht="24" hidden="false" customHeight="true" outlineLevel="0" collapsed="false">
      <c r="A1" s="1" t="s">
        <v>14</v>
      </c>
    </row>
    <row r="2" customFormat="false" ht="15" hidden="false" customHeight="false" outlineLevel="0" collapsed="false">
      <c r="A2" s="2" t="s">
        <v>15</v>
      </c>
    </row>
    <row r="3" customFormat="false" ht="15" hidden="false" customHeight="false" outlineLevel="0" collapsed="false">
      <c r="A3" s="3"/>
      <c r="B3" s="3"/>
      <c r="C3" s="3"/>
      <c r="D3" s="3"/>
    </row>
    <row r="5" customFormat="false" ht="15" hidden="false" customHeight="false" outlineLevel="0" collapsed="false">
      <c r="A5" s="4" t="s">
        <v>16</v>
      </c>
      <c r="B5" s="7"/>
      <c r="C5" s="7"/>
      <c r="D5" s="7"/>
    </row>
    <row r="7" customFormat="false" ht="15" hidden="false" customHeight="false" outlineLevel="0" collapsed="false">
      <c r="A7" s="8" t="s">
        <v>17</v>
      </c>
      <c r="B7" s="9" t="n">
        <v>285000000</v>
      </c>
    </row>
    <row r="8" customFormat="false" ht="15" hidden="false" customHeight="false" outlineLevel="0" collapsed="false">
      <c r="A8" s="8" t="s">
        <v>18</v>
      </c>
      <c r="B8" s="9" t="n">
        <v>24600000</v>
      </c>
    </row>
    <row r="10" customFormat="false" ht="15" hidden="false" customHeight="false" outlineLevel="0" collapsed="false">
      <c r="A10" s="4" t="s">
        <v>19</v>
      </c>
      <c r="B10" s="7"/>
      <c r="C10" s="7"/>
      <c r="D10" s="7"/>
    </row>
    <row r="12" customFormat="false" ht="30" hidden="false" customHeight="true" outlineLevel="0" collapsed="false">
      <c r="A12" s="10" t="s">
        <v>20</v>
      </c>
      <c r="B12" s="11" t="s">
        <v>21</v>
      </c>
      <c r="C12" s="11" t="s">
        <v>22</v>
      </c>
      <c r="D12" s="11"/>
    </row>
    <row r="13" customFormat="false" ht="15" hidden="false" customHeight="false" outlineLevel="0" collapsed="false">
      <c r="A13" s="8" t="s">
        <v>23</v>
      </c>
      <c r="B13" s="9" t="n">
        <v>3400000</v>
      </c>
      <c r="C13" s="12" t="n">
        <v>1</v>
      </c>
    </row>
    <row r="14" customFormat="false" ht="15" hidden="false" customHeight="false" outlineLevel="0" collapsed="false">
      <c r="A14" s="8" t="s">
        <v>24</v>
      </c>
      <c r="B14" s="9" t="n">
        <v>2900000</v>
      </c>
      <c r="C14" s="12" t="n">
        <v>1</v>
      </c>
    </row>
    <row r="15" customFormat="false" ht="15" hidden="false" customHeight="false" outlineLevel="0" collapsed="false">
      <c r="A15" s="8" t="s">
        <v>25</v>
      </c>
      <c r="B15" s="9" t="n">
        <v>4200000</v>
      </c>
      <c r="C15" s="12" t="n">
        <v>1</v>
      </c>
    </row>
    <row r="16" customFormat="false" ht="15" hidden="false" customHeight="false" outlineLevel="0" collapsed="false">
      <c r="A16" s="8" t="s">
        <v>26</v>
      </c>
      <c r="B16" s="9" t="n">
        <v>1100000</v>
      </c>
      <c r="C16" s="12" t="n">
        <v>1</v>
      </c>
    </row>
    <row r="17" customFormat="false" ht="15" hidden="false" customHeight="false" outlineLevel="0" collapsed="false">
      <c r="A17" s="8" t="s">
        <v>27</v>
      </c>
      <c r="B17" s="9" t="n">
        <v>800000</v>
      </c>
      <c r="C17" s="12" t="n">
        <v>1</v>
      </c>
    </row>
    <row r="18" customFormat="false" ht="15" hidden="false" customHeight="false" outlineLevel="0" collapsed="false">
      <c r="A18" s="8" t="s">
        <v>28</v>
      </c>
      <c r="B18" s="9" t="n">
        <v>600000</v>
      </c>
      <c r="C18" s="12" t="n">
        <v>1</v>
      </c>
    </row>
    <row r="19" customFormat="false" ht="15" hidden="false" customHeight="false" outlineLevel="0" collapsed="false">
      <c r="A19" s="13" t="s">
        <v>29</v>
      </c>
      <c r="B19" s="14" t="n">
        <f aca="false">SUMPRODUCT(B13:B18,C13:C18)</f>
        <v>13000000</v>
      </c>
    </row>
    <row r="21" customFormat="false" ht="15" hidden="false" customHeight="false" outlineLevel="0" collapsed="false">
      <c r="A21" s="4" t="s">
        <v>30</v>
      </c>
      <c r="B21" s="7"/>
      <c r="C21" s="7"/>
      <c r="D21" s="7"/>
    </row>
    <row r="23" customFormat="false" ht="30" hidden="false" customHeight="true" outlineLevel="0" collapsed="false">
      <c r="A23" s="10" t="s">
        <v>31</v>
      </c>
      <c r="B23" s="11" t="s">
        <v>21</v>
      </c>
      <c r="C23" s="11" t="s">
        <v>22</v>
      </c>
      <c r="D23" s="11"/>
    </row>
    <row r="24" customFormat="false" ht="15" hidden="false" customHeight="false" outlineLevel="0" collapsed="false">
      <c r="A24" s="8" t="s">
        <v>32</v>
      </c>
      <c r="B24" s="9" t="n">
        <v>1740000</v>
      </c>
      <c r="C24" s="12" t="n">
        <v>1</v>
      </c>
    </row>
    <row r="25" customFormat="false" ht="15" hidden="false" customHeight="false" outlineLevel="0" collapsed="false">
      <c r="A25" s="8" t="s">
        <v>33</v>
      </c>
      <c r="B25" s="9" t="n">
        <v>1800000</v>
      </c>
      <c r="C25" s="12" t="n">
        <v>1</v>
      </c>
    </row>
    <row r="26" customFormat="false" ht="15" hidden="false" customHeight="false" outlineLevel="0" collapsed="false">
      <c r="A26" s="8" t="s">
        <v>34</v>
      </c>
      <c r="B26" s="9" t="n">
        <v>3400000</v>
      </c>
      <c r="C26" s="12" t="n">
        <v>1</v>
      </c>
    </row>
    <row r="27" customFormat="false" ht="15" hidden="false" customHeight="false" outlineLevel="0" collapsed="false">
      <c r="A27" s="8" t="s">
        <v>35</v>
      </c>
      <c r="B27" s="9" t="n">
        <v>2200000</v>
      </c>
      <c r="C27" s="12" t="n">
        <v>1</v>
      </c>
    </row>
    <row r="28" customFormat="false" ht="15" hidden="false" customHeight="false" outlineLevel="0" collapsed="false">
      <c r="A28" s="13" t="s">
        <v>36</v>
      </c>
      <c r="B28" s="14" t="n">
        <f aca="false">SUMPRODUCT(B24:B27,C24:C27)</f>
        <v>9140000</v>
      </c>
    </row>
    <row r="30" customFormat="false" ht="15" hidden="false" customHeight="false" outlineLevel="0" collapsed="false">
      <c r="A30" s="4" t="s">
        <v>37</v>
      </c>
      <c r="B30" s="7"/>
      <c r="C30" s="7"/>
      <c r="D30" s="7"/>
    </row>
    <row r="32" customFormat="false" ht="15" hidden="false" customHeight="false" outlineLevel="0" collapsed="false">
      <c r="A32" s="8" t="s">
        <v>38</v>
      </c>
      <c r="B32" s="9" t="n">
        <v>6200000</v>
      </c>
    </row>
    <row r="33" customFormat="false" ht="15" hidden="false" customHeight="false" outlineLevel="0" collapsed="false">
      <c r="A33" s="8" t="s">
        <v>39</v>
      </c>
      <c r="B33" s="9" t="n">
        <v>1600000</v>
      </c>
    </row>
    <row r="34" customFormat="false" ht="15" hidden="false" customHeight="false" outlineLevel="0" collapsed="false">
      <c r="A34" s="8" t="s">
        <v>40</v>
      </c>
      <c r="B34" s="9" t="n">
        <v>2100000</v>
      </c>
    </row>
    <row r="36" customFormat="false" ht="15" hidden="false" customHeight="false" outlineLevel="0" collapsed="false">
      <c r="A36" s="4" t="s">
        <v>41</v>
      </c>
      <c r="B36" s="7"/>
      <c r="C36" s="7"/>
      <c r="D36" s="7"/>
    </row>
    <row r="38" customFormat="false" ht="15" hidden="false" customHeight="false" outlineLevel="0" collapsed="false">
      <c r="A38" s="8" t="s">
        <v>42</v>
      </c>
      <c r="B38" s="9" t="n">
        <v>120000000</v>
      </c>
    </row>
    <row r="39" customFormat="false" ht="15" hidden="false" customHeight="false" outlineLevel="0" collapsed="false">
      <c r="A39" s="8" t="s">
        <v>43</v>
      </c>
      <c r="B39" s="15" t="n">
        <v>0.074</v>
      </c>
    </row>
    <row r="40" customFormat="false" ht="15" hidden="false" customHeight="false" outlineLevel="0" collapsed="false">
      <c r="A40" s="8" t="s">
        <v>44</v>
      </c>
      <c r="B40" s="15" t="n">
        <v>0.034</v>
      </c>
    </row>
    <row r="41" customFormat="false" ht="15" hidden="false" customHeight="false" outlineLevel="0" collapsed="false">
      <c r="A41" s="8" t="s">
        <v>45</v>
      </c>
      <c r="B41" s="15" t="n">
        <v>0.05</v>
      </c>
    </row>
    <row r="42" customFormat="false" ht="15" hidden="false" customHeight="false" outlineLevel="0" collapsed="false">
      <c r="A42" s="8" t="s">
        <v>46</v>
      </c>
      <c r="B42" s="16" t="n">
        <v>4.25</v>
      </c>
    </row>
    <row r="43" customFormat="false" ht="15" hidden="false" customHeight="false" outlineLevel="0" collapsed="false">
      <c r="A43" s="8" t="s">
        <v>47</v>
      </c>
      <c r="B43" s="16" t="n">
        <v>1.2</v>
      </c>
    </row>
    <row r="45" customFormat="false" ht="15" hidden="false" customHeight="false" outlineLevel="0" collapsed="false">
      <c r="A45" s="4" t="s">
        <v>48</v>
      </c>
      <c r="B45" s="7"/>
      <c r="C45" s="7"/>
      <c r="D45" s="7"/>
    </row>
    <row r="47" customFormat="false" ht="15" hidden="false" customHeight="false" outlineLevel="0" collapsed="false">
      <c r="A47" s="8" t="s">
        <v>49</v>
      </c>
      <c r="B47" s="17" t="n">
        <v>2.2</v>
      </c>
    </row>
    <row r="48" customFormat="false" ht="15" hidden="false" customHeight="false" outlineLevel="0" collapsed="false">
      <c r="A48" s="8" t="s">
        <v>50</v>
      </c>
      <c r="B48" s="15" t="n">
        <v>-0.08</v>
      </c>
    </row>
    <row r="49" customFormat="false" ht="15" hidden="false" customHeight="false" outlineLevel="0" collapsed="false">
      <c r="A49" s="8" t="s">
        <v>51</v>
      </c>
      <c r="B49" s="15" t="n">
        <v>0.06</v>
      </c>
    </row>
    <row r="50" customFormat="false" ht="15" hidden="false" customHeight="false" outlineLevel="0" collapsed="false">
      <c r="A50" s="8" t="s">
        <v>52</v>
      </c>
      <c r="B50" s="15" t="n">
        <v>0.04</v>
      </c>
    </row>
    <row r="51" customFormat="false" ht="15" hidden="false" customHeight="false" outlineLevel="0" collapsed="false">
      <c r="A51" s="8" t="s">
        <v>53</v>
      </c>
      <c r="B51" s="16" t="n">
        <v>5.25</v>
      </c>
    </row>
    <row r="52" customFormat="false" ht="15" hidden="false" customHeight="false" outlineLevel="0" collapsed="false">
      <c r="A52" s="8" t="s">
        <v>54</v>
      </c>
      <c r="B52" s="15" t="n">
        <v>0.01</v>
      </c>
    </row>
    <row r="53" customFormat="false" ht="15" hidden="false" customHeight="false" outlineLevel="0" collapsed="false">
      <c r="A53" s="8" t="s">
        <v>55</v>
      </c>
      <c r="B53" s="15" t="n">
        <v>0.005</v>
      </c>
    </row>
  </sheetData>
  <dataValidations count="10">
    <dataValidation allowBlank="false" errorStyle="stop" operator="between" showDropDown="false" showErrorMessage="false" showInputMessage="false" sqref="C13" type="list">
      <formula1>"1,0"</formula1>
      <formula2>0</formula2>
    </dataValidation>
    <dataValidation allowBlank="false" errorStyle="stop" operator="between" showDropDown="false" showErrorMessage="false" showInputMessage="false" sqref="C14" type="list">
      <formula1>"1,0"</formula1>
      <formula2>0</formula2>
    </dataValidation>
    <dataValidation allowBlank="false" errorStyle="stop" operator="between" showDropDown="false" showErrorMessage="false" showInputMessage="false" sqref="C15" type="list">
      <formula1>"1,0"</formula1>
      <formula2>0</formula2>
    </dataValidation>
    <dataValidation allowBlank="false" errorStyle="stop" operator="between" showDropDown="false" showErrorMessage="false" showInputMessage="false" sqref="C16" type="list">
      <formula1>"1,0"</formula1>
      <formula2>0</formula2>
    </dataValidation>
    <dataValidation allowBlank="false" errorStyle="stop" operator="between" showDropDown="false" showErrorMessage="false" showInputMessage="false" sqref="C17" type="list">
      <formula1>"1,0"</formula1>
      <formula2>0</formula2>
    </dataValidation>
    <dataValidation allowBlank="false" errorStyle="stop" operator="between" showDropDown="false" showErrorMessage="false" showInputMessage="false" sqref="C18" type="list">
      <formula1>"1,0"</formula1>
      <formula2>0</formula2>
    </dataValidation>
    <dataValidation allowBlank="false" errorStyle="stop" operator="between" showDropDown="false" showErrorMessage="false" showInputMessage="false" sqref="C24" type="list">
      <formula1>"1,0"</formula1>
      <formula2>0</formula2>
    </dataValidation>
    <dataValidation allowBlank="false" errorStyle="stop" operator="between" showDropDown="false" showErrorMessage="false" showInputMessage="false" sqref="C25" type="list">
      <formula1>"1,0"</formula1>
      <formula2>0</formula2>
    </dataValidation>
    <dataValidation allowBlank="false" errorStyle="stop" operator="between" showDropDown="false" showErrorMessage="false" showInputMessage="false" sqref="C26" type="list">
      <formula1>"1,0"</formula1>
      <formula2>0</formula2>
    </dataValidation>
    <dataValidation allowBlank="false" errorStyle="stop" operator="between" showDropDown="false" showErrorMessage="false" showInputMessage="false" sqref="C27" type="list">
      <formula1>"1,0"</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2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6"/>
    <col collapsed="false" customWidth="true" hidden="false" outlineLevel="0" max="3" min="2" style="0" width="20"/>
  </cols>
  <sheetData>
    <row r="1" customFormat="false" ht="24" hidden="false" customHeight="true" outlineLevel="0" collapsed="false">
      <c r="A1" s="1" t="s">
        <v>56</v>
      </c>
    </row>
    <row r="2" customFormat="false" ht="15" hidden="false" customHeight="false" outlineLevel="0" collapsed="false">
      <c r="A2" s="2" t="s">
        <v>57</v>
      </c>
    </row>
    <row r="3" customFormat="false" ht="15" hidden="false" customHeight="false" outlineLevel="0" collapsed="false">
      <c r="A3" s="3"/>
      <c r="B3" s="3"/>
      <c r="C3" s="3"/>
    </row>
    <row r="5" customFormat="false" ht="30" hidden="false" customHeight="true" outlineLevel="0" collapsed="false">
      <c r="A5" s="10"/>
      <c r="B5" s="11" t="s">
        <v>21</v>
      </c>
      <c r="C5" s="11" t="s">
        <v>58</v>
      </c>
    </row>
    <row r="6" customFormat="false" ht="15" hidden="false" customHeight="false" outlineLevel="0" collapsed="false">
      <c r="A6" s="13" t="s">
        <v>18</v>
      </c>
      <c r="B6" s="14" t="n">
        <f aca="false">Inputs!B8</f>
        <v>24600000</v>
      </c>
      <c r="C6" s="14" t="n">
        <f aca="false">B6</f>
        <v>24600000</v>
      </c>
    </row>
    <row r="7" customFormat="false" ht="15" hidden="false" customHeight="false" outlineLevel="0" collapsed="false">
      <c r="A7" s="8" t="s">
        <v>59</v>
      </c>
      <c r="B7" s="18" t="n">
        <f aca="false">Inputs!B13*Inputs!C13</f>
        <v>3400000</v>
      </c>
      <c r="C7" s="18" t="n">
        <f aca="false">C6+B7</f>
        <v>28000000</v>
      </c>
    </row>
    <row r="8" customFormat="false" ht="15" hidden="false" customHeight="false" outlineLevel="0" collapsed="false">
      <c r="A8" s="8" t="s">
        <v>60</v>
      </c>
      <c r="B8" s="18" t="n">
        <f aca="false">Inputs!B14*Inputs!C14</f>
        <v>2900000</v>
      </c>
      <c r="C8" s="18" t="n">
        <f aca="false">C7+B8</f>
        <v>30900000</v>
      </c>
    </row>
    <row r="9" customFormat="false" ht="15" hidden="false" customHeight="false" outlineLevel="0" collapsed="false">
      <c r="A9" s="8" t="s">
        <v>61</v>
      </c>
      <c r="B9" s="18" t="n">
        <f aca="false">Inputs!B15*Inputs!C15</f>
        <v>4200000</v>
      </c>
      <c r="C9" s="18" t="n">
        <f aca="false">C8+B9</f>
        <v>35100000</v>
      </c>
    </row>
    <row r="10" customFormat="false" ht="15" hidden="false" customHeight="false" outlineLevel="0" collapsed="false">
      <c r="A10" s="8" t="s">
        <v>62</v>
      </c>
      <c r="B10" s="18" t="n">
        <f aca="false">Inputs!B16*Inputs!C16</f>
        <v>1100000</v>
      </c>
      <c r="C10" s="18" t="n">
        <f aca="false">C9+B10</f>
        <v>36200000</v>
      </c>
    </row>
    <row r="11" customFormat="false" ht="15" hidden="false" customHeight="false" outlineLevel="0" collapsed="false">
      <c r="A11" s="8" t="s">
        <v>63</v>
      </c>
      <c r="B11" s="18" t="n">
        <f aca="false">Inputs!B17*Inputs!C17</f>
        <v>800000</v>
      </c>
      <c r="C11" s="18" t="n">
        <f aca="false">C10+B11</f>
        <v>37000000</v>
      </c>
    </row>
    <row r="12" customFormat="false" ht="15" hidden="false" customHeight="false" outlineLevel="0" collapsed="false">
      <c r="A12" s="8" t="s">
        <v>64</v>
      </c>
      <c r="B12" s="18" t="n">
        <f aca="false">Inputs!B18*Inputs!C18</f>
        <v>600000</v>
      </c>
      <c r="C12" s="18" t="n">
        <f aca="false">C11+B12</f>
        <v>37600000</v>
      </c>
    </row>
    <row r="13" customFormat="false" ht="15" hidden="false" customHeight="false" outlineLevel="0" collapsed="false">
      <c r="A13" s="13" t="s">
        <v>65</v>
      </c>
      <c r="B13" s="14" t="n">
        <f aca="false">C12</f>
        <v>37600000</v>
      </c>
      <c r="C13" s="14" t="n">
        <f aca="false">B13</f>
        <v>37600000</v>
      </c>
    </row>
    <row r="14" customFormat="false" ht="15" hidden="false" customHeight="false" outlineLevel="0" collapsed="false">
      <c r="A14" s="8" t="s">
        <v>66</v>
      </c>
      <c r="B14" s="18" t="n">
        <f aca="false">-Inputs!B24*Inputs!C24</f>
        <v>-1740000</v>
      </c>
      <c r="C14" s="18" t="n">
        <f aca="false">C13+B14</f>
        <v>35860000</v>
      </c>
    </row>
    <row r="15" customFormat="false" ht="15" hidden="false" customHeight="false" outlineLevel="0" collapsed="false">
      <c r="A15" s="8" t="s">
        <v>67</v>
      </c>
      <c r="B15" s="18" t="n">
        <f aca="false">-Inputs!B25*Inputs!C25</f>
        <v>-1800000</v>
      </c>
      <c r="C15" s="18" t="n">
        <f aca="false">C14+B15</f>
        <v>34060000</v>
      </c>
    </row>
    <row r="16" customFormat="false" ht="15" hidden="false" customHeight="false" outlineLevel="0" collapsed="false">
      <c r="A16" s="8" t="s">
        <v>68</v>
      </c>
      <c r="B16" s="18" t="n">
        <f aca="false">-Inputs!B26*Inputs!C26</f>
        <v>-3400000</v>
      </c>
      <c r="C16" s="18" t="n">
        <f aca="false">C15+B16</f>
        <v>30660000</v>
      </c>
    </row>
    <row r="17" customFormat="false" ht="15" hidden="false" customHeight="false" outlineLevel="0" collapsed="false">
      <c r="A17" s="8" t="s">
        <v>69</v>
      </c>
      <c r="B17" s="18" t="n">
        <f aca="false">-Inputs!B27*Inputs!C27</f>
        <v>-2200000</v>
      </c>
      <c r="C17" s="18" t="n">
        <f aca="false">C16+B17</f>
        <v>28460000</v>
      </c>
    </row>
    <row r="18" customFormat="false" ht="15" hidden="false" customHeight="false" outlineLevel="0" collapsed="false">
      <c r="A18" s="13" t="s">
        <v>70</v>
      </c>
      <c r="B18" s="14" t="n">
        <f aca="false">C17</f>
        <v>28460000</v>
      </c>
      <c r="C18" s="14" t="n">
        <f aca="false">B18</f>
        <v>28460000</v>
      </c>
    </row>
    <row r="19" customFormat="false" ht="15" hidden="false" customHeight="false" outlineLevel="0" collapsed="false">
      <c r="A19" s="8" t="s">
        <v>71</v>
      </c>
      <c r="B19" s="18" t="n">
        <f aca="false">-Inputs!B32</f>
        <v>-6200000</v>
      </c>
      <c r="C19" s="18" t="n">
        <f aca="false">C18+B19</f>
        <v>22260000</v>
      </c>
    </row>
    <row r="20" customFormat="false" ht="15" hidden="false" customHeight="false" outlineLevel="0" collapsed="false">
      <c r="A20" s="8" t="s">
        <v>72</v>
      </c>
      <c r="B20" s="18" t="n">
        <f aca="false">-Inputs!B33</f>
        <v>-1600000</v>
      </c>
      <c r="C20" s="18" t="n">
        <f aca="false">C19+B20</f>
        <v>20660000</v>
      </c>
    </row>
    <row r="21" customFormat="false" ht="15" hidden="false" customHeight="false" outlineLevel="0" collapsed="false">
      <c r="A21" s="8" t="s">
        <v>73</v>
      </c>
      <c r="B21" s="18" t="n">
        <f aca="false">-Inputs!B34</f>
        <v>-2100000</v>
      </c>
      <c r="C21" s="18" t="n">
        <f aca="false">C20+B21</f>
        <v>18560000</v>
      </c>
    </row>
    <row r="22" customFormat="false" ht="15" hidden="false" customHeight="false" outlineLevel="0" collapsed="false">
      <c r="A22" s="13" t="s">
        <v>74</v>
      </c>
      <c r="B22" s="14" t="n">
        <f aca="false">C21</f>
        <v>18560000</v>
      </c>
      <c r="C22" s="14" t="n">
        <f aca="false">B22</f>
        <v>18560000</v>
      </c>
    </row>
    <row r="24" customFormat="false" ht="15" hidden="false" customHeight="false" outlineLevel="0" collapsed="false">
      <c r="A24" s="4" t="s">
        <v>75</v>
      </c>
      <c r="B24" s="7"/>
      <c r="C24" s="7"/>
    </row>
    <row r="26" customFormat="false" ht="15" hidden="false" customHeight="false" outlineLevel="0" collapsed="false">
      <c r="A26" s="13" t="s">
        <v>76</v>
      </c>
      <c r="B26" s="19" t="n">
        <f aca="false">Inputs!B19/B6</f>
        <v>0.528455284552846</v>
      </c>
    </row>
    <row r="27" customFormat="false" ht="15" hidden="false" customHeight="false" outlineLevel="0" collapsed="false">
      <c r="A27" s="13" t="s">
        <v>77</v>
      </c>
      <c r="B27" s="19" t="n">
        <f aca="false">Inputs!B19/B13</f>
        <v>0.345744680851064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5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6"/>
    <col collapsed="false" customWidth="true" hidden="false" outlineLevel="0" max="4" min="2" style="0" width="20"/>
    <col collapsed="false" customWidth="true" hidden="false" outlineLevel="0" max="5" min="5" style="0" width="22"/>
  </cols>
  <sheetData>
    <row r="1" customFormat="false" ht="24" hidden="false" customHeight="true" outlineLevel="0" collapsed="false">
      <c r="A1" s="1" t="s">
        <v>78</v>
      </c>
    </row>
    <row r="2" customFormat="false" ht="15" hidden="false" customHeight="false" outlineLevel="0" collapsed="false">
      <c r="A2" s="2" t="s">
        <v>79</v>
      </c>
    </row>
    <row r="3" customFormat="false" ht="15" hidden="false" customHeight="false" outlineLevel="0" collapsed="false">
      <c r="A3" s="3"/>
      <c r="B3" s="3"/>
      <c r="C3" s="3"/>
      <c r="D3" s="3"/>
      <c r="E3" s="3"/>
    </row>
    <row r="5" customFormat="false" ht="15" hidden="false" customHeight="false" outlineLevel="0" collapsed="false">
      <c r="A5" s="4" t="s">
        <v>80</v>
      </c>
      <c r="B5" s="7"/>
      <c r="C5" s="7"/>
      <c r="D5" s="7"/>
      <c r="E5" s="7"/>
    </row>
    <row r="7" customFormat="false" ht="15" hidden="false" customHeight="false" outlineLevel="0" collapsed="false">
      <c r="A7" s="8" t="s">
        <v>43</v>
      </c>
      <c r="B7" s="20" t="n">
        <f aca="false">Inputs!B39</f>
        <v>0.074</v>
      </c>
    </row>
    <row r="8" customFormat="false" ht="15" hidden="false" customHeight="false" outlineLevel="0" collapsed="false">
      <c r="A8" s="8" t="s">
        <v>44</v>
      </c>
      <c r="B8" s="20" t="n">
        <f aca="false">Inputs!B40</f>
        <v>0.034</v>
      </c>
    </row>
    <row r="9" customFormat="false" ht="15" hidden="false" customHeight="false" outlineLevel="0" collapsed="false">
      <c r="A9" s="13" t="s">
        <v>81</v>
      </c>
      <c r="B9" s="19" t="n">
        <f aca="false">B7-B8</f>
        <v>0.04</v>
      </c>
    </row>
    <row r="10" customFormat="false" ht="15" hidden="false" customHeight="false" outlineLevel="0" collapsed="false">
      <c r="A10" s="13" t="s">
        <v>82</v>
      </c>
      <c r="B10" s="14" t="n">
        <f aca="false">Inputs!B38*B9</f>
        <v>4800000</v>
      </c>
    </row>
    <row r="12" customFormat="false" ht="15" hidden="false" customHeight="false" outlineLevel="0" collapsed="false">
      <c r="A12" s="4" t="s">
        <v>83</v>
      </c>
      <c r="B12" s="7"/>
      <c r="C12" s="7"/>
      <c r="D12" s="7"/>
      <c r="E12" s="7"/>
    </row>
    <row r="14" customFormat="false" ht="15" hidden="false" customHeight="false" outlineLevel="0" collapsed="false">
      <c r="A14" s="8" t="s">
        <v>84</v>
      </c>
      <c r="B14" s="18" t="n">
        <f aca="false">Bridge!B18</f>
        <v>28460000</v>
      </c>
    </row>
    <row r="15" customFormat="false" ht="15" hidden="false" customHeight="false" outlineLevel="0" collapsed="false">
      <c r="A15" s="8" t="s">
        <v>85</v>
      </c>
      <c r="B15" s="18" t="n">
        <f aca="false">B14*(1+Inputs!B48*Inputs!B47)</f>
        <v>23451040</v>
      </c>
    </row>
    <row r="16" customFormat="false" ht="15" hidden="false" customHeight="false" outlineLevel="0" collapsed="false">
      <c r="A16" s="8" t="s">
        <v>86</v>
      </c>
      <c r="B16" s="21" t="n">
        <v>4</v>
      </c>
    </row>
    <row r="17" customFormat="false" ht="15" hidden="false" customHeight="false" outlineLevel="0" collapsed="false">
      <c r="A17" s="8" t="s">
        <v>87</v>
      </c>
      <c r="B17" s="18" t="n">
        <f aca="false">B16*B15</f>
        <v>93804160</v>
      </c>
    </row>
    <row r="18" customFormat="false" ht="15" hidden="false" customHeight="false" outlineLevel="0" collapsed="false">
      <c r="A18" s="13" t="s">
        <v>88</v>
      </c>
      <c r="B18" s="14" t="n">
        <f aca="false">B17*(1-Inputs!B49)</f>
        <v>88175910.4</v>
      </c>
    </row>
    <row r="19" customFormat="false" ht="15" hidden="false" customHeight="false" outlineLevel="0" collapsed="false">
      <c r="A19" s="13" t="s">
        <v>89</v>
      </c>
      <c r="B19" s="19" t="n">
        <f aca="false">MIN(Inputs!B38,B18)/Inputs!B38</f>
        <v>0.734799253333333</v>
      </c>
    </row>
    <row r="20" customFormat="false" ht="15" hidden="false" customHeight="false" outlineLevel="0" collapsed="false">
      <c r="A20" s="13" t="s">
        <v>90</v>
      </c>
      <c r="B20" s="19" t="n">
        <f aca="false">1-B19</f>
        <v>0.265200746666667</v>
      </c>
    </row>
    <row r="22" customFormat="false" ht="15" hidden="false" customHeight="false" outlineLevel="0" collapsed="false">
      <c r="A22" s="4" t="s">
        <v>91</v>
      </c>
      <c r="B22" s="7"/>
      <c r="C22" s="7"/>
      <c r="D22" s="7"/>
      <c r="E22" s="7"/>
    </row>
    <row r="24" customFormat="false" ht="15" hidden="false" customHeight="false" outlineLevel="0" collapsed="false">
      <c r="A24" s="8" t="s">
        <v>92</v>
      </c>
      <c r="B24" s="20" t="n">
        <f aca="false">Inputs!B50</f>
        <v>0.04</v>
      </c>
    </row>
    <row r="25" customFormat="false" ht="15" hidden="false" customHeight="false" outlineLevel="0" collapsed="false">
      <c r="A25" s="13" t="s">
        <v>93</v>
      </c>
      <c r="B25" s="19" t="n">
        <f aca="false">B24*B20</f>
        <v>0.0106080298666667</v>
      </c>
    </row>
    <row r="26" customFormat="false" ht="15" hidden="false" customHeight="false" outlineLevel="0" collapsed="false">
      <c r="A26" s="13" t="s">
        <v>94</v>
      </c>
      <c r="B26" s="14" t="n">
        <f aca="false">Inputs!B38*B25</f>
        <v>1272963.584</v>
      </c>
    </row>
    <row r="27" customFormat="false" ht="15" hidden="false" customHeight="false" outlineLevel="0" collapsed="false">
      <c r="A27" s="13" t="s">
        <v>95</v>
      </c>
      <c r="B27" s="19" t="n">
        <f aca="false">B25/B9</f>
        <v>0.265200746666667</v>
      </c>
    </row>
    <row r="28" customFormat="false" ht="15" hidden="false" customHeight="false" outlineLevel="0" collapsed="false">
      <c r="A28" s="13" t="s">
        <v>96</v>
      </c>
      <c r="B28" s="19" t="n">
        <f aca="false">B9-B25</f>
        <v>0.0293919701333333</v>
      </c>
    </row>
    <row r="29" customFormat="false" ht="15" hidden="false" customHeight="false" outlineLevel="0" collapsed="false">
      <c r="A29" s="8" t="s">
        <v>97</v>
      </c>
      <c r="B29" s="18" t="n">
        <f aca="false">Inputs!B38*B28</f>
        <v>3527036.416</v>
      </c>
    </row>
    <row r="31" customFormat="false" ht="15" hidden="false" customHeight="false" outlineLevel="0" collapsed="false">
      <c r="A31" s="4" t="s">
        <v>98</v>
      </c>
      <c r="B31" s="7"/>
      <c r="C31" s="7"/>
      <c r="D31" s="7"/>
      <c r="E31" s="7"/>
    </row>
    <row r="33" customFormat="false" ht="30" hidden="false" customHeight="true" outlineLevel="0" collapsed="false">
      <c r="A33" s="10" t="s">
        <v>99</v>
      </c>
      <c r="B33" s="11" t="s">
        <v>89</v>
      </c>
      <c r="C33" s="11" t="s">
        <v>90</v>
      </c>
      <c r="D33" s="11" t="s">
        <v>93</v>
      </c>
      <c r="E33" s="11" t="s">
        <v>100</v>
      </c>
    </row>
    <row r="34" customFormat="false" ht="15" hidden="false" customHeight="false" outlineLevel="0" collapsed="false">
      <c r="A34" s="8" t="s">
        <v>101</v>
      </c>
      <c r="B34" s="20" t="n">
        <f aca="false">MIN(Inputs!$B$38,3*$B$15*(1-Inputs!$B$49))/Inputs!$B$38</f>
        <v>0.55109944</v>
      </c>
      <c r="C34" s="20" t="n">
        <f aca="false">1-B34</f>
        <v>0.44890056</v>
      </c>
      <c r="D34" s="20" t="n">
        <f aca="false">$B$24*C34</f>
        <v>0.0179560224</v>
      </c>
      <c r="E34" s="20" t="n">
        <f aca="false">$B$9/C34</f>
        <v>0.089106594119642</v>
      </c>
    </row>
    <row r="35" customFormat="false" ht="15" hidden="false" customHeight="false" outlineLevel="0" collapsed="false">
      <c r="A35" s="22" t="s">
        <v>102</v>
      </c>
      <c r="B35" s="23" t="n">
        <f aca="false">MIN(Inputs!$B$38,3.5*$B$15*(1-Inputs!$B$49))/Inputs!$B$38</f>
        <v>0.642949346666667</v>
      </c>
      <c r="C35" s="23" t="n">
        <f aca="false">1-B35</f>
        <v>0.357050653333333</v>
      </c>
      <c r="D35" s="23" t="n">
        <f aca="false">$B$24*C35</f>
        <v>0.0142820261333333</v>
      </c>
      <c r="E35" s="23" t="n">
        <f aca="false">$B$9/C35</f>
        <v>0.112028922581629</v>
      </c>
    </row>
    <row r="36" customFormat="false" ht="15" hidden="false" customHeight="false" outlineLevel="0" collapsed="false">
      <c r="A36" s="8" t="s">
        <v>103</v>
      </c>
      <c r="B36" s="20" t="n">
        <f aca="false">MIN(Inputs!$B$38,4*$B$15*(1-Inputs!$B$49))/Inputs!$B$38</f>
        <v>0.734799253333333</v>
      </c>
      <c r="C36" s="20" t="n">
        <f aca="false">1-B36</f>
        <v>0.265200746666667</v>
      </c>
      <c r="D36" s="20" t="n">
        <f aca="false">$B$24*C36</f>
        <v>0.0106080298666667</v>
      </c>
      <c r="E36" s="19" t="n">
        <f aca="false">$B$9/C36</f>
        <v>0.150829137937068</v>
      </c>
    </row>
    <row r="37" customFormat="false" ht="15" hidden="false" customHeight="false" outlineLevel="0" collapsed="false">
      <c r="A37" s="22" t="s">
        <v>104</v>
      </c>
      <c r="B37" s="23" t="n">
        <f aca="false">MIN(Inputs!$B$38,4.5*$B$15*(1-Inputs!$B$49))/Inputs!$B$38</f>
        <v>0.82664916</v>
      </c>
      <c r="C37" s="23" t="n">
        <f aca="false">1-B37</f>
        <v>0.17335084</v>
      </c>
      <c r="D37" s="23" t="n">
        <f aca="false">$B$24*C37</f>
        <v>0.00693403360000001</v>
      </c>
      <c r="E37" s="23" t="n">
        <f aca="false">$B$9/C37</f>
        <v>0.230745925430762</v>
      </c>
    </row>
    <row r="38" customFormat="false" ht="15" hidden="false" customHeight="false" outlineLevel="0" collapsed="false">
      <c r="A38" s="8" t="s">
        <v>105</v>
      </c>
      <c r="B38" s="20" t="n">
        <f aca="false">MIN(Inputs!$B$38,5*$B$15*(1-Inputs!$B$49))/Inputs!$B$38</f>
        <v>0.918499066666667</v>
      </c>
      <c r="C38" s="20" t="n">
        <f aca="false">1-B38</f>
        <v>0.0815009333333333</v>
      </c>
      <c r="D38" s="20" t="n">
        <f aca="false">$B$24*C38</f>
        <v>0.00326003733333333</v>
      </c>
      <c r="E38" s="20" t="n">
        <f aca="false">$B$9/C38</f>
        <v>0.490791925491242</v>
      </c>
    </row>
    <row r="40" customFormat="false" ht="15" hidden="false" customHeight="false" outlineLevel="0" collapsed="false">
      <c r="A40" s="24" t="s">
        <v>106</v>
      </c>
    </row>
    <row r="42" customFormat="false" ht="15" hidden="false" customHeight="false" outlineLevel="0" collapsed="false">
      <c r="A42" s="4" t="s">
        <v>107</v>
      </c>
      <c r="B42" s="7"/>
      <c r="C42" s="7"/>
      <c r="D42" s="7"/>
      <c r="E42" s="7"/>
    </row>
    <row r="44" customFormat="false" ht="15" hidden="false" customHeight="false" outlineLevel="0" collapsed="false">
      <c r="A44" s="24" t="s">
        <v>108</v>
      </c>
    </row>
    <row r="46" customFormat="false" ht="30" hidden="false" customHeight="true" outlineLevel="0" collapsed="false">
      <c r="A46" s="10" t="s">
        <v>109</v>
      </c>
      <c r="B46" s="11" t="s">
        <v>110</v>
      </c>
      <c r="C46" s="11" t="s">
        <v>89</v>
      </c>
      <c r="D46" s="11" t="s">
        <v>90</v>
      </c>
      <c r="E46" s="11" t="s">
        <v>93</v>
      </c>
    </row>
    <row r="47" customFormat="false" ht="15" hidden="false" customHeight="false" outlineLevel="0" collapsed="false">
      <c r="A47" s="8" t="s">
        <v>111</v>
      </c>
      <c r="B47" s="18" t="n">
        <f aca="false">Inputs!$B$38*(1-1*Inputs!$B$41)</f>
        <v>114000000</v>
      </c>
      <c r="C47" s="20" t="n">
        <f aca="false">MIN(B47,$B$18)/B47</f>
        <v>0.773472898245614</v>
      </c>
      <c r="D47" s="20" t="n">
        <f aca="false">1-C47</f>
        <v>0.226527101754386</v>
      </c>
      <c r="E47" s="20" t="n">
        <f aca="false">$B$24*D47</f>
        <v>0.00906108407017544</v>
      </c>
    </row>
    <row r="48" customFormat="false" ht="15" hidden="false" customHeight="false" outlineLevel="0" collapsed="false">
      <c r="A48" s="22" t="s">
        <v>112</v>
      </c>
      <c r="B48" s="25" t="n">
        <f aca="false">Inputs!$B$38*(1-2*Inputs!$B$41)</f>
        <v>108000000</v>
      </c>
      <c r="C48" s="23" t="n">
        <f aca="false">MIN(B48,$B$18)/B48</f>
        <v>0.816443614814815</v>
      </c>
      <c r="D48" s="23" t="n">
        <f aca="false">1-C48</f>
        <v>0.183556385185185</v>
      </c>
      <c r="E48" s="23" t="n">
        <f aca="false">$B$24*D48</f>
        <v>0.00734225540740741</v>
      </c>
    </row>
    <row r="49" customFormat="false" ht="15" hidden="false" customHeight="false" outlineLevel="0" collapsed="false">
      <c r="A49" s="8" t="s">
        <v>113</v>
      </c>
      <c r="B49" s="18" t="n">
        <f aca="false">Inputs!$B$38*(1-3*Inputs!$B$41)</f>
        <v>102000000</v>
      </c>
      <c r="C49" s="20" t="n">
        <f aca="false">MIN(B49,$B$18)/B49</f>
        <v>0.864469709803922</v>
      </c>
      <c r="D49" s="20" t="n">
        <f aca="false">1-C49</f>
        <v>0.135530290196079</v>
      </c>
      <c r="E49" s="20" t="n">
        <f aca="false">$B$24*D49</f>
        <v>0.00542121160784314</v>
      </c>
    </row>
    <row r="50" customFormat="false" ht="15" hidden="false" customHeight="false" outlineLevel="0" collapsed="false">
      <c r="A50" s="22" t="s">
        <v>114</v>
      </c>
      <c r="B50" s="25" t="n">
        <f aca="false">Inputs!$B$38*(1-4*Inputs!$B$41)</f>
        <v>96000000</v>
      </c>
      <c r="C50" s="23" t="n">
        <f aca="false">MIN(B50,$B$18)/B50</f>
        <v>0.918499066666667</v>
      </c>
      <c r="D50" s="23" t="n">
        <f aca="false">1-C50</f>
        <v>0.0815009333333334</v>
      </c>
      <c r="E50" s="23" t="n">
        <f aca="false">$B$24*D50</f>
        <v>0.00326003733333334</v>
      </c>
    </row>
    <row r="52" customFormat="false" ht="15" hidden="false" customHeight="false" outlineLevel="0" collapsed="false">
      <c r="A52" s="13" t="s">
        <v>115</v>
      </c>
      <c r="B52" s="19" t="n">
        <f aca="false">AVERAGE(D47:D50)</f>
        <v>0.156778677617246</v>
      </c>
    </row>
    <row r="53" customFormat="false" ht="15" hidden="false" customHeight="false" outlineLevel="0" collapsed="false">
      <c r="A53" s="13" t="s">
        <v>116</v>
      </c>
      <c r="B53" s="19" t="n">
        <f aca="false">AVERAGE(E47:E50)</f>
        <v>0.00627114710468983</v>
      </c>
    </row>
    <row r="54" customFormat="false" ht="15" hidden="false" customHeight="false" outlineLevel="0" collapsed="false">
      <c r="A54" s="8" t="s">
        <v>117</v>
      </c>
      <c r="B54" s="20" t="n">
        <f aca="false">B25</f>
        <v>0.0106080298666667</v>
      </c>
    </row>
    <row r="55" customFormat="false" ht="15" hidden="false" customHeight="false" outlineLevel="0" collapsed="false">
      <c r="A55" s="13" t="s">
        <v>118</v>
      </c>
      <c r="B55" s="19" t="n">
        <f aca="false">B54-B53</f>
        <v>0.00433688276197684</v>
      </c>
    </row>
    <row r="56" customFormat="false" ht="15" hidden="false" customHeight="false" outlineLevel="0" collapsed="false">
      <c r="A56" s="24" t="s">
        <v>119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7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6"/>
    <col collapsed="false" customWidth="true" hidden="false" outlineLevel="0" max="4" min="2" style="0" width="20"/>
  </cols>
  <sheetData>
    <row r="1" customFormat="false" ht="24" hidden="false" customHeight="true" outlineLevel="0" collapsed="false">
      <c r="A1" s="1" t="s">
        <v>120</v>
      </c>
    </row>
    <row r="2" customFormat="false" ht="15" hidden="false" customHeight="false" outlineLevel="0" collapsed="false">
      <c r="A2" s="2" t="s">
        <v>121</v>
      </c>
    </row>
    <row r="3" customFormat="false" ht="15" hidden="false" customHeight="false" outlineLevel="0" collapsed="false">
      <c r="A3" s="3"/>
      <c r="B3" s="3"/>
      <c r="C3" s="3"/>
      <c r="D3" s="3"/>
    </row>
    <row r="5" customFormat="false" ht="15" hidden="false" customHeight="false" outlineLevel="0" collapsed="false">
      <c r="A5" s="8" t="s">
        <v>122</v>
      </c>
      <c r="B5" s="26" t="n">
        <v>4</v>
      </c>
    </row>
    <row r="6" customFormat="false" ht="15" hidden="false" customHeight="false" outlineLevel="0" collapsed="false">
      <c r="A6" s="8" t="s">
        <v>84</v>
      </c>
      <c r="B6" s="18" t="n">
        <f aca="false">Bridge!B18</f>
        <v>28460000</v>
      </c>
    </row>
    <row r="8" customFormat="false" ht="15" hidden="false" customHeight="false" outlineLevel="0" collapsed="false">
      <c r="A8" s="4" t="s">
        <v>123</v>
      </c>
      <c r="B8" s="7"/>
      <c r="C8" s="7"/>
      <c r="D8" s="7"/>
    </row>
    <row r="10" customFormat="false" ht="30" hidden="false" customHeight="true" outlineLevel="0" collapsed="false">
      <c r="A10" s="10"/>
      <c r="B10" s="11" t="s">
        <v>124</v>
      </c>
      <c r="C10" s="11" t="s">
        <v>125</v>
      </c>
      <c r="D10" s="11" t="s">
        <v>126</v>
      </c>
    </row>
    <row r="11" customFormat="false" ht="15" hidden="false" customHeight="false" outlineLevel="0" collapsed="false">
      <c r="A11" s="8" t="s">
        <v>127</v>
      </c>
      <c r="B11" s="27" t="n">
        <f aca="false">Inputs!B42</f>
        <v>4.25</v>
      </c>
      <c r="C11" s="18" t="n">
        <f aca="false">Inputs!B38/B11</f>
        <v>28235294.1176471</v>
      </c>
      <c r="D11" s="20" t="n">
        <f aca="false">1-C11/$B$6</f>
        <v>0.00789549832582359</v>
      </c>
    </row>
    <row r="12" customFormat="false" ht="15" hidden="false" customHeight="false" outlineLevel="0" collapsed="false">
      <c r="A12" s="13" t="s">
        <v>128</v>
      </c>
      <c r="B12" s="28" t="n">
        <f aca="false">Inputs!B51</f>
        <v>5.25</v>
      </c>
      <c r="C12" s="14" t="n">
        <f aca="false">Inputs!B38/B12</f>
        <v>22857142.8571429</v>
      </c>
      <c r="D12" s="19" t="n">
        <f aca="false">1-C12/$B$6</f>
        <v>0.196867784359</v>
      </c>
    </row>
    <row r="13" customFormat="false" ht="15" hidden="false" customHeight="false" outlineLevel="0" collapsed="false">
      <c r="A13" s="13" t="s">
        <v>129</v>
      </c>
      <c r="B13" s="19" t="n">
        <f aca="false">D12-D11</f>
        <v>0.188972286033177</v>
      </c>
    </row>
    <row r="15" customFormat="false" ht="15" hidden="false" customHeight="false" outlineLevel="0" collapsed="false">
      <c r="A15" s="4" t="s">
        <v>130</v>
      </c>
      <c r="B15" s="7"/>
      <c r="C15" s="7"/>
      <c r="D15" s="7"/>
    </row>
    <row r="17" customFormat="false" ht="15" hidden="false" customHeight="false" outlineLevel="0" collapsed="false">
      <c r="A17" s="8" t="s">
        <v>131</v>
      </c>
      <c r="B17" s="20" t="n">
        <f aca="false">Inputs!B52</f>
        <v>0.01</v>
      </c>
    </row>
    <row r="18" customFormat="false" ht="15" hidden="false" customHeight="false" outlineLevel="0" collapsed="false">
      <c r="A18" s="13" t="s">
        <v>54</v>
      </c>
      <c r="B18" s="14" t="n">
        <f aca="false">Inputs!B38*Inputs!B52</f>
        <v>1200000</v>
      </c>
    </row>
    <row r="19" customFormat="false" ht="15" hidden="false" customHeight="false" outlineLevel="0" collapsed="false">
      <c r="A19" s="8" t="s">
        <v>55</v>
      </c>
      <c r="B19" s="20" t="n">
        <f aca="false">Inputs!B53</f>
        <v>0.005</v>
      </c>
    </row>
    <row r="20" customFormat="false" ht="15" hidden="false" customHeight="false" outlineLevel="0" collapsed="false">
      <c r="A20" s="13" t="s">
        <v>132</v>
      </c>
      <c r="B20" s="14" t="n">
        <f aca="false">Inputs!B38*Inputs!B53</f>
        <v>600000</v>
      </c>
    </row>
    <row r="21" customFormat="false" ht="15" hidden="false" customHeight="false" outlineLevel="0" collapsed="false">
      <c r="A21" s="13" t="s">
        <v>133</v>
      </c>
      <c r="B21" s="14" t="n">
        <f aca="false">B18+B5*B20</f>
        <v>3600000</v>
      </c>
    </row>
    <row r="23" customFormat="false" ht="15" hidden="false" customHeight="false" outlineLevel="0" collapsed="false">
      <c r="A23" s="4" t="s">
        <v>134</v>
      </c>
      <c r="B23" s="7"/>
      <c r="C23" s="7"/>
      <c r="D23" s="7"/>
    </row>
    <row r="25" customFormat="false" ht="30" hidden="false" customHeight="true" outlineLevel="0" collapsed="false">
      <c r="A25" s="10" t="s">
        <v>109</v>
      </c>
      <c r="B25" s="11" t="s">
        <v>135</v>
      </c>
      <c r="C25" s="11" t="s">
        <v>136</v>
      </c>
      <c r="D25" s="11"/>
    </row>
    <row r="26" customFormat="false" ht="15" hidden="false" customHeight="false" outlineLevel="0" collapsed="false">
      <c r="A26" s="8" t="s">
        <v>111</v>
      </c>
      <c r="B26" s="18" t="n">
        <f aca="false">Inputs!$B$38*(1-0*Inputs!$B$41)</f>
        <v>120000000</v>
      </c>
      <c r="C26" s="18" t="n">
        <f aca="false">B26*Inputs!$B$53</f>
        <v>600000</v>
      </c>
    </row>
    <row r="27" customFormat="false" ht="15" hidden="false" customHeight="false" outlineLevel="0" collapsed="false">
      <c r="A27" s="22" t="s">
        <v>112</v>
      </c>
      <c r="B27" s="25" t="n">
        <f aca="false">Inputs!$B$38*(1-1*Inputs!$B$41)</f>
        <v>114000000</v>
      </c>
      <c r="C27" s="25" t="n">
        <f aca="false">B27*Inputs!$B$53</f>
        <v>570000</v>
      </c>
      <c r="D27" s="29"/>
    </row>
    <row r="28" customFormat="false" ht="15" hidden="false" customHeight="false" outlineLevel="0" collapsed="false">
      <c r="A28" s="8" t="s">
        <v>113</v>
      </c>
      <c r="B28" s="18" t="n">
        <f aca="false">Inputs!$B$38*(1-2*Inputs!$B$41)</f>
        <v>108000000</v>
      </c>
      <c r="C28" s="18" t="n">
        <f aca="false">B28*Inputs!$B$53</f>
        <v>540000</v>
      </c>
    </row>
    <row r="29" customFormat="false" ht="15" hidden="false" customHeight="false" outlineLevel="0" collapsed="false">
      <c r="A29" s="22" t="s">
        <v>114</v>
      </c>
      <c r="B29" s="25" t="n">
        <f aca="false">Inputs!$B$38*(1-3*Inputs!$B$41)</f>
        <v>102000000</v>
      </c>
      <c r="C29" s="25" t="n">
        <f aca="false">B29*Inputs!$B$53</f>
        <v>510000</v>
      </c>
      <c r="D29" s="29"/>
    </row>
    <row r="30" customFormat="false" ht="15" hidden="false" customHeight="false" outlineLevel="0" collapsed="false">
      <c r="A30" s="13" t="s">
        <v>137</v>
      </c>
      <c r="B30" s="14" t="n">
        <f aca="false">SUM(C26:C29)</f>
        <v>2220000</v>
      </c>
    </row>
    <row r="31" customFormat="false" ht="15" hidden="false" customHeight="false" outlineLevel="0" collapsed="false">
      <c r="A31" s="13" t="s">
        <v>138</v>
      </c>
      <c r="B31" s="14" t="n">
        <f aca="false">B18+B30</f>
        <v>3420000</v>
      </c>
    </row>
    <row r="32" customFormat="false" ht="15" hidden="false" customHeight="false" outlineLevel="0" collapsed="false">
      <c r="A32" s="24" t="s">
        <v>139</v>
      </c>
    </row>
    <row r="34" customFormat="false" ht="15" hidden="false" customHeight="false" outlineLevel="0" collapsed="false">
      <c r="A34" s="4" t="s">
        <v>140</v>
      </c>
      <c r="B34" s="7"/>
      <c r="C34" s="7"/>
      <c r="D34" s="7"/>
    </row>
    <row r="36" customFormat="false" ht="15" hidden="false" customHeight="false" outlineLevel="0" collapsed="false">
      <c r="A36" s="13" t="s">
        <v>141</v>
      </c>
      <c r="B36" s="14" t="n">
        <f aca="false">B21/(B13*100)</f>
        <v>190504.125</v>
      </c>
    </row>
    <row r="37" customFormat="false" ht="15" hidden="false" customHeight="false" outlineLevel="0" collapsed="false">
      <c r="A37" s="8" t="s">
        <v>142</v>
      </c>
      <c r="B37" s="20" t="n">
        <f aca="false">B18/(Inputs!B38*Inputs!B39)</f>
        <v>0.135135135135135</v>
      </c>
    </row>
    <row r="38" customFormat="false" ht="15" hidden="false" customHeight="false" outlineLevel="0" collapsed="false">
      <c r="A38" s="8" t="s">
        <v>143</v>
      </c>
      <c r="B38" s="20" t="n">
        <f aca="false">B18/Pricing!B26</f>
        <v>0.942682112106673</v>
      </c>
    </row>
    <row r="39" customFormat="false" ht="15" hidden="false" customHeight="false" outlineLevel="0" collapsed="false">
      <c r="A39" s="8" t="s">
        <v>144</v>
      </c>
      <c r="B39" s="20" t="n">
        <f aca="false">B21/B6</f>
        <v>0.126493323963457</v>
      </c>
    </row>
    <row r="41" customFormat="false" ht="15" hidden="false" customHeight="false" outlineLevel="0" collapsed="false">
      <c r="A41" s="4" t="s">
        <v>145</v>
      </c>
      <c r="B41" s="7"/>
      <c r="C41" s="7"/>
      <c r="D41" s="7"/>
    </row>
    <row r="43" customFormat="false" ht="30" hidden="false" customHeight="true" outlineLevel="0" collapsed="false">
      <c r="A43" s="10" t="s">
        <v>146</v>
      </c>
      <c r="B43" s="11" t="s">
        <v>147</v>
      </c>
      <c r="C43" s="11" t="s">
        <v>148</v>
      </c>
      <c r="D43" s="11" t="s">
        <v>149</v>
      </c>
    </row>
    <row r="44" customFormat="false" ht="15" hidden="false" customHeight="false" outlineLevel="0" collapsed="false">
      <c r="A44" s="8" t="s">
        <v>150</v>
      </c>
      <c r="B44" s="18" t="n">
        <f aca="false">Bridge!B22</f>
        <v>18560000</v>
      </c>
      <c r="C44" s="18" t="n">
        <f aca="false">(Inputs!$B$38*Inputs!$B$39+Inputs!$B$38*Inputs!$B$41)</f>
        <v>14880000</v>
      </c>
      <c r="D44" s="27" t="n">
        <f aca="false">B44/C44</f>
        <v>1.24731182795699</v>
      </c>
    </row>
    <row r="45" customFormat="false" ht="15" hidden="false" customHeight="false" outlineLevel="0" collapsed="false">
      <c r="A45" s="22" t="s">
        <v>151</v>
      </c>
      <c r="B45" s="25" t="n">
        <f aca="false">B44</f>
        <v>18560000</v>
      </c>
      <c r="C45" s="25" t="n">
        <f aca="false">(Inputs!$B$38*Inputs!$B$39+Inputs!$B$38*Inputs!$B$41)+$B$20</f>
        <v>15480000</v>
      </c>
      <c r="D45" s="30" t="n">
        <f aca="false">B45/C45</f>
        <v>1.19896640826873</v>
      </c>
    </row>
    <row r="46" customFormat="false" ht="15" hidden="false" customHeight="false" outlineLevel="0" collapsed="false">
      <c r="A46" s="8" t="s">
        <v>152</v>
      </c>
      <c r="B46" s="18" t="n">
        <f aca="false">B44-$B$18</f>
        <v>17360000</v>
      </c>
      <c r="C46" s="18" t="n">
        <f aca="false">C45</f>
        <v>15480000</v>
      </c>
      <c r="D46" s="27" t="n">
        <f aca="false">B46/C46</f>
        <v>1.12144702842377</v>
      </c>
    </row>
    <row r="47" customFormat="false" ht="15" hidden="false" customHeight="false" outlineLevel="0" collapsed="false">
      <c r="A47" s="31" t="s">
        <v>153</v>
      </c>
      <c r="B47" s="32" t="n">
        <f aca="false">B44-$B$18-$B$20</f>
        <v>16760000</v>
      </c>
      <c r="C47" s="32" t="n">
        <f aca="false">C45</f>
        <v>15480000</v>
      </c>
      <c r="D47" s="33" t="n">
        <f aca="false">B47/C47</f>
        <v>1.08268733850129</v>
      </c>
    </row>
    <row r="49" customFormat="false" ht="15" hidden="false" customHeight="false" outlineLevel="0" collapsed="false">
      <c r="A49" s="13" t="s">
        <v>154</v>
      </c>
      <c r="B49" s="28" t="n">
        <f aca="false">D44-D47</f>
        <v>0.164624489455697</v>
      </c>
    </row>
    <row r="50" customFormat="false" ht="15" hidden="false" customHeight="false" outlineLevel="0" collapsed="false">
      <c r="A50" s="8" t="s">
        <v>155</v>
      </c>
      <c r="B50" s="27" t="n">
        <f aca="false">D44-D46</f>
        <v>0.125864799533217</v>
      </c>
    </row>
    <row r="51" customFormat="false" ht="15" hidden="false" customHeight="false" outlineLevel="0" collapsed="false">
      <c r="A51" s="13" t="s">
        <v>156</v>
      </c>
      <c r="B51" s="28" t="n">
        <f aca="false">D44-Inputs!B43</f>
        <v>0.0473118279569893</v>
      </c>
    </row>
    <row r="52" customFormat="false" ht="15" hidden="false" customHeight="false" outlineLevel="0" collapsed="false">
      <c r="A52" s="8" t="s">
        <v>157</v>
      </c>
      <c r="B52" s="18" t="n">
        <f aca="false">Inputs!B43*C45</f>
        <v>18576000</v>
      </c>
    </row>
    <row r="53" customFormat="false" ht="15" hidden="false" customHeight="false" outlineLevel="0" collapsed="false">
      <c r="A53" s="13" t="s">
        <v>158</v>
      </c>
      <c r="B53" s="14" t="n">
        <f aca="false">B52-B45</f>
        <v>16000</v>
      </c>
    </row>
    <row r="54" customFormat="false" ht="15" hidden="false" customHeight="false" outlineLevel="0" collapsed="false">
      <c r="A54" s="24" t="s">
        <v>159</v>
      </c>
    </row>
    <row r="56" customFormat="false" ht="15" hidden="false" customHeight="false" outlineLevel="0" collapsed="false">
      <c r="A56" s="4" t="s">
        <v>160</v>
      </c>
      <c r="B56" s="7"/>
      <c r="C56" s="7"/>
      <c r="D56" s="7"/>
    </row>
    <row r="58" customFormat="false" ht="15" hidden="false" customHeight="false" outlineLevel="0" collapsed="false">
      <c r="A58" s="8" t="s">
        <v>161</v>
      </c>
      <c r="B58" s="27" t="n">
        <f aca="false">(B44+Inputs!B32)/(Inputs!$B$38*Inputs!$B$39+Inputs!$B$38*Inputs!$B$41)</f>
        <v>1.66397849462366</v>
      </c>
    </row>
    <row r="59" customFormat="false" ht="15" hidden="false" customHeight="false" outlineLevel="0" collapsed="false">
      <c r="A59" s="13" t="s">
        <v>162</v>
      </c>
      <c r="B59" s="28" t="n">
        <f aca="false">B58-D44</f>
        <v>0.416666666666667</v>
      </c>
    </row>
    <row r="60" customFormat="false" ht="15" hidden="false" customHeight="false" outlineLevel="0" collapsed="false">
      <c r="A60" s="8" t="s">
        <v>163</v>
      </c>
      <c r="B60" s="27" t="n">
        <f aca="false">(B44+Inputs!B32/2)/(Inputs!$B$38*Inputs!$B$39+Inputs!$B$38*Inputs!$B$41)</f>
        <v>1.45564516129032</v>
      </c>
    </row>
    <row r="61" customFormat="false" ht="15" hidden="false" customHeight="false" outlineLevel="0" collapsed="false">
      <c r="A61" s="24" t="s">
        <v>164</v>
      </c>
    </row>
    <row r="63" customFormat="false" ht="15" hidden="false" customHeight="false" outlineLevel="0" collapsed="false">
      <c r="A63" s="4" t="s">
        <v>165</v>
      </c>
      <c r="B63" s="7"/>
      <c r="C63" s="7"/>
      <c r="D63" s="7"/>
    </row>
    <row r="65" customFormat="false" ht="15" hidden="false" customHeight="false" outlineLevel="0" collapsed="false">
      <c r="A65" s="8" t="s">
        <v>166</v>
      </c>
      <c r="B65" s="18" t="n">
        <f aca="false">Pricing!B18</f>
        <v>88175910.4</v>
      </c>
    </row>
    <row r="66" customFormat="false" ht="15" hidden="false" customHeight="false" outlineLevel="0" collapsed="false">
      <c r="A66" s="8" t="s">
        <v>167</v>
      </c>
      <c r="B66" s="18" t="n">
        <f aca="false">Pricing!B15*(1+Inputs!B48*Inputs!B47)</f>
        <v>19323656.96</v>
      </c>
    </row>
    <row r="67" customFormat="false" ht="15" hidden="false" customHeight="false" outlineLevel="0" collapsed="false">
      <c r="A67" s="13" t="s">
        <v>168</v>
      </c>
      <c r="B67" s="14" t="n">
        <f aca="false">B66*Pricing!B16*(1-Inputs!B49)</f>
        <v>72656950.1696</v>
      </c>
    </row>
    <row r="68" customFormat="false" ht="15" hidden="false" customHeight="false" outlineLevel="0" collapsed="false">
      <c r="A68" s="13" t="s">
        <v>169</v>
      </c>
      <c r="B68" s="14" t="n">
        <f aca="false">B65-B67</f>
        <v>15518960.2304</v>
      </c>
    </row>
    <row r="69" customFormat="false" ht="15" hidden="false" customHeight="false" outlineLevel="0" collapsed="false">
      <c r="A69" s="13" t="s">
        <v>170</v>
      </c>
      <c r="B69" s="34" t="n">
        <f aca="false">B68/B21</f>
        <v>4.31082228622223</v>
      </c>
    </row>
    <row r="70" customFormat="false" ht="15" hidden="false" customHeight="false" outlineLevel="0" collapsed="false">
      <c r="A70" s="8" t="s">
        <v>171</v>
      </c>
      <c r="B70" s="35" t="n">
        <f aca="false">B68/B18</f>
        <v>12.9324668586667</v>
      </c>
    </row>
    <row r="71" customFormat="false" ht="15" hidden="false" customHeight="false" outlineLevel="0" collapsed="false">
      <c r="A71" s="24" t="s">
        <v>172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7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66"/>
    <col collapsed="false" customWidth="true" hidden="false" outlineLevel="0" max="5" min="2" style="0" width="20"/>
    <col collapsed="false" customWidth="true" hidden="false" outlineLevel="0" max="6" min="6" style="0" width="44"/>
  </cols>
  <sheetData>
    <row r="1" customFormat="false" ht="19.7" hidden="false" customHeight="false" outlineLevel="0" collapsed="false">
      <c r="A1" s="36" t="s">
        <v>173</v>
      </c>
    </row>
    <row r="2" customFormat="false" ht="15" hidden="false" customHeight="false" outlineLevel="0" collapsed="false">
      <c r="A2" s="37" t="s">
        <v>174</v>
      </c>
    </row>
    <row r="5" customFormat="false" ht="15" hidden="false" customHeight="false" outlineLevel="0" collapsed="false">
      <c r="A5" s="6" t="s">
        <v>175</v>
      </c>
    </row>
    <row r="7" customFormat="false" ht="15" hidden="false" customHeight="false" outlineLevel="0" collapsed="false">
      <c r="A7" s="38" t="s">
        <v>109</v>
      </c>
      <c r="B7" s="38" t="s">
        <v>176</v>
      </c>
      <c r="C7" s="38" t="s">
        <v>81</v>
      </c>
    </row>
    <row r="8" customFormat="false" ht="15" hidden="false" customHeight="false" outlineLevel="0" collapsed="false">
      <c r="A8" s="39" t="n">
        <v>1</v>
      </c>
      <c r="B8" s="18" t="n">
        <f aca="false">Inputs!$B$38*(1-Inputs!$B$41*(A8-1))</f>
        <v>120000000</v>
      </c>
      <c r="C8" s="18" t="n">
        <f aca="false">B8*Pricing!$B$9</f>
        <v>4800000</v>
      </c>
    </row>
    <row r="9" customFormat="false" ht="15" hidden="false" customHeight="false" outlineLevel="0" collapsed="false">
      <c r="A9" s="39" t="n">
        <v>2</v>
      </c>
      <c r="B9" s="18" t="n">
        <f aca="false">Inputs!$B$38*(1-Inputs!$B$41*(A9-1))</f>
        <v>114000000</v>
      </c>
      <c r="C9" s="18" t="n">
        <f aca="false">B9*Pricing!$B$9</f>
        <v>4560000</v>
      </c>
    </row>
    <row r="10" customFormat="false" ht="15" hidden="false" customHeight="false" outlineLevel="0" collapsed="false">
      <c r="A10" s="39" t="n">
        <v>3</v>
      </c>
      <c r="B10" s="18" t="n">
        <f aca="false">Inputs!$B$38*(1-Inputs!$B$41*(A10-1))</f>
        <v>108000000</v>
      </c>
      <c r="C10" s="18" t="n">
        <f aca="false">B10*Pricing!$B$9</f>
        <v>4320000</v>
      </c>
    </row>
    <row r="11" customFormat="false" ht="15" hidden="false" customHeight="false" outlineLevel="0" collapsed="false">
      <c r="A11" s="39" t="n">
        <v>4</v>
      </c>
      <c r="B11" s="18" t="n">
        <f aca="false">Inputs!$B$38*(1-Inputs!$B$41*(A11-1))</f>
        <v>102000000</v>
      </c>
      <c r="C11" s="18" t="n">
        <f aca="false">B11*Pricing!$B$9</f>
        <v>4080000</v>
      </c>
    </row>
    <row r="12" customFormat="false" ht="15" hidden="false" customHeight="false" outlineLevel="0" collapsed="false">
      <c r="A12" s="8" t="s">
        <v>177</v>
      </c>
      <c r="B12" s="14" t="n">
        <f aca="false">SUM(C8:C11)</f>
        <v>17760000</v>
      </c>
    </row>
    <row r="13" customFormat="false" ht="15" hidden="false" customHeight="false" outlineLevel="0" collapsed="false">
      <c r="A13" s="8" t="s">
        <v>178</v>
      </c>
      <c r="B13" s="20" t="n">
        <f aca="false">'Margin and Monitoring'!$B$12/Inputs!$B$38</f>
        <v>0.148</v>
      </c>
    </row>
    <row r="14" customFormat="false" ht="15" hidden="false" customHeight="false" outlineLevel="0" collapsed="false">
      <c r="A14" s="8" t="s">
        <v>179</v>
      </c>
      <c r="B14" s="18" t="n">
        <f aca="false">C8+C9</f>
        <v>9360000</v>
      </c>
    </row>
    <row r="15" customFormat="false" ht="15" hidden="false" customHeight="false" outlineLevel="0" collapsed="false">
      <c r="A15" s="8" t="s">
        <v>178</v>
      </c>
      <c r="B15" s="20" t="n">
        <f aca="false">'Margin and Monitoring'!$B$14/Inputs!$B$38</f>
        <v>0.078</v>
      </c>
    </row>
    <row r="16" customFormat="false" ht="15" hidden="false" customHeight="false" outlineLevel="0" collapsed="false">
      <c r="A16" s="8" t="s">
        <v>180</v>
      </c>
      <c r="B16" s="14" t="n">
        <f aca="false">Inputs!$B$38-Pricing!$B$18</f>
        <v>31824089.6</v>
      </c>
      <c r="C16" s="40" t="s">
        <v>181</v>
      </c>
    </row>
    <row r="17" customFormat="false" ht="15" hidden="false" customHeight="false" outlineLevel="0" collapsed="false">
      <c r="A17" s="8" t="s">
        <v>182</v>
      </c>
      <c r="B17" s="35" t="n">
        <f aca="false">'Margin and Monitoring'!$B$16/'Margin and Monitoring'!$B$12</f>
        <v>1.79189693693694</v>
      </c>
    </row>
    <row r="18" customFormat="false" ht="15" hidden="false" customHeight="false" outlineLevel="0" collapsed="false">
      <c r="A18" s="8" t="s">
        <v>183</v>
      </c>
      <c r="B18" s="18" t="n">
        <f aca="false">Inputs!$B$38-MIN(Inputs!$B$38,3*Pricing!$B$15*(1-Inputs!$B$49))</f>
        <v>53868067.2</v>
      </c>
      <c r="C18" s="40" t="s">
        <v>184</v>
      </c>
    </row>
    <row r="19" customFormat="false" ht="15" hidden="false" customHeight="false" outlineLevel="0" collapsed="false">
      <c r="A19" s="8" t="s">
        <v>182</v>
      </c>
      <c r="B19" s="35" t="n">
        <f aca="false">'Margin and Monitoring'!$B$18/'Margin and Monitoring'!$B$12</f>
        <v>3.03311189189189</v>
      </c>
    </row>
    <row r="20" customFormat="false" ht="15" hidden="false" customHeight="false" outlineLevel="0" collapsed="false">
      <c r="A20" s="8" t="s">
        <v>185</v>
      </c>
      <c r="B20" s="20" t="n">
        <f aca="false">2*Inputs!$B$50*Pricing!$B$20</f>
        <v>0.0212160597333333</v>
      </c>
    </row>
    <row r="21" customFormat="false" ht="15" hidden="false" customHeight="false" outlineLevel="0" collapsed="false">
      <c r="A21" s="8" t="s">
        <v>186</v>
      </c>
      <c r="B21" s="18" t="n">
        <f aca="false">Amendment!$B$5*Amendment!$B$20</f>
        <v>2400000</v>
      </c>
      <c r="C21" s="40" t="s">
        <v>187</v>
      </c>
    </row>
    <row r="22" customFormat="false" ht="15" hidden="false" customHeight="false" outlineLevel="0" collapsed="false">
      <c r="A22" s="8" t="s">
        <v>188</v>
      </c>
      <c r="B22" s="14" t="n">
        <f aca="false">Amendment!$B$21</f>
        <v>3600000</v>
      </c>
      <c r="C22" s="40" t="s">
        <v>189</v>
      </c>
    </row>
    <row r="23" customFormat="false" ht="15" hidden="false" customHeight="false" outlineLevel="0" collapsed="false">
      <c r="A23" s="8" t="s">
        <v>190</v>
      </c>
      <c r="B23" s="20" t="n">
        <f aca="false">'Margin and Monitoring'!$B$22/'Margin and Monitoring'!$B$12</f>
        <v>0.202702702702703</v>
      </c>
      <c r="C23" s="40" t="s">
        <v>191</v>
      </c>
    </row>
    <row r="24" customFormat="false" ht="15" hidden="false" customHeight="false" outlineLevel="0" collapsed="false">
      <c r="A24" s="8" t="s">
        <v>192</v>
      </c>
      <c r="B24" s="20" t="n">
        <f aca="false">'Margin and Monitoring'!$B$22/Inputs!$B$38</f>
        <v>0.03</v>
      </c>
      <c r="C24" s="40" t="s">
        <v>193</v>
      </c>
    </row>
    <row r="25" customFormat="false" ht="15" hidden="false" customHeight="false" outlineLevel="0" collapsed="false">
      <c r="A25" s="8" t="s">
        <v>194</v>
      </c>
      <c r="B25" s="18" t="n">
        <f aca="false">Inputs!$B$38*(1-4*Inputs!$B$41)</f>
        <v>96000000</v>
      </c>
    </row>
    <row r="26" customFormat="false" ht="15" hidden="false" customHeight="false" outlineLevel="0" collapsed="false">
      <c r="A26" s="8" t="s">
        <v>195</v>
      </c>
      <c r="B26" s="27" t="n">
        <f aca="false">'Margin and Monitoring'!$B$25/Bridge!$B$18</f>
        <v>3.3731553056922</v>
      </c>
    </row>
    <row r="27" customFormat="false" ht="15" hidden="false" customHeight="false" outlineLevel="0" collapsed="false">
      <c r="A27" s="8" t="s">
        <v>196</v>
      </c>
      <c r="B27" s="27" t="n">
        <f aca="false">'Margin and Monitoring'!$B$25/Pricing!$B$15</f>
        <v>4.09363507972354</v>
      </c>
    </row>
    <row r="28" customFormat="false" ht="15" hidden="false" customHeight="false" outlineLevel="0" collapsed="false">
      <c r="A28" s="8" t="s">
        <v>197</v>
      </c>
      <c r="B28" s="18" t="n">
        <f aca="false">4*Pricing!$B$15-'Margin and Monitoring'!$B$25</f>
        <v>-2195840</v>
      </c>
    </row>
    <row r="29" customFormat="false" ht="15" hidden="false" customHeight="false" outlineLevel="0" collapsed="false">
      <c r="A29" s="8" t="s">
        <v>198</v>
      </c>
      <c r="B29" s="18" t="n">
        <f aca="false">4*Pricing!$B$15*Inputs!$B$49</f>
        <v>5628249.6</v>
      </c>
    </row>
    <row r="30" customFormat="false" ht="15" hidden="false" customHeight="false" outlineLevel="0" collapsed="false">
      <c r="A30" s="6" t="s">
        <v>199</v>
      </c>
    </row>
    <row r="32" customFormat="false" ht="15" hidden="false" customHeight="false" outlineLevel="0" collapsed="false">
      <c r="A32" s="8" t="s">
        <v>200</v>
      </c>
      <c r="B32" s="35" t="n">
        <f aca="false">(Bridge!$B$18-Inputs!$B$38/Inputs!$B$51)/(Bridge!$B$18-Inputs!$B$38/Inputs!$B$42)</f>
        <v>24.9341810022439</v>
      </c>
    </row>
    <row r="33" customFormat="false" ht="15" hidden="false" customHeight="false" outlineLevel="0" collapsed="false">
      <c r="A33" s="8" t="s">
        <v>201</v>
      </c>
      <c r="B33" s="35" t="n">
        <f aca="false">Amendment!$B$20/(Bridge!$B$18-Inputs!$B$38/Inputs!$B$42)</f>
        <v>2.67015706806283</v>
      </c>
    </row>
    <row r="34" customFormat="false" ht="15" hidden="false" customHeight="false" outlineLevel="0" collapsed="false">
      <c r="A34" s="8" t="s">
        <v>202</v>
      </c>
      <c r="B34" s="41" t="n">
        <v>135</v>
      </c>
    </row>
    <row r="35" customFormat="false" ht="15" hidden="false" customHeight="false" outlineLevel="0" collapsed="false">
      <c r="A35" s="8" t="s">
        <v>203</v>
      </c>
      <c r="B35" s="20" t="n">
        <f aca="false">-Inputs!$B$48*Inputs!$B$47*'Margin and Monitoring'!$B$34/365</f>
        <v>0.0650958904109589</v>
      </c>
    </row>
    <row r="36" customFormat="false" ht="15" hidden="false" customHeight="false" outlineLevel="0" collapsed="false">
      <c r="A36" s="8" t="s">
        <v>204</v>
      </c>
      <c r="B36" s="35" t="n">
        <f aca="false">'Margin and Monitoring'!$B$35/Amendment!$D$11</f>
        <v>8.24468421430115</v>
      </c>
      <c r="C36" s="40" t="s">
        <v>205</v>
      </c>
    </row>
    <row r="37" customFormat="false" ht="15" hidden="false" customHeight="false" outlineLevel="0" collapsed="false">
      <c r="A37" s="8" t="s">
        <v>206</v>
      </c>
      <c r="B37" s="41" t="n">
        <v>50</v>
      </c>
    </row>
    <row r="38" customFormat="false" ht="15" hidden="false" customHeight="false" outlineLevel="0" collapsed="false">
      <c r="A38" s="8" t="s">
        <v>207</v>
      </c>
      <c r="B38" s="20" t="n">
        <f aca="false">-Inputs!$B$48*Inputs!$B$47*'Margin and Monitoring'!$B$37/365</f>
        <v>0.0241095890410959</v>
      </c>
    </row>
    <row r="39" customFormat="false" ht="15" hidden="false" customHeight="false" outlineLevel="0" collapsed="false">
      <c r="A39" s="8" t="s">
        <v>208</v>
      </c>
      <c r="B39" s="42" t="n">
        <v>0.5</v>
      </c>
    </row>
    <row r="40" customFormat="false" ht="15" hidden="false" customHeight="false" outlineLevel="0" collapsed="false">
      <c r="A40" s="8" t="s">
        <v>209</v>
      </c>
      <c r="B40" s="18" t="n">
        <f aca="false">Bridge!$B$22-(Inputs!$B$38*Inputs!$B$39+Inputs!$B$38*Inputs!$B$41)</f>
        <v>3680000</v>
      </c>
    </row>
    <row r="41" customFormat="false" ht="15" hidden="false" customHeight="false" outlineLevel="0" collapsed="false">
      <c r="A41" s="8" t="s">
        <v>210</v>
      </c>
      <c r="B41" s="18" t="n">
        <f aca="false">'Margin and Monitoring'!$B$39*'Margin and Monitoring'!$B$40</f>
        <v>1840000</v>
      </c>
    </row>
    <row r="42" customFormat="false" ht="15" hidden="false" customHeight="false" outlineLevel="0" collapsed="false">
      <c r="A42" s="8" t="s">
        <v>211</v>
      </c>
      <c r="B42" s="18" t="n">
        <f aca="false">Inputs!$B$38*(1-Inputs!$B$41)-'Margin and Monitoring'!$B$41</f>
        <v>112160000</v>
      </c>
    </row>
    <row r="43" customFormat="false" ht="15" hidden="false" customHeight="false" outlineLevel="0" collapsed="false">
      <c r="A43" s="8" t="s">
        <v>212</v>
      </c>
      <c r="B43" s="27" t="n">
        <f aca="false">'Margin and Monitoring'!$B$42/Bridge!$B$18</f>
        <v>3.94096978215039</v>
      </c>
    </row>
    <row r="44" customFormat="false" ht="15" hidden="false" customHeight="false" outlineLevel="0" collapsed="false">
      <c r="A44" s="8" t="s">
        <v>213</v>
      </c>
      <c r="B44" s="27" t="n">
        <f aca="false">Inputs!$B$38*(1-Inputs!$B$41)/Bridge!$B$18</f>
        <v>4.00562192550949</v>
      </c>
    </row>
    <row r="45" customFormat="false" ht="15" hidden="false" customHeight="false" outlineLevel="0" collapsed="false">
      <c r="A45" s="8" t="s">
        <v>214</v>
      </c>
      <c r="B45" s="35" t="n">
        <f aca="false">'Margin and Monitoring'!$B$44-'Margin and Monitoring'!$B$43</f>
        <v>0.0646521433591007</v>
      </c>
      <c r="C45" s="40" t="s">
        <v>215</v>
      </c>
    </row>
    <row r="46" customFormat="false" ht="15" hidden="false" customHeight="false" outlineLevel="0" collapsed="false">
      <c r="A46" s="8" t="s">
        <v>216</v>
      </c>
      <c r="B46" s="18" t="n">
        <f aca="false">4.5*Bridge!$B$18-Inputs!$B$38</f>
        <v>8070000</v>
      </c>
    </row>
    <row r="47" customFormat="false" ht="15" hidden="false" customHeight="false" outlineLevel="0" collapsed="false">
      <c r="A47" s="8" t="s">
        <v>217</v>
      </c>
      <c r="B47" s="18" t="n">
        <f aca="false">5*Bridge!$B$18-Inputs!$B$38</f>
        <v>22300000</v>
      </c>
    </row>
    <row r="48" customFormat="false" ht="15" hidden="false" customHeight="false" outlineLevel="0" collapsed="false">
      <c r="A48" s="6" t="s">
        <v>218</v>
      </c>
    </row>
    <row r="50" customFormat="false" ht="15" hidden="false" customHeight="false" outlineLevel="0" collapsed="false">
      <c r="A50" s="8" t="s">
        <v>219</v>
      </c>
      <c r="B50" s="18" t="n">
        <f aca="false">Bridge!$B$18-Inputs!$B$38/Inputs!$B$42</f>
        <v>224705.882352941</v>
      </c>
    </row>
    <row r="51" customFormat="false" ht="15" hidden="false" customHeight="false" outlineLevel="0" collapsed="false">
      <c r="A51" s="8" t="s">
        <v>220</v>
      </c>
      <c r="B51" s="20" t="n">
        <f aca="false">'Margin and Monitoring'!$B$50/Inputs!$B$7</f>
        <v>0.000788441692466459</v>
      </c>
    </row>
    <row r="52" customFormat="false" ht="15" hidden="false" customHeight="false" outlineLevel="0" collapsed="false">
      <c r="A52" s="8" t="s">
        <v>221</v>
      </c>
      <c r="B52" s="35" t="n">
        <f aca="false">Inputs!$B$13/'Margin and Monitoring'!$B$50</f>
        <v>15.1308900523561</v>
      </c>
    </row>
    <row r="53" customFormat="false" ht="15" hidden="false" customHeight="false" outlineLevel="0" collapsed="false">
      <c r="A53" s="8" t="s">
        <v>222</v>
      </c>
      <c r="B53" s="18" t="n">
        <f aca="false">Inputs!$B$32/4</f>
        <v>1550000</v>
      </c>
    </row>
    <row r="54" customFormat="false" ht="15" hidden="false" customHeight="false" outlineLevel="0" collapsed="false">
      <c r="A54" s="8" t="s">
        <v>223</v>
      </c>
      <c r="B54" s="27" t="n">
        <f aca="false">(Bridge!$B$22+'Margin and Monitoring'!$B$53)/(Inputs!$B$38*Inputs!$B$39+Inputs!$B$38*Inputs!$B$41)</f>
        <v>1.35147849462366</v>
      </c>
    </row>
    <row r="55" customFormat="false" ht="15" hidden="false" customHeight="false" outlineLevel="0" collapsed="false">
      <c r="A55" s="8" t="s">
        <v>224</v>
      </c>
      <c r="B55" s="35" t="n">
        <f aca="false">'Margin and Monitoring'!$B$54-Bridge!$B$22/(Inputs!$B$38*Inputs!$B$39+Inputs!$B$38*Inputs!$B$41)</f>
        <v>0.104166666666667</v>
      </c>
    </row>
    <row r="56" customFormat="false" ht="15" hidden="false" customHeight="false" outlineLevel="0" collapsed="false">
      <c r="A56" s="8" t="s">
        <v>225</v>
      </c>
      <c r="B56" s="35" t="n">
        <f aca="false">'Margin and Monitoring'!$B$53/(Bridge!$B$22-Inputs!$B$43*(Inputs!$B$38*Inputs!$B$39+Inputs!$B$38*Inputs!$B$41))</f>
        <v>2.20170454545455</v>
      </c>
    </row>
    <row r="57" customFormat="false" ht="15" hidden="false" customHeight="false" outlineLevel="0" collapsed="false">
      <c r="A57" s="8" t="s">
        <v>226</v>
      </c>
      <c r="B57" s="35" t="n">
        <f aca="false">Inputs!$B$33/(Inputs!$B$7/365)</f>
        <v>2.04912280701754</v>
      </c>
    </row>
    <row r="58" customFormat="false" ht="15" hidden="false" customHeight="false" outlineLevel="0" collapsed="false">
      <c r="A58" s="8" t="s">
        <v>227</v>
      </c>
      <c r="B58" s="27" t="n">
        <f aca="false">Inputs!$B$38/Bridge!$B$18</f>
        <v>4.21644413211525</v>
      </c>
    </row>
    <row r="59" customFormat="false" ht="15" hidden="false" customHeight="false" outlineLevel="0" collapsed="false">
      <c r="A59" s="8" t="s">
        <v>228</v>
      </c>
      <c r="B59" s="43" t="n">
        <v>4.1</v>
      </c>
    </row>
    <row r="60" customFormat="false" ht="15" hidden="false" customHeight="false" outlineLevel="0" collapsed="false">
      <c r="A60" s="8" t="s">
        <v>229</v>
      </c>
      <c r="B60" s="34" t="n">
        <f aca="false">'Margin and Monitoring'!$B$59-'Margin and Monitoring'!$B$58</f>
        <v>-0.11644413211525</v>
      </c>
      <c r="C60" s="40" t="s">
        <v>230</v>
      </c>
    </row>
    <row r="61" customFormat="false" ht="15" hidden="false" customHeight="false" outlineLevel="0" collapsed="false">
      <c r="A61" s="8" t="s">
        <v>231</v>
      </c>
      <c r="B61" s="8" t="str">
        <f aca="false">IF('Margin and Monitoring'!$B$58&gt;'Margin and Monitoring'!$B$59,"tripped at close: set it between the close and the covenant","not tripped")</f>
        <v>tripped at close: set it between the close and the covenant</v>
      </c>
    </row>
    <row r="62" customFormat="false" ht="15" hidden="false" customHeight="false" outlineLevel="0" collapsed="false">
      <c r="A62" s="8" t="s">
        <v>232</v>
      </c>
      <c r="B62" s="35" t="n">
        <f aca="false">Inputs!$B$42-'Margin and Monitoring'!$B$58</f>
        <v>0.0335558678847505</v>
      </c>
    </row>
    <row r="63" customFormat="false" ht="15" hidden="false" customHeight="false" outlineLevel="0" collapsed="false">
      <c r="A63" s="8" t="s">
        <v>233</v>
      </c>
      <c r="B63" s="43" t="n">
        <v>1.22</v>
      </c>
    </row>
    <row r="64" customFormat="false" ht="15" hidden="false" customHeight="false" outlineLevel="0" collapsed="false">
      <c r="A64" s="8" t="s">
        <v>234</v>
      </c>
      <c r="B64" s="35" t="n">
        <f aca="false">'Margin and Monitoring'!$B$63-Inputs!$B$43</f>
        <v>0.02</v>
      </c>
    </row>
    <row r="65" customFormat="false" ht="15" hidden="false" customHeight="false" outlineLevel="0" collapsed="false">
      <c r="A65" s="8" t="s">
        <v>235</v>
      </c>
      <c r="B65" s="35" t="n">
        <f aca="false">Bridge!$B$22/(Inputs!$B$38*Inputs!$B$39+Inputs!$B$38*Inputs!$B$41)-'Margin and Monitoring'!$B$63</f>
        <v>0.0273118279569893</v>
      </c>
    </row>
    <row r="66" customFormat="false" ht="15" hidden="false" customHeight="false" outlineLevel="0" collapsed="false">
      <c r="A66" s="6" t="s">
        <v>236</v>
      </c>
    </row>
    <row r="68" customFormat="false" ht="15" hidden="false" customHeight="false" outlineLevel="0" collapsed="false">
      <c r="A68" s="8" t="s">
        <v>237</v>
      </c>
      <c r="B68" s="44" t="n">
        <v>0.0025</v>
      </c>
    </row>
    <row r="69" customFormat="false" ht="15" hidden="false" customHeight="false" outlineLevel="0" collapsed="false">
      <c r="A69" s="8" t="s">
        <v>238</v>
      </c>
      <c r="B69" s="18" t="n">
        <f aca="false">Inputs!$B$38*'Margin and Monitoring'!$B$68</f>
        <v>300000</v>
      </c>
    </row>
    <row r="70" customFormat="false" ht="15" hidden="false" customHeight="false" outlineLevel="0" collapsed="false">
      <c r="A70" s="8" t="s">
        <v>239</v>
      </c>
      <c r="B70" s="20" t="n">
        <f aca="false">Pricing!$C$34-Pricing!$C$36</f>
        <v>0.183699813333333</v>
      </c>
    </row>
    <row r="71" customFormat="false" ht="15" hidden="false" customHeight="false" outlineLevel="0" collapsed="false">
      <c r="A71" s="8" t="s">
        <v>240</v>
      </c>
      <c r="B71" s="20" t="n">
        <f aca="false">Inputs!$B$50*'Margin and Monitoring'!$B$70</f>
        <v>0.00734799253333333</v>
      </c>
    </row>
    <row r="72" customFormat="false" ht="15" hidden="false" customHeight="false" outlineLevel="0" collapsed="false">
      <c r="A72" s="8" t="s">
        <v>241</v>
      </c>
      <c r="B72" s="34" t="n">
        <f aca="false">'Margin and Monitoring'!$B$71/'Margin and Monitoring'!$B$68</f>
        <v>2.93919701333333</v>
      </c>
      <c r="C72" s="40" t="s">
        <v>242</v>
      </c>
    </row>
    <row r="73" customFormat="false" ht="23.85" hidden="false" customHeight="false" outlineLevel="0" collapsed="false">
      <c r="A73" s="38" t="s">
        <v>243</v>
      </c>
      <c r="B73" s="38" t="s">
        <v>244</v>
      </c>
    </row>
    <row r="74" customFormat="false" ht="15" hidden="false" customHeight="false" outlineLevel="0" collapsed="false">
      <c r="A74" s="8" t="s">
        <v>245</v>
      </c>
      <c r="B74" s="20" t="n">
        <f aca="false">Pricing!$E$35-Pricing!$E$34</f>
        <v>0.0229223284619868</v>
      </c>
    </row>
    <row r="75" customFormat="false" ht="15" hidden="false" customHeight="false" outlineLevel="0" collapsed="false">
      <c r="A75" s="8" t="s">
        <v>246</v>
      </c>
      <c r="B75" s="20" t="n">
        <f aca="false">Pricing!$E$36-Pricing!$E$35</f>
        <v>0.0388002153554388</v>
      </c>
    </row>
    <row r="76" customFormat="false" ht="15" hidden="false" customHeight="false" outlineLevel="0" collapsed="false">
      <c r="A76" s="8" t="s">
        <v>247</v>
      </c>
      <c r="B76" s="20" t="n">
        <f aca="false">Pricing!$E$37-Pricing!$E$36</f>
        <v>0.0799167874936945</v>
      </c>
    </row>
    <row r="77" customFormat="false" ht="15" hidden="false" customHeight="false" outlineLevel="0" collapsed="false">
      <c r="A77" s="8" t="s">
        <v>248</v>
      </c>
      <c r="B77" s="20" t="n">
        <f aca="false">Pricing!$E$38-Pricing!$E$37</f>
        <v>0.26004600006048</v>
      </c>
    </row>
    <row r="78" customFormat="false" ht="15" hidden="false" customHeight="false" outlineLevel="0" collapsed="false">
      <c r="A78" s="40" t="s">
        <v>249</v>
      </c>
    </row>
    <row r="79" customFormat="false" ht="15" hidden="false" customHeight="false" outlineLevel="0" collapsed="false">
      <c r="A79" s="8" t="s">
        <v>250</v>
      </c>
      <c r="B79" s="35" t="n">
        <f aca="false">Pricing!$E$36/Inputs!$B$50</f>
        <v>3.77072844842669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10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7"/>
    <col collapsed="false" customWidth="true" hidden="false" outlineLevel="0" max="2" min="2" style="0" width="62"/>
    <col collapsed="false" customWidth="true" hidden="false" outlineLevel="0" max="4" min="3" style="0" width="20"/>
    <col collapsed="false" customWidth="true" hidden="false" outlineLevel="0" max="5" min="5" style="0" width="14"/>
    <col collapsed="false" customWidth="true" hidden="false" outlineLevel="0" max="6" min="6" style="0" width="10"/>
    <col collapsed="false" customWidth="true" hidden="false" outlineLevel="0" max="7" min="7" style="0" width="58"/>
  </cols>
  <sheetData>
    <row r="1" customFormat="false" ht="24" hidden="false" customHeight="true" outlineLevel="0" collapsed="false">
      <c r="A1" s="1" t="s">
        <v>251</v>
      </c>
    </row>
    <row r="2" customFormat="false" ht="15" hidden="false" customHeight="false" outlineLevel="0" collapsed="false">
      <c r="A2" s="2" t="s">
        <v>252</v>
      </c>
    </row>
    <row r="3" customFormat="false" ht="15" hidden="false" customHeight="false" outlineLevel="0" collapsed="false">
      <c r="A3" s="3"/>
      <c r="B3" s="3"/>
      <c r="C3" s="3"/>
      <c r="D3" s="3"/>
      <c r="E3" s="3"/>
      <c r="F3" s="3"/>
    </row>
    <row r="5" customFormat="false" ht="30" hidden="false" customHeight="true" outlineLevel="0" collapsed="false">
      <c r="A5" s="10" t="s">
        <v>253</v>
      </c>
      <c r="B5" s="11" t="s">
        <v>254</v>
      </c>
      <c r="C5" s="11" t="s">
        <v>255</v>
      </c>
      <c r="D5" s="11" t="s">
        <v>256</v>
      </c>
      <c r="E5" s="11" t="s">
        <v>257</v>
      </c>
      <c r="F5" s="11" t="s">
        <v>258</v>
      </c>
      <c r="G5" s="45" t="s">
        <v>259</v>
      </c>
    </row>
    <row r="6" customFormat="false" ht="15" hidden="false" customHeight="false" outlineLevel="0" collapsed="false">
      <c r="A6" s="8" t="s">
        <v>260</v>
      </c>
      <c r="B6" s="8" t="s">
        <v>81</v>
      </c>
      <c r="C6" s="20" t="n">
        <v>0.04</v>
      </c>
      <c r="D6" s="20" t="n">
        <f aca="false">Pricing!B9</f>
        <v>0.04</v>
      </c>
      <c r="E6" s="46" t="n">
        <f aca="false">D6-C6</f>
        <v>0</v>
      </c>
      <c r="F6" s="47" t="str">
        <f aca="false">IF(ABS(E6)&lt;=0.0000005,"PASS","FAIL")</f>
        <v>PASS</v>
      </c>
    </row>
    <row r="7" customFormat="false" ht="15" hidden="false" customHeight="false" outlineLevel="0" collapsed="false">
      <c r="A7" s="22" t="s">
        <v>260</v>
      </c>
      <c r="B7" s="22" t="s">
        <v>82</v>
      </c>
      <c r="C7" s="25" t="n">
        <v>4800000</v>
      </c>
      <c r="D7" s="25" t="n">
        <f aca="false">Pricing!B10</f>
        <v>4800000</v>
      </c>
      <c r="E7" s="48" t="n">
        <f aca="false">D7-C7</f>
        <v>0</v>
      </c>
      <c r="F7" s="49" t="str">
        <f aca="false">IF(ABS(E7)&lt;=0.005,"PASS","FAIL")</f>
        <v>PASS</v>
      </c>
    </row>
    <row r="8" customFormat="false" ht="15" hidden="false" customHeight="false" outlineLevel="0" collapsed="false">
      <c r="A8" s="8" t="s">
        <v>260</v>
      </c>
      <c r="B8" s="8" t="s">
        <v>261</v>
      </c>
      <c r="C8" s="20" t="n">
        <v>0.734799</v>
      </c>
      <c r="D8" s="20" t="n">
        <f aca="false">Pricing!B19</f>
        <v>0.734799253333333</v>
      </c>
      <c r="E8" s="46" t="n">
        <f aca="false">D8-C8</f>
        <v>2.53333333311012E-007</v>
      </c>
      <c r="F8" s="47" t="str">
        <f aca="false">IF(ABS(E8)&lt;=0.0000005,"PASS","FAIL")</f>
        <v>PASS</v>
      </c>
    </row>
    <row r="9" customFormat="false" ht="15" hidden="false" customHeight="false" outlineLevel="0" collapsed="false">
      <c r="A9" s="22" t="s">
        <v>260</v>
      </c>
      <c r="B9" s="22" t="s">
        <v>90</v>
      </c>
      <c r="C9" s="23" t="n">
        <v>0.265201</v>
      </c>
      <c r="D9" s="23" t="n">
        <f aca="false">Pricing!B20</f>
        <v>0.265200746666667</v>
      </c>
      <c r="E9" s="48" t="n">
        <f aca="false">D9-C9</f>
        <v>-2.53333333311012E-007</v>
      </c>
      <c r="F9" s="49" t="str">
        <f aca="false">IF(ABS(E9)&lt;=0.0000005,"PASS","FAIL")</f>
        <v>PASS</v>
      </c>
    </row>
    <row r="10" customFormat="false" ht="15" hidden="false" customHeight="false" outlineLevel="0" collapsed="false">
      <c r="A10" s="8" t="s">
        <v>260</v>
      </c>
      <c r="B10" s="8" t="s">
        <v>93</v>
      </c>
      <c r="C10" s="20" t="n">
        <v>0.010608</v>
      </c>
      <c r="D10" s="20" t="n">
        <f aca="false">Pricing!B25</f>
        <v>0.0106080298666667</v>
      </c>
      <c r="E10" s="46" t="n">
        <f aca="false">D10-C10</f>
        <v>2.98666666693342E-008</v>
      </c>
      <c r="F10" s="47" t="str">
        <f aca="false">IF(ABS(E10)&lt;=0.0000005,"PASS","FAIL")</f>
        <v>PASS</v>
      </c>
    </row>
    <row r="11" customFormat="false" ht="15" hidden="false" customHeight="false" outlineLevel="0" collapsed="false">
      <c r="A11" s="22" t="s">
        <v>260</v>
      </c>
      <c r="B11" s="22" t="s">
        <v>94</v>
      </c>
      <c r="C11" s="25" t="n">
        <v>1272963.58</v>
      </c>
      <c r="D11" s="25" t="n">
        <f aca="false">Pricing!B26</f>
        <v>1272963.584</v>
      </c>
      <c r="E11" s="48" t="n">
        <f aca="false">D11-C11</f>
        <v>0.00400000018998981</v>
      </c>
      <c r="F11" s="49" t="str">
        <f aca="false">IF(ABS(E11)&lt;=0.005,"PASS","FAIL")</f>
        <v>PASS</v>
      </c>
    </row>
    <row r="12" customFormat="false" ht="15" hidden="false" customHeight="false" outlineLevel="0" collapsed="false">
      <c r="A12" s="8" t="s">
        <v>260</v>
      </c>
      <c r="B12" s="8" t="s">
        <v>262</v>
      </c>
      <c r="C12" s="20" t="n">
        <v>0.265201</v>
      </c>
      <c r="D12" s="20" t="n">
        <f aca="false">Pricing!B27</f>
        <v>0.265200746666667</v>
      </c>
      <c r="E12" s="46" t="n">
        <f aca="false">D12-C12</f>
        <v>-2.53333333255501E-007</v>
      </c>
      <c r="F12" s="47" t="str">
        <f aca="false">IF(ABS(E12)&lt;=0.0000005,"PASS","FAIL")</f>
        <v>PASS</v>
      </c>
    </row>
    <row r="13" customFormat="false" ht="15" hidden="false" customHeight="false" outlineLevel="0" collapsed="false">
      <c r="A13" s="22" t="s">
        <v>260</v>
      </c>
      <c r="B13" s="22" t="s">
        <v>263</v>
      </c>
      <c r="C13" s="23" t="n">
        <v>0.029392</v>
      </c>
      <c r="D13" s="23" t="n">
        <f aca="false">Pricing!B28</f>
        <v>0.0293919701333333</v>
      </c>
      <c r="E13" s="48" t="n">
        <f aca="false">D13-C13</f>
        <v>-2.98666666745384E-008</v>
      </c>
      <c r="F13" s="49" t="str">
        <f aca="false">IF(ABS(E13)&lt;=0.0000005,"PASS","FAIL")</f>
        <v>PASS</v>
      </c>
    </row>
    <row r="14" customFormat="false" ht="15" hidden="false" customHeight="false" outlineLevel="0" collapsed="false">
      <c r="A14" s="8" t="s">
        <v>260</v>
      </c>
      <c r="B14" s="8" t="s">
        <v>97</v>
      </c>
      <c r="C14" s="18" t="n">
        <v>3527036.42</v>
      </c>
      <c r="D14" s="18" t="n">
        <f aca="false">Pricing!B29</f>
        <v>3527036.416</v>
      </c>
      <c r="E14" s="46" t="n">
        <f aca="false">D14-C14</f>
        <v>-0.00400000065565109</v>
      </c>
      <c r="F14" s="47" t="str">
        <f aca="false">IF(ABS(E14)&lt;=0.005,"PASS","FAIL")</f>
        <v>PASS</v>
      </c>
    </row>
    <row r="15" customFormat="false" ht="15" hidden="false" customHeight="false" outlineLevel="0" collapsed="false">
      <c r="A15" s="22" t="s">
        <v>260</v>
      </c>
      <c r="B15" s="22" t="s">
        <v>264</v>
      </c>
      <c r="C15" s="23" t="n">
        <v>0.150829</v>
      </c>
      <c r="D15" s="23" t="n">
        <f aca="false">Pricing!E36</f>
        <v>0.150829137937068</v>
      </c>
      <c r="E15" s="48" t="n">
        <f aca="false">D15-C15</f>
        <v>1.37937067601346E-007</v>
      </c>
      <c r="F15" s="49" t="str">
        <f aca="false">IF(ABS(E15)&lt;=0.0000005,"PASS","FAIL")</f>
        <v>PASS</v>
      </c>
    </row>
    <row r="16" customFormat="false" ht="15" hidden="false" customHeight="false" outlineLevel="0" collapsed="false">
      <c r="A16" s="8" t="s">
        <v>260</v>
      </c>
      <c r="B16" s="8" t="s">
        <v>265</v>
      </c>
      <c r="C16" s="20" t="n">
        <v>0.089107</v>
      </c>
      <c r="D16" s="20" t="n">
        <f aca="false">Pricing!E34</f>
        <v>0.089106594119642</v>
      </c>
      <c r="E16" s="46" t="n">
        <f aca="false">D16-C16</f>
        <v>-4.05880358017585E-007</v>
      </c>
      <c r="F16" s="47" t="str">
        <f aca="false">IF(ABS(E16)&lt;=0.0000005,"PASS","FAIL")</f>
        <v>PASS</v>
      </c>
    </row>
    <row r="17" customFormat="false" ht="15" hidden="false" customHeight="false" outlineLevel="0" collapsed="false">
      <c r="A17" s="22" t="s">
        <v>260</v>
      </c>
      <c r="B17" s="22" t="s">
        <v>266</v>
      </c>
      <c r="C17" s="23" t="n">
        <v>0.490792</v>
      </c>
      <c r="D17" s="23" t="n">
        <f aca="false">Pricing!E38</f>
        <v>0.490791925491242</v>
      </c>
      <c r="E17" s="48" t="n">
        <f aca="false">D17-C17</f>
        <v>-7.45087581077719E-008</v>
      </c>
      <c r="F17" s="49" t="str">
        <f aca="false">IF(ABS(E17)&lt;=0.0000005,"PASS","FAIL")</f>
        <v>PASS</v>
      </c>
    </row>
    <row r="18" customFormat="false" ht="15" hidden="false" customHeight="false" outlineLevel="0" collapsed="false">
      <c r="A18" s="8" t="s">
        <v>260</v>
      </c>
      <c r="B18" s="8" t="s">
        <v>267</v>
      </c>
      <c r="C18" s="20" t="n">
        <v>0.448901</v>
      </c>
      <c r="D18" s="20" t="n">
        <f aca="false">Pricing!C34</f>
        <v>0.44890056</v>
      </c>
      <c r="E18" s="46" t="n">
        <f aca="false">D18-C18</f>
        <v>-4.39999999990448E-007</v>
      </c>
      <c r="F18" s="47" t="str">
        <f aca="false">IF(ABS(E18)&lt;=0.0000005,"PASS","FAIL")</f>
        <v>PASS</v>
      </c>
    </row>
    <row r="19" customFormat="false" ht="15" hidden="false" customHeight="false" outlineLevel="0" collapsed="false">
      <c r="A19" s="22" t="s">
        <v>260</v>
      </c>
      <c r="B19" s="22" t="s">
        <v>268</v>
      </c>
      <c r="C19" s="23" t="n">
        <v>0.173351</v>
      </c>
      <c r="D19" s="23" t="n">
        <f aca="false">Pricing!C37</f>
        <v>0.17335084</v>
      </c>
      <c r="E19" s="48" t="n">
        <f aca="false">D19-C19</f>
        <v>-1.59999999888028E-007</v>
      </c>
      <c r="F19" s="49" t="str">
        <f aca="false">IF(ABS(E19)&lt;=0.0000005,"PASS","FAIL")</f>
        <v>PASS</v>
      </c>
    </row>
    <row r="20" customFormat="false" ht="15" hidden="false" customHeight="false" outlineLevel="0" collapsed="false">
      <c r="A20" s="8" t="s">
        <v>260</v>
      </c>
      <c r="B20" s="8" t="s">
        <v>269</v>
      </c>
      <c r="C20" s="20" t="n">
        <v>0.773473</v>
      </c>
      <c r="D20" s="20" t="n">
        <f aca="false">Pricing!C47</f>
        <v>0.773472898245614</v>
      </c>
      <c r="E20" s="46" t="n">
        <f aca="false">D20-C20</f>
        <v>-1.01754386028219E-007</v>
      </c>
      <c r="F20" s="47" t="str">
        <f aca="false">IF(ABS(E20)&lt;=0.0000005,"PASS","FAIL")</f>
        <v>PASS</v>
      </c>
    </row>
    <row r="21" customFormat="false" ht="15" hidden="false" customHeight="false" outlineLevel="0" collapsed="false">
      <c r="A21" s="22" t="s">
        <v>260</v>
      </c>
      <c r="B21" s="22" t="s">
        <v>270</v>
      </c>
      <c r="C21" s="23" t="n">
        <v>0.918499</v>
      </c>
      <c r="D21" s="23" t="n">
        <f aca="false">Pricing!C50</f>
        <v>0.918499066666667</v>
      </c>
      <c r="E21" s="48" t="n">
        <f aca="false">D21-C21</f>
        <v>6.66666666315763E-008</v>
      </c>
      <c r="F21" s="49" t="str">
        <f aca="false">IF(ABS(E21)&lt;=0.0000005,"PASS","FAIL")</f>
        <v>PASS</v>
      </c>
    </row>
    <row r="22" customFormat="false" ht="15" hidden="false" customHeight="false" outlineLevel="0" collapsed="false">
      <c r="A22" s="8" t="s">
        <v>260</v>
      </c>
      <c r="B22" s="8" t="s">
        <v>271</v>
      </c>
      <c r="C22" s="20" t="n">
        <v>0.081501</v>
      </c>
      <c r="D22" s="20" t="n">
        <f aca="false">Pricing!D50</f>
        <v>0.0815009333333334</v>
      </c>
      <c r="E22" s="46" t="n">
        <f aca="false">D22-C22</f>
        <v>-6.66666665899429E-008</v>
      </c>
      <c r="F22" s="47" t="str">
        <f aca="false">IF(ABS(E22)&lt;=0.0000005,"PASS","FAIL")</f>
        <v>PASS</v>
      </c>
    </row>
    <row r="23" customFormat="false" ht="15" hidden="false" customHeight="false" outlineLevel="0" collapsed="false">
      <c r="A23" s="22" t="s">
        <v>260</v>
      </c>
      <c r="B23" s="22" t="s">
        <v>272</v>
      </c>
      <c r="C23" s="23" t="n">
        <v>0.156779</v>
      </c>
      <c r="D23" s="23" t="n">
        <f aca="false">Pricing!B52</f>
        <v>0.156778677617246</v>
      </c>
      <c r="E23" s="48" t="n">
        <f aca="false">D23-C23</f>
        <v>-3.22382754186501E-007</v>
      </c>
      <c r="F23" s="49" t="str">
        <f aca="false">IF(ABS(E23)&lt;=0.0000005,"PASS","FAIL")</f>
        <v>PASS</v>
      </c>
    </row>
    <row r="24" customFormat="false" ht="15" hidden="false" customHeight="false" outlineLevel="0" collapsed="false">
      <c r="A24" s="8" t="s">
        <v>260</v>
      </c>
      <c r="B24" s="8" t="s">
        <v>273</v>
      </c>
      <c r="C24" s="20" t="n">
        <v>0.006271</v>
      </c>
      <c r="D24" s="20" t="n">
        <f aca="false">Pricing!B53</f>
        <v>0.00627114710468983</v>
      </c>
      <c r="E24" s="46" t="n">
        <f aca="false">D24-C24</f>
        <v>1.47104689833012E-007</v>
      </c>
      <c r="F24" s="47" t="str">
        <f aca="false">IF(ABS(E24)&lt;=0.0000005,"PASS","FAIL")</f>
        <v>PASS</v>
      </c>
    </row>
    <row r="25" customFormat="false" ht="15" hidden="false" customHeight="false" outlineLevel="0" collapsed="false">
      <c r="A25" s="22" t="s">
        <v>260</v>
      </c>
      <c r="B25" s="22" t="s">
        <v>274</v>
      </c>
      <c r="C25" s="23" t="n">
        <v>0.004337</v>
      </c>
      <c r="D25" s="23" t="n">
        <f aca="false">Pricing!B55</f>
        <v>0.00433688276197684</v>
      </c>
      <c r="E25" s="48" t="n">
        <f aca="false">D25-C25</f>
        <v>-1.17238023163678E-007</v>
      </c>
      <c r="F25" s="49" t="str">
        <f aca="false">IF(ABS(E25)&lt;=0.0000005,"PASS","FAIL")</f>
        <v>PASS</v>
      </c>
    </row>
    <row r="26" customFormat="false" ht="15" hidden="false" customHeight="false" outlineLevel="0" collapsed="false">
      <c r="A26" s="8" t="s">
        <v>275</v>
      </c>
      <c r="B26" s="8" t="s">
        <v>276</v>
      </c>
      <c r="C26" s="18" t="n">
        <v>28235294.12</v>
      </c>
      <c r="D26" s="18" t="n">
        <f aca="false">Amendment!C11</f>
        <v>28235294.1176471</v>
      </c>
      <c r="E26" s="46" t="n">
        <f aca="false">D26-C26</f>
        <v>-0.00235294178128243</v>
      </c>
      <c r="F26" s="47" t="str">
        <f aca="false">IF(ABS(E26)&lt;=0.005,"PASS","FAIL")</f>
        <v>PASS</v>
      </c>
    </row>
    <row r="27" customFormat="false" ht="15" hidden="false" customHeight="false" outlineLevel="0" collapsed="false">
      <c r="A27" s="22" t="s">
        <v>275</v>
      </c>
      <c r="B27" s="22" t="s">
        <v>277</v>
      </c>
      <c r="C27" s="25" t="n">
        <v>22857142.86</v>
      </c>
      <c r="D27" s="25" t="n">
        <f aca="false">Amendment!C12</f>
        <v>22857142.8571429</v>
      </c>
      <c r="E27" s="48" t="n">
        <f aca="false">D27-C27</f>
        <v>-0.00285714119672775</v>
      </c>
      <c r="F27" s="49" t="str">
        <f aca="false">IF(ABS(E27)&lt;=0.005,"PASS","FAIL")</f>
        <v>PASS</v>
      </c>
    </row>
    <row r="28" customFormat="false" ht="15" hidden="false" customHeight="false" outlineLevel="0" collapsed="false">
      <c r="A28" s="8" t="s">
        <v>275</v>
      </c>
      <c r="B28" s="8" t="s">
        <v>278</v>
      </c>
      <c r="C28" s="20" t="n">
        <v>0.007895</v>
      </c>
      <c r="D28" s="20" t="n">
        <f aca="false">Amendment!D11</f>
        <v>0.00789549832582359</v>
      </c>
      <c r="E28" s="46" t="n">
        <f aca="false">D28-C28</f>
        <v>4.98325823591883E-007</v>
      </c>
      <c r="F28" s="47" t="str">
        <f aca="false">IF(ABS(E28)&lt;=0.0000005,"PASS","FAIL")</f>
        <v>PASS</v>
      </c>
    </row>
    <row r="29" customFormat="false" ht="15" hidden="false" customHeight="false" outlineLevel="0" collapsed="false">
      <c r="A29" s="22" t="s">
        <v>275</v>
      </c>
      <c r="B29" s="22" t="s">
        <v>279</v>
      </c>
      <c r="C29" s="23" t="n">
        <v>0.196868</v>
      </c>
      <c r="D29" s="23" t="n">
        <f aca="false">Amendment!D12</f>
        <v>0.196867784359</v>
      </c>
      <c r="E29" s="48" t="n">
        <f aca="false">D29-C29</f>
        <v>-2.1564099988991E-007</v>
      </c>
      <c r="F29" s="49" t="str">
        <f aca="false">IF(ABS(E29)&lt;=0.0000005,"PASS","FAIL")</f>
        <v>PASS</v>
      </c>
    </row>
    <row r="30" customFormat="false" ht="15" hidden="false" customHeight="false" outlineLevel="0" collapsed="false">
      <c r="A30" s="8" t="s">
        <v>275</v>
      </c>
      <c r="B30" s="8" t="s">
        <v>280</v>
      </c>
      <c r="C30" s="20" t="n">
        <v>0.188972</v>
      </c>
      <c r="D30" s="20" t="n">
        <f aca="false">Amendment!B13</f>
        <v>0.188972286033177</v>
      </c>
      <c r="E30" s="46" t="n">
        <f aca="false">D30-C30</f>
        <v>2.86033176505329E-007</v>
      </c>
      <c r="F30" s="47" t="str">
        <f aca="false">IF(ABS(E30)&lt;=0.0000005,"PASS","FAIL")</f>
        <v>PASS</v>
      </c>
      <c r="G30" s="40" t="s">
        <v>281</v>
      </c>
    </row>
    <row r="31" customFormat="false" ht="15" hidden="false" customHeight="false" outlineLevel="0" collapsed="false">
      <c r="A31" s="22" t="s">
        <v>275</v>
      </c>
      <c r="B31" s="22" t="s">
        <v>54</v>
      </c>
      <c r="C31" s="25" t="n">
        <v>1200000</v>
      </c>
      <c r="D31" s="25" t="n">
        <f aca="false">Amendment!B18</f>
        <v>1200000</v>
      </c>
      <c r="E31" s="48" t="n">
        <f aca="false">D31-C31</f>
        <v>0</v>
      </c>
      <c r="F31" s="49" t="str">
        <f aca="false">IF(ABS(E31)&lt;=0.005,"PASS","FAIL")</f>
        <v>PASS</v>
      </c>
    </row>
    <row r="32" customFormat="false" ht="15" hidden="false" customHeight="false" outlineLevel="0" collapsed="false">
      <c r="A32" s="8" t="s">
        <v>275</v>
      </c>
      <c r="B32" s="8" t="s">
        <v>282</v>
      </c>
      <c r="C32" s="18" t="n">
        <v>600000</v>
      </c>
      <c r="D32" s="18" t="n">
        <f aca="false">Amendment!B20</f>
        <v>600000</v>
      </c>
      <c r="E32" s="46" t="n">
        <f aca="false">D32-C32</f>
        <v>0</v>
      </c>
      <c r="F32" s="47" t="str">
        <f aca="false">IF(ABS(E32)&lt;=0.005,"PASS","FAIL")</f>
        <v>PASS</v>
      </c>
    </row>
    <row r="33" customFormat="false" ht="15" hidden="false" customHeight="false" outlineLevel="0" collapsed="false">
      <c r="A33" s="22" t="s">
        <v>275</v>
      </c>
      <c r="B33" s="22" t="s">
        <v>283</v>
      </c>
      <c r="C33" s="25" t="n">
        <v>3600000</v>
      </c>
      <c r="D33" s="25" t="n">
        <f aca="false">Amendment!B21</f>
        <v>3600000</v>
      </c>
      <c r="E33" s="48" t="n">
        <f aca="false">D33-C33</f>
        <v>0</v>
      </c>
      <c r="F33" s="49" t="str">
        <f aca="false">IF(ABS(E33)&lt;=0.005,"PASS","FAIL")</f>
        <v>PASS</v>
      </c>
    </row>
    <row r="34" customFormat="false" ht="15" hidden="false" customHeight="false" outlineLevel="0" collapsed="false">
      <c r="A34" s="8" t="s">
        <v>275</v>
      </c>
      <c r="B34" s="8" t="s">
        <v>284</v>
      </c>
      <c r="C34" s="18" t="n">
        <v>2220000</v>
      </c>
      <c r="D34" s="18" t="n">
        <f aca="false">Amendment!B30</f>
        <v>2220000</v>
      </c>
      <c r="E34" s="46" t="n">
        <f aca="false">D34-C34</f>
        <v>0</v>
      </c>
      <c r="F34" s="47" t="str">
        <f aca="false">IF(ABS(E34)&lt;=0.005,"PASS","FAIL")</f>
        <v>PASS</v>
      </c>
    </row>
    <row r="35" customFormat="false" ht="15" hidden="false" customHeight="false" outlineLevel="0" collapsed="false">
      <c r="A35" s="22" t="s">
        <v>275</v>
      </c>
      <c r="B35" s="22" t="s">
        <v>138</v>
      </c>
      <c r="C35" s="25" t="n">
        <v>3420000</v>
      </c>
      <c r="D35" s="25" t="n">
        <f aca="false">Amendment!B31</f>
        <v>3420000</v>
      </c>
      <c r="E35" s="48" t="n">
        <f aca="false">D35-C35</f>
        <v>0</v>
      </c>
      <c r="F35" s="49" t="str">
        <f aca="false">IF(ABS(E35)&lt;=0.005,"PASS","FAIL")</f>
        <v>PASS</v>
      </c>
    </row>
    <row r="36" customFormat="false" ht="15" hidden="false" customHeight="false" outlineLevel="0" collapsed="false">
      <c r="A36" s="8" t="s">
        <v>275</v>
      </c>
      <c r="B36" s="8" t="s">
        <v>285</v>
      </c>
      <c r="C36" s="18" t="n">
        <v>190504.125</v>
      </c>
      <c r="D36" s="18" t="n">
        <f aca="false">Amendment!B36</f>
        <v>190504.125</v>
      </c>
      <c r="E36" s="46" t="n">
        <f aca="false">D36-C36</f>
        <v>0</v>
      </c>
      <c r="F36" s="47" t="str">
        <f aca="false">IF(ABS(E36)&lt;=0.005,"PASS","FAIL")</f>
        <v>PASS</v>
      </c>
    </row>
    <row r="37" customFormat="false" ht="15" hidden="false" customHeight="false" outlineLevel="0" collapsed="false">
      <c r="A37" s="22" t="s">
        <v>275</v>
      </c>
      <c r="B37" s="22" t="s">
        <v>142</v>
      </c>
      <c r="C37" s="23" t="n">
        <v>0.135135</v>
      </c>
      <c r="D37" s="23" t="n">
        <f aca="false">Amendment!B37</f>
        <v>0.135135135135135</v>
      </c>
      <c r="E37" s="48" t="n">
        <f aca="false">D37-C37</f>
        <v>1.35135135137521E-007</v>
      </c>
      <c r="F37" s="49" t="str">
        <f aca="false">IF(ABS(E37)&lt;=0.0000005,"PASS","FAIL")</f>
        <v>PASS</v>
      </c>
    </row>
    <row r="38" customFormat="false" ht="15" hidden="false" customHeight="false" outlineLevel="0" collapsed="false">
      <c r="A38" s="8" t="s">
        <v>275</v>
      </c>
      <c r="B38" s="8" t="s">
        <v>143</v>
      </c>
      <c r="C38" s="20" t="n">
        <v>0.942682</v>
      </c>
      <c r="D38" s="20" t="n">
        <f aca="false">Amendment!B38</f>
        <v>0.942682112106673</v>
      </c>
      <c r="E38" s="46" t="n">
        <f aca="false">D38-C38</f>
        <v>1.12106672611745E-007</v>
      </c>
      <c r="F38" s="47" t="str">
        <f aca="false">IF(ABS(E38)&lt;=0.0000005,"PASS","FAIL")</f>
        <v>PASS</v>
      </c>
      <c r="G38" s="40" t="s">
        <v>286</v>
      </c>
    </row>
    <row r="39" customFormat="false" ht="15" hidden="false" customHeight="false" outlineLevel="0" collapsed="false">
      <c r="A39" s="22" t="s">
        <v>275</v>
      </c>
      <c r="B39" s="22" t="s">
        <v>144</v>
      </c>
      <c r="C39" s="23" t="n">
        <v>0.126493</v>
      </c>
      <c r="D39" s="23" t="n">
        <f aca="false">Amendment!B39</f>
        <v>0.126493323963457</v>
      </c>
      <c r="E39" s="48" t="n">
        <f aca="false">D39-C39</f>
        <v>3.23963457476983E-007</v>
      </c>
      <c r="F39" s="49" t="str">
        <f aca="false">IF(ABS(E39)&lt;=0.0000005,"PASS","FAIL")</f>
        <v>PASS</v>
      </c>
    </row>
    <row r="40" customFormat="false" ht="15" hidden="false" customHeight="false" outlineLevel="0" collapsed="false">
      <c r="A40" s="8" t="s">
        <v>275</v>
      </c>
      <c r="B40" s="8" t="s">
        <v>287</v>
      </c>
      <c r="C40" s="27" t="n">
        <v>1.2473</v>
      </c>
      <c r="D40" s="27" t="n">
        <f aca="false">Amendment!D44</f>
        <v>1.24731182795699</v>
      </c>
      <c r="E40" s="46" t="n">
        <f aca="false">D40-C40</f>
        <v>1.18279569891744E-005</v>
      </c>
      <c r="F40" s="47" t="str">
        <f aca="false">IF(ABS(E40)&lt;=0.00005,"PASS","FAIL")</f>
        <v>PASS</v>
      </c>
    </row>
    <row r="41" customFormat="false" ht="15" hidden="false" customHeight="false" outlineLevel="0" collapsed="false">
      <c r="A41" s="22" t="s">
        <v>275</v>
      </c>
      <c r="B41" s="22" t="s">
        <v>288</v>
      </c>
      <c r="C41" s="30" t="n">
        <v>1.199</v>
      </c>
      <c r="D41" s="30" t="n">
        <f aca="false">Amendment!D45</f>
        <v>1.19896640826873</v>
      </c>
      <c r="E41" s="48" t="n">
        <f aca="false">D41-C41</f>
        <v>-3.35917312661582E-005</v>
      </c>
      <c r="F41" s="49" t="str">
        <f aca="false">IF(ABS(E41)&lt;=0.00005,"PASS","FAIL")</f>
        <v>PASS</v>
      </c>
    </row>
    <row r="42" customFormat="false" ht="15" hidden="false" customHeight="false" outlineLevel="0" collapsed="false">
      <c r="A42" s="8" t="s">
        <v>275</v>
      </c>
      <c r="B42" s="8" t="s">
        <v>289</v>
      </c>
      <c r="C42" s="27" t="n">
        <v>1.1214</v>
      </c>
      <c r="D42" s="27" t="n">
        <f aca="false">Amendment!D46</f>
        <v>1.12144702842377</v>
      </c>
      <c r="E42" s="46" t="n">
        <f aca="false">D42-C42</f>
        <v>4.70284237725771E-005</v>
      </c>
      <c r="F42" s="47" t="str">
        <f aca="false">IF(ABS(E42)&lt;=0.00005,"PASS","FAIL")</f>
        <v>PASS</v>
      </c>
    </row>
    <row r="43" customFormat="false" ht="15" hidden="false" customHeight="false" outlineLevel="0" collapsed="false">
      <c r="A43" s="22" t="s">
        <v>275</v>
      </c>
      <c r="B43" s="22" t="s">
        <v>290</v>
      </c>
      <c r="C43" s="30" t="n">
        <v>1.0827</v>
      </c>
      <c r="D43" s="30" t="n">
        <f aca="false">Amendment!D47</f>
        <v>1.08268733850129</v>
      </c>
      <c r="E43" s="48" t="n">
        <f aca="false">D43-C43</f>
        <v>-1.26614987079332E-005</v>
      </c>
      <c r="F43" s="49" t="str">
        <f aca="false">IF(ABS(E43)&lt;=0.00005,"PASS","FAIL")</f>
        <v>PASS</v>
      </c>
    </row>
    <row r="44" customFormat="false" ht="15" hidden="false" customHeight="false" outlineLevel="0" collapsed="false">
      <c r="A44" s="8" t="s">
        <v>275</v>
      </c>
      <c r="B44" s="8" t="s">
        <v>291</v>
      </c>
      <c r="C44" s="27" t="n">
        <v>0.1646</v>
      </c>
      <c r="D44" s="27" t="n">
        <f aca="false">Amendment!B49</f>
        <v>0.164624489455697</v>
      </c>
      <c r="E44" s="46" t="n">
        <f aca="false">D44-C44</f>
        <v>2.44894556971909E-005</v>
      </c>
      <c r="F44" s="47" t="str">
        <f aca="false">IF(ABS(E44)&lt;=0.00005,"PASS","FAIL")</f>
        <v>PASS</v>
      </c>
    </row>
    <row r="45" customFormat="false" ht="15" hidden="false" customHeight="false" outlineLevel="0" collapsed="false">
      <c r="A45" s="22" t="s">
        <v>275</v>
      </c>
      <c r="B45" s="22" t="s">
        <v>292</v>
      </c>
      <c r="C45" s="30" t="n">
        <v>0.1259</v>
      </c>
      <c r="D45" s="30" t="n">
        <f aca="false">Amendment!B50</f>
        <v>0.125864799533217</v>
      </c>
      <c r="E45" s="48" t="n">
        <f aca="false">D45-C45</f>
        <v>-3.52004667832917E-005</v>
      </c>
      <c r="F45" s="49" t="str">
        <f aca="false">IF(ABS(E45)&lt;=0.00005,"PASS","FAIL")</f>
        <v>PASS</v>
      </c>
    </row>
    <row r="46" customFormat="false" ht="15" hidden="false" customHeight="false" outlineLevel="0" collapsed="false">
      <c r="A46" s="8" t="s">
        <v>275</v>
      </c>
      <c r="B46" s="8" t="s">
        <v>156</v>
      </c>
      <c r="C46" s="27" t="n">
        <v>0.0473</v>
      </c>
      <c r="D46" s="27" t="n">
        <f aca="false">Amendment!B51</f>
        <v>0.0473118279569893</v>
      </c>
      <c r="E46" s="46" t="n">
        <f aca="false">D46-C46</f>
        <v>1.18279569892923E-005</v>
      </c>
      <c r="F46" s="47" t="str">
        <f aca="false">IF(ABS(E46)&lt;=0.00005,"PASS","FAIL")</f>
        <v>PASS</v>
      </c>
    </row>
    <row r="47" customFormat="false" ht="15" hidden="false" customHeight="false" outlineLevel="0" collapsed="false">
      <c r="A47" s="22" t="s">
        <v>275</v>
      </c>
      <c r="B47" s="22" t="s">
        <v>293</v>
      </c>
      <c r="C47" s="25" t="n">
        <v>16000</v>
      </c>
      <c r="D47" s="25" t="n">
        <f aca="false">Amendment!B53</f>
        <v>16000</v>
      </c>
      <c r="E47" s="48" t="n">
        <f aca="false">D47-C47</f>
        <v>0</v>
      </c>
      <c r="F47" s="49" t="str">
        <f aca="false">IF(ABS(E47)&lt;=0.005,"PASS","FAIL")</f>
        <v>PASS</v>
      </c>
    </row>
    <row r="48" customFormat="false" ht="15" hidden="false" customHeight="false" outlineLevel="0" collapsed="false">
      <c r="A48" s="8" t="s">
        <v>275</v>
      </c>
      <c r="B48" s="8" t="s">
        <v>161</v>
      </c>
      <c r="C48" s="27" t="n">
        <v>1.664</v>
      </c>
      <c r="D48" s="27" t="n">
        <f aca="false">Amendment!B58</f>
        <v>1.66397849462366</v>
      </c>
      <c r="E48" s="46" t="n">
        <f aca="false">D48-C48</f>
        <v>-2.15053763439332E-005</v>
      </c>
      <c r="F48" s="47" t="str">
        <f aca="false">IF(ABS(E48)&lt;=0.00005,"PASS","FAIL")</f>
        <v>PASS</v>
      </c>
    </row>
    <row r="49" customFormat="false" ht="15" hidden="false" customHeight="false" outlineLevel="0" collapsed="false">
      <c r="A49" s="22" t="s">
        <v>275</v>
      </c>
      <c r="B49" s="22" t="s">
        <v>162</v>
      </c>
      <c r="C49" s="30" t="n">
        <v>0.4167</v>
      </c>
      <c r="D49" s="30" t="n">
        <f aca="false">Amendment!B59</f>
        <v>0.416666666666667</v>
      </c>
      <c r="E49" s="48" t="n">
        <f aca="false">D49-C49</f>
        <v>-3.33333333332742E-005</v>
      </c>
      <c r="F49" s="49" t="str">
        <f aca="false">IF(ABS(E49)&lt;=0.00005,"PASS","FAIL")</f>
        <v>PASS</v>
      </c>
    </row>
    <row r="50" customFormat="false" ht="15" hidden="false" customHeight="false" outlineLevel="0" collapsed="false">
      <c r="A50" s="8" t="s">
        <v>275</v>
      </c>
      <c r="B50" s="8" t="s">
        <v>163</v>
      </c>
      <c r="C50" s="27" t="n">
        <v>1.4556</v>
      </c>
      <c r="D50" s="27" t="n">
        <f aca="false">Amendment!B60</f>
        <v>1.45564516129032</v>
      </c>
      <c r="E50" s="46" t="n">
        <f aca="false">D50-C50</f>
        <v>4.5161290322504E-005</v>
      </c>
      <c r="F50" s="47" t="str">
        <f aca="false">IF(ABS(E50)&lt;=0.00005,"PASS","FAIL")</f>
        <v>PASS</v>
      </c>
    </row>
    <row r="51" customFormat="false" ht="15" hidden="false" customHeight="false" outlineLevel="0" collapsed="false">
      <c r="A51" s="22" t="s">
        <v>275</v>
      </c>
      <c r="B51" s="22" t="s">
        <v>294</v>
      </c>
      <c r="C51" s="25" t="n">
        <v>19323656.96</v>
      </c>
      <c r="D51" s="25" t="n">
        <f aca="false">Amendment!B66</f>
        <v>19323656.96</v>
      </c>
      <c r="E51" s="48" t="n">
        <f aca="false">D51-C51</f>
        <v>0</v>
      </c>
      <c r="F51" s="49" t="str">
        <f aca="false">IF(ABS(E51)&lt;=0.005,"PASS","FAIL")</f>
        <v>PASS</v>
      </c>
    </row>
    <row r="52" customFormat="false" ht="15" hidden="false" customHeight="false" outlineLevel="0" collapsed="false">
      <c r="A52" s="8" t="s">
        <v>275</v>
      </c>
      <c r="B52" s="8" t="s">
        <v>168</v>
      </c>
      <c r="C52" s="18" t="n">
        <v>72656950.17</v>
      </c>
      <c r="D52" s="18" t="n">
        <f aca="false">Amendment!B67</f>
        <v>72656950.1696</v>
      </c>
      <c r="E52" s="46" t="n">
        <f aca="false">D52-C52</f>
        <v>-0.00040002167224884</v>
      </c>
      <c r="F52" s="47" t="str">
        <f aca="false">IF(ABS(E52)&lt;=0.005,"PASS","FAIL")</f>
        <v>PASS</v>
      </c>
    </row>
    <row r="53" customFormat="false" ht="15" hidden="false" customHeight="false" outlineLevel="0" collapsed="false">
      <c r="A53" s="22" t="s">
        <v>275</v>
      </c>
      <c r="B53" s="22" t="s">
        <v>169</v>
      </c>
      <c r="C53" s="25" t="n">
        <v>15518960.23</v>
      </c>
      <c r="D53" s="25" t="n">
        <f aca="false">Amendment!B68</f>
        <v>15518960.2304</v>
      </c>
      <c r="E53" s="48" t="n">
        <f aca="false">D53-C53</f>
        <v>0.000400010496377945</v>
      </c>
      <c r="F53" s="49" t="str">
        <f aca="false">IF(ABS(E53)&lt;=0.005,"PASS","FAIL")</f>
        <v>PASS</v>
      </c>
    </row>
    <row r="54" customFormat="false" ht="15" hidden="false" customHeight="false" outlineLevel="0" collapsed="false">
      <c r="A54" s="8" t="s">
        <v>275</v>
      </c>
      <c r="B54" s="8" t="s">
        <v>295</v>
      </c>
      <c r="C54" s="35" t="n">
        <v>4.3108</v>
      </c>
      <c r="D54" s="35" t="n">
        <f aca="false">Amendment!B69</f>
        <v>4.31082228622223</v>
      </c>
      <c r="E54" s="46" t="n">
        <f aca="false">D54-C54</f>
        <v>2.22862222249987E-005</v>
      </c>
      <c r="F54" s="47" t="str">
        <f aca="false">IF(ABS(E54)&lt;=0.00005,"PASS","FAIL")</f>
        <v>PASS</v>
      </c>
    </row>
    <row r="55" customFormat="false" ht="15" hidden="false" customHeight="false" outlineLevel="0" collapsed="false">
      <c r="A55" s="22" t="s">
        <v>275</v>
      </c>
      <c r="B55" s="22" t="s">
        <v>296</v>
      </c>
      <c r="C55" s="50" t="n">
        <v>12.9325</v>
      </c>
      <c r="D55" s="50" t="n">
        <f aca="false">Amendment!B70</f>
        <v>12.9324668586667</v>
      </c>
      <c r="E55" s="48" t="n">
        <f aca="false">D55-C55</f>
        <v>-3.31413333238828E-005</v>
      </c>
      <c r="F55" s="49" t="str">
        <f aca="false">IF(ABS(E55)&lt;=0.00005,"PASS","FAIL")</f>
        <v>PASS</v>
      </c>
    </row>
    <row r="56" customFormat="false" ht="15" hidden="false" customHeight="false" outlineLevel="0" collapsed="false">
      <c r="A56" s="8" t="s">
        <v>113</v>
      </c>
      <c r="B56" s="8" t="s">
        <v>297</v>
      </c>
      <c r="C56" s="18" t="n">
        <v>4800000</v>
      </c>
      <c r="D56" s="18" t="n">
        <f aca="false">'Margin and Monitoring'!C8</f>
        <v>4800000</v>
      </c>
      <c r="E56" s="46" t="n">
        <f aca="false">D56-C56</f>
        <v>0</v>
      </c>
      <c r="F56" s="13" t="str">
        <f aca="false">IF(ABS(E56)&lt;=0.005,"PASS","FAIL")</f>
        <v>PASS</v>
      </c>
      <c r="G56" s="40"/>
    </row>
    <row r="57" customFormat="false" ht="15" hidden="false" customHeight="false" outlineLevel="0" collapsed="false">
      <c r="A57" s="22" t="s">
        <v>113</v>
      </c>
      <c r="B57" s="22" t="s">
        <v>298</v>
      </c>
      <c r="C57" s="25" t="n">
        <v>4080000</v>
      </c>
      <c r="D57" s="25" t="n">
        <f aca="false">'Margin and Monitoring'!C11</f>
        <v>4080000</v>
      </c>
      <c r="E57" s="48" t="n">
        <f aca="false">D57-C57</f>
        <v>0</v>
      </c>
      <c r="F57" s="31" t="str">
        <f aca="false">IF(ABS(E57)&lt;=0.005,"PASS","FAIL")</f>
        <v>PASS</v>
      </c>
      <c r="G57" s="40"/>
    </row>
    <row r="58" customFormat="false" ht="15" hidden="false" customHeight="false" outlineLevel="0" collapsed="false">
      <c r="A58" s="8" t="s">
        <v>113</v>
      </c>
      <c r="B58" s="8" t="s">
        <v>299</v>
      </c>
      <c r="C58" s="18" t="n">
        <v>17760000</v>
      </c>
      <c r="D58" s="18" t="n">
        <f aca="false">'Margin and Monitoring'!B12</f>
        <v>17760000</v>
      </c>
      <c r="E58" s="46" t="n">
        <f aca="false">D58-C58</f>
        <v>0</v>
      </c>
      <c r="F58" s="13" t="str">
        <f aca="false">IF(ABS(E58)&lt;=0.005,"PASS","FAIL")</f>
        <v>PASS</v>
      </c>
      <c r="G58" s="40"/>
    </row>
    <row r="59" customFormat="false" ht="15" hidden="false" customHeight="false" outlineLevel="0" collapsed="false">
      <c r="A59" s="22" t="s">
        <v>113</v>
      </c>
      <c r="B59" s="22" t="s">
        <v>300</v>
      </c>
      <c r="C59" s="23" t="n">
        <v>0.148</v>
      </c>
      <c r="D59" s="23" t="n">
        <f aca="false">'Margin and Monitoring'!B13</f>
        <v>0.148</v>
      </c>
      <c r="E59" s="48" t="n">
        <f aca="false">D59-C59</f>
        <v>0</v>
      </c>
      <c r="F59" s="31" t="str">
        <f aca="false">IF(ABS(E59)&lt;=0.0000005,"PASS","FAIL")</f>
        <v>PASS</v>
      </c>
      <c r="G59" s="40"/>
    </row>
    <row r="60" customFormat="false" ht="15" hidden="false" customHeight="false" outlineLevel="0" collapsed="false">
      <c r="A60" s="8" t="s">
        <v>113</v>
      </c>
      <c r="B60" s="8" t="s">
        <v>301</v>
      </c>
      <c r="C60" s="18" t="n">
        <v>9360000</v>
      </c>
      <c r="D60" s="18" t="n">
        <f aca="false">'Margin and Monitoring'!B14</f>
        <v>9360000</v>
      </c>
      <c r="E60" s="46" t="n">
        <f aca="false">D60-C60</f>
        <v>0</v>
      </c>
      <c r="F60" s="13" t="str">
        <f aca="false">IF(ABS(E60)&lt;=0.005,"PASS","FAIL")</f>
        <v>PASS</v>
      </c>
      <c r="G60" s="40"/>
    </row>
    <row r="61" customFormat="false" ht="15" hidden="false" customHeight="false" outlineLevel="0" collapsed="false">
      <c r="A61" s="22" t="s">
        <v>113</v>
      </c>
      <c r="B61" s="22" t="s">
        <v>302</v>
      </c>
      <c r="C61" s="23" t="n">
        <v>0.078</v>
      </c>
      <c r="D61" s="23" t="n">
        <f aca="false">'Margin and Monitoring'!B15</f>
        <v>0.078</v>
      </c>
      <c r="E61" s="48" t="n">
        <f aca="false">D61-C61</f>
        <v>0</v>
      </c>
      <c r="F61" s="31" t="str">
        <f aca="false">IF(ABS(E61)&lt;=0.0000005,"PASS","FAIL")</f>
        <v>PASS</v>
      </c>
      <c r="G61" s="40"/>
    </row>
    <row r="62" customFormat="false" ht="15" hidden="false" customHeight="false" outlineLevel="0" collapsed="false">
      <c r="A62" s="8" t="s">
        <v>113</v>
      </c>
      <c r="B62" s="8" t="s">
        <v>303</v>
      </c>
      <c r="C62" s="18" t="n">
        <v>31824089.6</v>
      </c>
      <c r="D62" s="18" t="n">
        <f aca="false">'Margin and Monitoring'!B16</f>
        <v>31824089.6</v>
      </c>
      <c r="E62" s="46" t="n">
        <f aca="false">D62-C62</f>
        <v>0</v>
      </c>
      <c r="F62" s="13" t="str">
        <f aca="false">IF(ABS(E62)&lt;=0.005,"PASS","FAIL")</f>
        <v>PASS</v>
      </c>
      <c r="G62" s="40" t="s">
        <v>304</v>
      </c>
    </row>
    <row r="63" customFormat="false" ht="15" hidden="false" customHeight="false" outlineLevel="0" collapsed="false">
      <c r="A63" s="22" t="s">
        <v>113</v>
      </c>
      <c r="B63" s="22" t="s">
        <v>305</v>
      </c>
      <c r="C63" s="50" t="n">
        <v>1.7919</v>
      </c>
      <c r="D63" s="50" t="n">
        <f aca="false">'Margin and Monitoring'!B17</f>
        <v>1.79189693693694</v>
      </c>
      <c r="E63" s="48" t="n">
        <f aca="false">D63-C63</f>
        <v>-3.06306306230297E-006</v>
      </c>
      <c r="F63" s="31" t="str">
        <f aca="false">IF(ABS(E63)&lt;=0.00005,"PASS","FAIL")</f>
        <v>PASS</v>
      </c>
      <c r="G63" s="40"/>
    </row>
    <row r="64" customFormat="false" ht="15" hidden="false" customHeight="false" outlineLevel="0" collapsed="false">
      <c r="A64" s="8" t="s">
        <v>113</v>
      </c>
      <c r="B64" s="8" t="s">
        <v>306</v>
      </c>
      <c r="C64" s="18" t="n">
        <v>53868067.2</v>
      </c>
      <c r="D64" s="18" t="n">
        <f aca="false">'Margin and Monitoring'!B18</f>
        <v>53868067.2</v>
      </c>
      <c r="E64" s="46" t="n">
        <f aca="false">D64-C64</f>
        <v>0</v>
      </c>
      <c r="F64" s="13" t="str">
        <f aca="false">IF(ABS(E64)&lt;=0.005,"PASS","FAIL")</f>
        <v>PASS</v>
      </c>
      <c r="G64" s="40" t="s">
        <v>307</v>
      </c>
    </row>
    <row r="65" customFormat="false" ht="15" hidden="false" customHeight="false" outlineLevel="0" collapsed="false">
      <c r="A65" s="22" t="s">
        <v>113</v>
      </c>
      <c r="B65" s="22" t="s">
        <v>305</v>
      </c>
      <c r="C65" s="50" t="n">
        <v>3.0331</v>
      </c>
      <c r="D65" s="50" t="n">
        <f aca="false">'Margin and Monitoring'!B19</f>
        <v>3.03311189189189</v>
      </c>
      <c r="E65" s="48" t="n">
        <f aca="false">D65-C65</f>
        <v>1.18918918925459E-005</v>
      </c>
      <c r="F65" s="31" t="str">
        <f aca="false">IF(ABS(E65)&lt;=0.00005,"PASS","FAIL")</f>
        <v>PASS</v>
      </c>
      <c r="G65" s="40"/>
    </row>
    <row r="66" customFormat="false" ht="15" hidden="false" customHeight="false" outlineLevel="0" collapsed="false">
      <c r="A66" s="8" t="s">
        <v>113</v>
      </c>
      <c r="B66" s="8" t="s">
        <v>308</v>
      </c>
      <c r="C66" s="20" t="n">
        <v>0.021216</v>
      </c>
      <c r="D66" s="20" t="n">
        <f aca="false">'Margin and Monitoring'!B20</f>
        <v>0.0212160597333333</v>
      </c>
      <c r="E66" s="46" t="n">
        <f aca="false">D66-C66</f>
        <v>5.97333333386685E-008</v>
      </c>
      <c r="F66" s="13" t="str">
        <f aca="false">IF(ABS(E66)&lt;=0.0000005,"PASS","FAIL")</f>
        <v>PASS</v>
      </c>
      <c r="G66" s="40"/>
    </row>
    <row r="67" customFormat="false" ht="15" hidden="false" customHeight="false" outlineLevel="0" collapsed="false">
      <c r="A67" s="22" t="s">
        <v>113</v>
      </c>
      <c r="B67" s="22" t="s">
        <v>309</v>
      </c>
      <c r="C67" s="25" t="n">
        <v>2400000</v>
      </c>
      <c r="D67" s="25" t="n">
        <f aca="false">'Margin and Monitoring'!B21</f>
        <v>2400000</v>
      </c>
      <c r="E67" s="48" t="n">
        <f aca="false">D67-C67</f>
        <v>0</v>
      </c>
      <c r="F67" s="31" t="str">
        <f aca="false">IF(ABS(E67)&lt;=0.005,"PASS","FAIL")</f>
        <v>PASS</v>
      </c>
      <c r="G67" s="40" t="s">
        <v>310</v>
      </c>
    </row>
    <row r="68" customFormat="false" ht="15" hidden="false" customHeight="false" outlineLevel="0" collapsed="false">
      <c r="A68" s="8" t="s">
        <v>113</v>
      </c>
      <c r="B68" s="8" t="s">
        <v>311</v>
      </c>
      <c r="C68" s="18" t="n">
        <v>3600000</v>
      </c>
      <c r="D68" s="18" t="n">
        <f aca="false">'Margin and Monitoring'!B22</f>
        <v>3600000</v>
      </c>
      <c r="E68" s="46" t="n">
        <f aca="false">D68-C68</f>
        <v>0</v>
      </c>
      <c r="F68" s="13" t="str">
        <f aca="false">IF(ABS(E68)&lt;=0.005,"PASS","FAIL")</f>
        <v>PASS</v>
      </c>
      <c r="G68" s="40" t="s">
        <v>312</v>
      </c>
    </row>
    <row r="69" customFormat="false" ht="15" hidden="false" customHeight="false" outlineLevel="0" collapsed="false">
      <c r="A69" s="22" t="s">
        <v>113</v>
      </c>
      <c r="B69" s="22" t="s">
        <v>313</v>
      </c>
      <c r="C69" s="23" t="n">
        <v>0.202703</v>
      </c>
      <c r="D69" s="23" t="n">
        <f aca="false">'Margin and Monitoring'!B23</f>
        <v>0.202702702702703</v>
      </c>
      <c r="E69" s="48" t="n">
        <f aca="false">D69-C69</f>
        <v>-2.97297297252586E-007</v>
      </c>
      <c r="F69" s="31" t="str">
        <f aca="false">IF(ABS(E69)&lt;=0.0000005,"PASS","FAIL")</f>
        <v>PASS</v>
      </c>
      <c r="G69" s="40" t="s">
        <v>314</v>
      </c>
    </row>
    <row r="70" customFormat="false" ht="15" hidden="false" customHeight="false" outlineLevel="0" collapsed="false">
      <c r="A70" s="8" t="s">
        <v>315</v>
      </c>
      <c r="B70" s="8" t="s">
        <v>316</v>
      </c>
      <c r="C70" s="20" t="n">
        <v>0.03</v>
      </c>
      <c r="D70" s="20" t="n">
        <f aca="false">'Margin and Monitoring'!B24</f>
        <v>0.03</v>
      </c>
      <c r="E70" s="46" t="n">
        <f aca="false">D70-C70</f>
        <v>0</v>
      </c>
      <c r="F70" s="13" t="str">
        <f aca="false">IF(ABS(E70)&lt;=0.0000005,"PASS","FAIL")</f>
        <v>PASS</v>
      </c>
      <c r="G70" s="40" t="s">
        <v>317</v>
      </c>
    </row>
    <row r="71" customFormat="false" ht="15" hidden="false" customHeight="false" outlineLevel="0" collapsed="false">
      <c r="A71" s="22" t="s">
        <v>113</v>
      </c>
      <c r="B71" s="22" t="s">
        <v>194</v>
      </c>
      <c r="C71" s="25" t="n">
        <v>96000000</v>
      </c>
      <c r="D71" s="25" t="n">
        <f aca="false">'Margin and Monitoring'!B25</f>
        <v>96000000</v>
      </c>
      <c r="E71" s="48" t="n">
        <f aca="false">D71-C71</f>
        <v>0</v>
      </c>
      <c r="F71" s="31" t="str">
        <f aca="false">IF(ABS(E71)&lt;=0.005,"PASS","FAIL")</f>
        <v>PASS</v>
      </c>
      <c r="G71" s="40"/>
    </row>
    <row r="72" customFormat="false" ht="15" hidden="false" customHeight="false" outlineLevel="0" collapsed="false">
      <c r="A72" s="8" t="s">
        <v>113</v>
      </c>
      <c r="B72" s="8" t="s">
        <v>195</v>
      </c>
      <c r="C72" s="27" t="n">
        <v>3.3732</v>
      </c>
      <c r="D72" s="27" t="n">
        <f aca="false">'Margin and Monitoring'!B26</f>
        <v>3.3731553056922</v>
      </c>
      <c r="E72" s="46" t="n">
        <f aca="false">D72-C72</f>
        <v>-4.46943078005191E-005</v>
      </c>
      <c r="F72" s="13" t="str">
        <f aca="false">IF(ABS(E72)&lt;=0.00005,"PASS","FAIL")</f>
        <v>PASS</v>
      </c>
      <c r="G72" s="40"/>
    </row>
    <row r="73" customFormat="false" ht="15" hidden="false" customHeight="false" outlineLevel="0" collapsed="false">
      <c r="A73" s="22" t="s">
        <v>113</v>
      </c>
      <c r="B73" s="22" t="s">
        <v>196</v>
      </c>
      <c r="C73" s="30" t="n">
        <v>4.0936</v>
      </c>
      <c r="D73" s="30" t="n">
        <f aca="false">'Margin and Monitoring'!B27</f>
        <v>4.09363507972354</v>
      </c>
      <c r="E73" s="48" t="n">
        <f aca="false">D73-C73</f>
        <v>3.50797235428857E-005</v>
      </c>
      <c r="F73" s="31" t="str">
        <f aca="false">IF(ABS(E73)&lt;=0.00005,"PASS","FAIL")</f>
        <v>PASS</v>
      </c>
      <c r="G73" s="40"/>
    </row>
    <row r="74" customFormat="false" ht="15" hidden="false" customHeight="false" outlineLevel="0" collapsed="false">
      <c r="A74" s="8" t="s">
        <v>113</v>
      </c>
      <c r="B74" s="8" t="s">
        <v>318</v>
      </c>
      <c r="C74" s="18" t="n">
        <v>-2195840</v>
      </c>
      <c r="D74" s="18" t="n">
        <f aca="false">'Margin and Monitoring'!B28</f>
        <v>-2195840</v>
      </c>
      <c r="E74" s="46" t="n">
        <f aca="false">D74-C74</f>
        <v>0</v>
      </c>
      <c r="F74" s="13" t="str">
        <f aca="false">IF(ABS(E74)&lt;=0.005,"PASS","FAIL")</f>
        <v>PASS</v>
      </c>
      <c r="G74" s="40"/>
    </row>
    <row r="75" customFormat="false" ht="15" hidden="false" customHeight="false" outlineLevel="0" collapsed="false">
      <c r="A75" s="22" t="s">
        <v>113</v>
      </c>
      <c r="B75" s="22" t="s">
        <v>319</v>
      </c>
      <c r="C75" s="25" t="n">
        <v>5628249.6</v>
      </c>
      <c r="D75" s="25" t="n">
        <f aca="false">'Margin and Monitoring'!B29</f>
        <v>5628249.6</v>
      </c>
      <c r="E75" s="48" t="n">
        <f aca="false">D75-C75</f>
        <v>0</v>
      </c>
      <c r="F75" s="31" t="str">
        <f aca="false">IF(ABS(E75)&lt;=0.005,"PASS","FAIL")</f>
        <v>PASS</v>
      </c>
      <c r="G75" s="40"/>
    </row>
    <row r="76" customFormat="false" ht="15" hidden="false" customHeight="false" outlineLevel="0" collapsed="false">
      <c r="A76" s="8" t="s">
        <v>275</v>
      </c>
      <c r="B76" s="8" t="s">
        <v>200</v>
      </c>
      <c r="C76" s="35" t="n">
        <v>24.9342</v>
      </c>
      <c r="D76" s="35" t="n">
        <f aca="false">'Margin and Monitoring'!B32</f>
        <v>24.9341810022439</v>
      </c>
      <c r="E76" s="46" t="n">
        <f aca="false">D76-C76</f>
        <v>-1.89977561255716E-005</v>
      </c>
      <c r="F76" s="13" t="str">
        <f aca="false">IF(ABS(E76)&lt;=0.00005,"PASS","FAIL")</f>
        <v>PASS</v>
      </c>
      <c r="G76" s="40"/>
    </row>
    <row r="77" customFormat="false" ht="15" hidden="false" customHeight="false" outlineLevel="0" collapsed="false">
      <c r="A77" s="22" t="s">
        <v>275</v>
      </c>
      <c r="B77" s="22" t="s">
        <v>320</v>
      </c>
      <c r="C77" s="50" t="n">
        <v>2.6702</v>
      </c>
      <c r="D77" s="50" t="n">
        <f aca="false">'Margin and Monitoring'!B33</f>
        <v>2.67015706806283</v>
      </c>
      <c r="E77" s="48" t="n">
        <f aca="false">D77-C77</f>
        <v>-4.29319371675341E-005</v>
      </c>
      <c r="F77" s="31" t="str">
        <f aca="false">IF(ABS(E77)&lt;=0.00005,"PASS","FAIL")</f>
        <v>PASS</v>
      </c>
      <c r="G77" s="40"/>
    </row>
    <row r="78" customFormat="false" ht="15" hidden="false" customHeight="false" outlineLevel="0" collapsed="false">
      <c r="A78" s="8" t="s">
        <v>275</v>
      </c>
      <c r="B78" s="8" t="s">
        <v>321</v>
      </c>
      <c r="C78" s="20" t="n">
        <v>0.065096</v>
      </c>
      <c r="D78" s="20" t="n">
        <f aca="false">'Margin and Monitoring'!B35</f>
        <v>0.0650958904109589</v>
      </c>
      <c r="E78" s="46" t="n">
        <f aca="false">D78-C78</f>
        <v>-1.09589041091818E-007</v>
      </c>
      <c r="F78" s="13" t="str">
        <f aca="false">IF(ABS(E78)&lt;=0.0000005,"PASS","FAIL")</f>
        <v>PASS</v>
      </c>
      <c r="G78" s="40"/>
    </row>
    <row r="79" customFormat="false" ht="15" hidden="false" customHeight="false" outlineLevel="0" collapsed="false">
      <c r="A79" s="22" t="s">
        <v>275</v>
      </c>
      <c r="B79" s="22" t="s">
        <v>322</v>
      </c>
      <c r="C79" s="50" t="n">
        <v>8.2447</v>
      </c>
      <c r="D79" s="50" t="n">
        <f aca="false">'Margin and Monitoring'!B36</f>
        <v>8.24468421430115</v>
      </c>
      <c r="E79" s="48" t="n">
        <f aca="false">D79-C79</f>
        <v>-1.57856988511895E-005</v>
      </c>
      <c r="F79" s="31" t="str">
        <f aca="false">IF(ABS(E79)&lt;=0.00005,"PASS","FAIL")</f>
        <v>PASS</v>
      </c>
      <c r="G79" s="40" t="s">
        <v>323</v>
      </c>
    </row>
    <row r="80" customFormat="false" ht="15" hidden="false" customHeight="false" outlineLevel="0" collapsed="false">
      <c r="A80" s="8" t="s">
        <v>275</v>
      </c>
      <c r="B80" s="8" t="s">
        <v>324</v>
      </c>
      <c r="C80" s="20" t="n">
        <v>0.02411</v>
      </c>
      <c r="D80" s="20" t="n">
        <f aca="false">'Margin and Monitoring'!B38</f>
        <v>0.0241095890410959</v>
      </c>
      <c r="E80" s="46" t="n">
        <f aca="false">D80-C80</f>
        <v>-4.10958904108194E-007</v>
      </c>
      <c r="F80" s="13" t="str">
        <f aca="false">IF(ABS(E80)&lt;=0.0000005,"PASS","FAIL")</f>
        <v>PASS</v>
      </c>
      <c r="G80" s="40"/>
    </row>
    <row r="81" customFormat="false" ht="15" hidden="false" customHeight="false" outlineLevel="0" collapsed="false">
      <c r="A81" s="22" t="s">
        <v>275</v>
      </c>
      <c r="B81" s="22" t="s">
        <v>209</v>
      </c>
      <c r="C81" s="25" t="n">
        <v>3680000</v>
      </c>
      <c r="D81" s="25" t="n">
        <f aca="false">'Margin and Monitoring'!B40</f>
        <v>3680000</v>
      </c>
      <c r="E81" s="48" t="n">
        <f aca="false">D81-C81</f>
        <v>0</v>
      </c>
      <c r="F81" s="31" t="str">
        <f aca="false">IF(ABS(E81)&lt;=0.005,"PASS","FAIL")</f>
        <v>PASS</v>
      </c>
      <c r="G81" s="40"/>
    </row>
    <row r="82" customFormat="false" ht="15" hidden="false" customHeight="false" outlineLevel="0" collapsed="false">
      <c r="A82" s="8" t="s">
        <v>275</v>
      </c>
      <c r="B82" s="8" t="s">
        <v>325</v>
      </c>
      <c r="C82" s="18" t="n">
        <v>1840000</v>
      </c>
      <c r="D82" s="18" t="n">
        <f aca="false">'Margin and Monitoring'!B41</f>
        <v>1840000</v>
      </c>
      <c r="E82" s="46" t="n">
        <f aca="false">D82-C82</f>
        <v>0</v>
      </c>
      <c r="F82" s="13" t="str">
        <f aca="false">IF(ABS(E82)&lt;=0.005,"PASS","FAIL")</f>
        <v>PASS</v>
      </c>
      <c r="G82" s="40"/>
    </row>
    <row r="83" customFormat="false" ht="15" hidden="false" customHeight="false" outlineLevel="0" collapsed="false">
      <c r="A83" s="22" t="s">
        <v>275</v>
      </c>
      <c r="B83" s="22" t="s">
        <v>211</v>
      </c>
      <c r="C83" s="25" t="n">
        <v>112160000</v>
      </c>
      <c r="D83" s="25" t="n">
        <f aca="false">'Margin and Monitoring'!B42</f>
        <v>112160000</v>
      </c>
      <c r="E83" s="48" t="n">
        <f aca="false">D83-C83</f>
        <v>0</v>
      </c>
      <c r="F83" s="31" t="str">
        <f aca="false">IF(ABS(E83)&lt;=0.005,"PASS","FAIL")</f>
        <v>PASS</v>
      </c>
      <c r="G83" s="40"/>
    </row>
    <row r="84" customFormat="false" ht="15" hidden="false" customHeight="false" outlineLevel="0" collapsed="false">
      <c r="A84" s="8" t="s">
        <v>275</v>
      </c>
      <c r="B84" s="8" t="s">
        <v>212</v>
      </c>
      <c r="C84" s="27" t="n">
        <v>3.941</v>
      </c>
      <c r="D84" s="27" t="n">
        <f aca="false">'Margin and Monitoring'!B43</f>
        <v>3.94096978215039</v>
      </c>
      <c r="E84" s="46" t="n">
        <f aca="false">D84-C84</f>
        <v>-3.02178496132122E-005</v>
      </c>
      <c r="F84" s="13" t="str">
        <f aca="false">IF(ABS(E84)&lt;=0.00005,"PASS","FAIL")</f>
        <v>PASS</v>
      </c>
      <c r="G84" s="40"/>
    </row>
    <row r="85" customFormat="false" ht="15" hidden="false" customHeight="false" outlineLevel="0" collapsed="false">
      <c r="A85" s="22" t="s">
        <v>275</v>
      </c>
      <c r="B85" s="22" t="s">
        <v>213</v>
      </c>
      <c r="C85" s="30" t="n">
        <v>4.0056</v>
      </c>
      <c r="D85" s="30" t="n">
        <f aca="false">'Margin and Monitoring'!B44</f>
        <v>4.00562192550949</v>
      </c>
      <c r="E85" s="48" t="n">
        <f aca="false">D85-C85</f>
        <v>2.19255094870974E-005</v>
      </c>
      <c r="F85" s="31" t="str">
        <f aca="false">IF(ABS(E85)&lt;=0.00005,"PASS","FAIL")</f>
        <v>PASS</v>
      </c>
      <c r="G85" s="40"/>
    </row>
    <row r="86" customFormat="false" ht="15" hidden="false" customHeight="false" outlineLevel="0" collapsed="false">
      <c r="A86" s="8" t="s">
        <v>275</v>
      </c>
      <c r="B86" s="8" t="s">
        <v>326</v>
      </c>
      <c r="C86" s="35" t="n">
        <v>0.0647</v>
      </c>
      <c r="D86" s="35" t="n">
        <f aca="false">'Margin and Monitoring'!B45</f>
        <v>0.0646521433591007</v>
      </c>
      <c r="E86" s="46" t="n">
        <f aca="false">D86-C86</f>
        <v>-4.78566408992492E-005</v>
      </c>
      <c r="F86" s="13" t="str">
        <f aca="false">IF(ABS(E86)&lt;=0.00005,"PASS","FAIL")</f>
        <v>PASS</v>
      </c>
      <c r="G86" s="40" t="s">
        <v>327</v>
      </c>
    </row>
    <row r="87" customFormat="false" ht="15" hidden="false" customHeight="false" outlineLevel="0" collapsed="false">
      <c r="A87" s="22" t="s">
        <v>275</v>
      </c>
      <c r="B87" s="22" t="s">
        <v>328</v>
      </c>
      <c r="C87" s="25" t="n">
        <v>8070000</v>
      </c>
      <c r="D87" s="25" t="n">
        <f aca="false">'Margin and Monitoring'!B46</f>
        <v>8070000</v>
      </c>
      <c r="E87" s="48" t="n">
        <f aca="false">D87-C87</f>
        <v>0</v>
      </c>
      <c r="F87" s="31" t="str">
        <f aca="false">IF(ABS(E87)&lt;=0.005,"PASS","FAIL")</f>
        <v>PASS</v>
      </c>
      <c r="G87" s="40"/>
    </row>
    <row r="88" customFormat="false" ht="15" hidden="false" customHeight="false" outlineLevel="0" collapsed="false">
      <c r="A88" s="8" t="s">
        <v>275</v>
      </c>
      <c r="B88" s="8" t="s">
        <v>329</v>
      </c>
      <c r="C88" s="18" t="n">
        <v>22300000</v>
      </c>
      <c r="D88" s="18" t="n">
        <f aca="false">'Margin and Monitoring'!B47</f>
        <v>22300000</v>
      </c>
      <c r="E88" s="46" t="n">
        <f aca="false">D88-C88</f>
        <v>0</v>
      </c>
      <c r="F88" s="13" t="str">
        <f aca="false">IF(ABS(E88)&lt;=0.005,"PASS","FAIL")</f>
        <v>PASS</v>
      </c>
      <c r="G88" s="40"/>
    </row>
    <row r="89" customFormat="false" ht="15" hidden="false" customHeight="false" outlineLevel="0" collapsed="false">
      <c r="A89" s="22" t="s">
        <v>330</v>
      </c>
      <c r="B89" s="22" t="s">
        <v>331</v>
      </c>
      <c r="C89" s="23" t="n">
        <v>0.000788</v>
      </c>
      <c r="D89" s="23" t="n">
        <f aca="false">'Margin and Monitoring'!B51</f>
        <v>0.000788441692466459</v>
      </c>
      <c r="E89" s="48" t="n">
        <f aca="false">D89-C89</f>
        <v>4.41692466458745E-007</v>
      </c>
      <c r="F89" s="31" t="str">
        <f aca="false">IF(ABS(E89)&lt;=0.0000005,"PASS","FAIL")</f>
        <v>PASS</v>
      </c>
      <c r="G89" s="40"/>
    </row>
    <row r="90" customFormat="false" ht="15" hidden="false" customHeight="false" outlineLevel="0" collapsed="false">
      <c r="A90" s="8" t="s">
        <v>330</v>
      </c>
      <c r="B90" s="8" t="s">
        <v>332</v>
      </c>
      <c r="C90" s="18" t="n">
        <v>1550000</v>
      </c>
      <c r="D90" s="18" t="n">
        <f aca="false">'Margin and Monitoring'!B53</f>
        <v>1550000</v>
      </c>
      <c r="E90" s="46" t="n">
        <f aca="false">D90-C90</f>
        <v>0</v>
      </c>
      <c r="F90" s="13" t="str">
        <f aca="false">IF(ABS(E90)&lt;=0.005,"PASS","FAIL")</f>
        <v>PASS</v>
      </c>
      <c r="G90" s="40"/>
    </row>
    <row r="91" customFormat="false" ht="15" hidden="false" customHeight="false" outlineLevel="0" collapsed="false">
      <c r="A91" s="22" t="s">
        <v>330</v>
      </c>
      <c r="B91" s="22" t="s">
        <v>333</v>
      </c>
      <c r="C91" s="30" t="n">
        <v>1.3515</v>
      </c>
      <c r="D91" s="30" t="n">
        <f aca="false">'Margin and Monitoring'!B54</f>
        <v>1.35147849462366</v>
      </c>
      <c r="E91" s="48" t="n">
        <f aca="false">D91-C91</f>
        <v>-2.15053763439332E-005</v>
      </c>
      <c r="F91" s="31" t="str">
        <f aca="false">IF(ABS(E91)&lt;=0.00005,"PASS","FAIL")</f>
        <v>PASS</v>
      </c>
      <c r="G91" s="40"/>
    </row>
    <row r="92" customFormat="false" ht="15" hidden="false" customHeight="false" outlineLevel="0" collapsed="false">
      <c r="A92" s="8" t="s">
        <v>330</v>
      </c>
      <c r="B92" s="8" t="s">
        <v>334</v>
      </c>
      <c r="C92" s="35" t="n">
        <v>0.1042</v>
      </c>
      <c r="D92" s="35" t="n">
        <f aca="false">'Margin and Monitoring'!B55</f>
        <v>0.104166666666667</v>
      </c>
      <c r="E92" s="46" t="n">
        <f aca="false">D92-C92</f>
        <v>-3.33333333332603E-005</v>
      </c>
      <c r="F92" s="13" t="str">
        <f aca="false">IF(ABS(E92)&lt;=0.00005,"PASS","FAIL")</f>
        <v>PASS</v>
      </c>
      <c r="G92" s="40"/>
    </row>
    <row r="93" customFormat="false" ht="15" hidden="false" customHeight="false" outlineLevel="0" collapsed="false">
      <c r="A93" s="22" t="s">
        <v>330</v>
      </c>
      <c r="B93" s="22" t="s">
        <v>335</v>
      </c>
      <c r="C93" s="50" t="n">
        <v>2.2017</v>
      </c>
      <c r="D93" s="50" t="n">
        <f aca="false">'Margin and Monitoring'!B56</f>
        <v>2.20170454545455</v>
      </c>
      <c r="E93" s="48" t="n">
        <f aca="false">D93-C93</f>
        <v>4.54545454520172E-006</v>
      </c>
      <c r="F93" s="31" t="str">
        <f aca="false">IF(ABS(E93)&lt;=0.00005,"PASS","FAIL")</f>
        <v>PASS</v>
      </c>
      <c r="G93" s="40"/>
    </row>
    <row r="94" customFormat="false" ht="15" hidden="false" customHeight="false" outlineLevel="0" collapsed="false">
      <c r="A94" s="8" t="s">
        <v>330</v>
      </c>
      <c r="B94" s="8" t="s">
        <v>336</v>
      </c>
      <c r="C94" s="35" t="n">
        <v>2.0491</v>
      </c>
      <c r="D94" s="35" t="n">
        <f aca="false">'Margin and Monitoring'!B57</f>
        <v>2.04912280701754</v>
      </c>
      <c r="E94" s="46" t="n">
        <f aca="false">D94-C94</f>
        <v>2.28070175434247E-005</v>
      </c>
      <c r="F94" s="13" t="str">
        <f aca="false">IF(ABS(E94)&lt;=0.00005,"PASS","FAIL")</f>
        <v>PASS</v>
      </c>
      <c r="G94" s="40"/>
    </row>
    <row r="95" customFormat="false" ht="15" hidden="false" customHeight="false" outlineLevel="0" collapsed="false">
      <c r="A95" s="22" t="s">
        <v>330</v>
      </c>
      <c r="B95" s="22" t="s">
        <v>337</v>
      </c>
      <c r="C95" s="50" t="n">
        <v>-0.1164</v>
      </c>
      <c r="D95" s="50" t="n">
        <f aca="false">'Margin and Monitoring'!B60</f>
        <v>-0.11644413211525</v>
      </c>
      <c r="E95" s="48" t="n">
        <f aca="false">D95-C95</f>
        <v>-4.41321152498397E-005</v>
      </c>
      <c r="F95" s="31" t="str">
        <f aca="false">IF(ABS(E95)&lt;=0.00005,"PASS","FAIL")</f>
        <v>PASS</v>
      </c>
      <c r="G95" s="40" t="s">
        <v>338</v>
      </c>
    </row>
    <row r="96" customFormat="false" ht="15" hidden="false" customHeight="false" outlineLevel="0" collapsed="false">
      <c r="A96" s="8" t="s">
        <v>330</v>
      </c>
      <c r="B96" s="8" t="s">
        <v>339</v>
      </c>
      <c r="C96" s="35" t="n">
        <v>0.0336</v>
      </c>
      <c r="D96" s="35" t="n">
        <f aca="false">'Margin and Monitoring'!B62</f>
        <v>0.0335558678847505</v>
      </c>
      <c r="E96" s="46" t="n">
        <f aca="false">D96-C96</f>
        <v>-4.41321152494859E-005</v>
      </c>
      <c r="F96" s="13" t="str">
        <f aca="false">IF(ABS(E96)&lt;=0.00005,"PASS","FAIL")</f>
        <v>PASS</v>
      </c>
      <c r="G96" s="40"/>
    </row>
    <row r="97" customFormat="false" ht="15" hidden="false" customHeight="false" outlineLevel="0" collapsed="false">
      <c r="A97" s="22" t="s">
        <v>260</v>
      </c>
      <c r="B97" s="22" t="s">
        <v>340</v>
      </c>
      <c r="C97" s="25" t="n">
        <v>300000</v>
      </c>
      <c r="D97" s="25" t="n">
        <f aca="false">'Margin and Monitoring'!B69</f>
        <v>300000</v>
      </c>
      <c r="E97" s="48" t="n">
        <f aca="false">D97-C97</f>
        <v>0</v>
      </c>
      <c r="F97" s="31" t="str">
        <f aca="false">IF(ABS(E97)&lt;=0.005,"PASS","FAIL")</f>
        <v>PASS</v>
      </c>
      <c r="G97" s="40"/>
    </row>
    <row r="98" customFormat="false" ht="15" hidden="false" customHeight="false" outlineLevel="0" collapsed="false">
      <c r="A98" s="8" t="s">
        <v>260</v>
      </c>
      <c r="B98" s="8" t="s">
        <v>239</v>
      </c>
      <c r="C98" s="20" t="n">
        <v>0.1837</v>
      </c>
      <c r="D98" s="20" t="n">
        <f aca="false">'Margin and Monitoring'!B70</f>
        <v>0.183699813333333</v>
      </c>
      <c r="E98" s="46" t="n">
        <f aca="false">D98-C98</f>
        <v>-1.86666666707191E-007</v>
      </c>
      <c r="F98" s="13" t="str">
        <f aca="false">IF(ABS(E98)&lt;=0.0000005,"PASS","FAIL")</f>
        <v>PASS</v>
      </c>
      <c r="G98" s="40"/>
    </row>
    <row r="99" customFormat="false" ht="15" hidden="false" customHeight="false" outlineLevel="0" collapsed="false">
      <c r="A99" s="22" t="s">
        <v>260</v>
      </c>
      <c r="B99" s="22" t="s">
        <v>341</v>
      </c>
      <c r="C99" s="23" t="n">
        <v>0.007348</v>
      </c>
      <c r="D99" s="23" t="n">
        <f aca="false">'Margin and Monitoring'!B71</f>
        <v>0.00734799253333333</v>
      </c>
      <c r="E99" s="48" t="n">
        <f aca="false">D99-C99</f>
        <v>-7.4666666686346E-009</v>
      </c>
      <c r="F99" s="31" t="str">
        <f aca="false">IF(ABS(E99)&lt;=0.0000005,"PASS","FAIL")</f>
        <v>PASS</v>
      </c>
      <c r="G99" s="40"/>
    </row>
    <row r="100" customFormat="false" ht="15" hidden="false" customHeight="false" outlineLevel="0" collapsed="false">
      <c r="A100" s="8" t="s">
        <v>260</v>
      </c>
      <c r="B100" s="8" t="s">
        <v>241</v>
      </c>
      <c r="C100" s="35" t="n">
        <v>2.9392</v>
      </c>
      <c r="D100" s="35" t="n">
        <f aca="false">'Margin and Monitoring'!B72</f>
        <v>2.93919701333333</v>
      </c>
      <c r="E100" s="46" t="n">
        <f aca="false">D100-C100</f>
        <v>-2.98666666731506E-006</v>
      </c>
      <c r="F100" s="13" t="str">
        <f aca="false">IF(ABS(E100)&lt;=0.00005,"PASS","FAIL")</f>
        <v>PASS</v>
      </c>
      <c r="G100" s="40" t="s">
        <v>342</v>
      </c>
    </row>
    <row r="101" customFormat="false" ht="15" hidden="false" customHeight="false" outlineLevel="0" collapsed="false">
      <c r="A101" s="22" t="s">
        <v>260</v>
      </c>
      <c r="B101" s="22" t="s">
        <v>343</v>
      </c>
      <c r="C101" s="23" t="n">
        <v>0.022922</v>
      </c>
      <c r="D101" s="23" t="n">
        <f aca="false">'Margin and Monitoring'!B74</f>
        <v>0.0229223284619868</v>
      </c>
      <c r="E101" s="48" t="n">
        <f aca="false">D101-C101</f>
        <v>3.28461986814216E-007</v>
      </c>
      <c r="F101" s="31" t="str">
        <f aca="false">IF(ABS(E101)&lt;=0.0000005,"PASS","FAIL")</f>
        <v>PASS</v>
      </c>
      <c r="G101" s="40"/>
    </row>
    <row r="102" customFormat="false" ht="15" hidden="false" customHeight="false" outlineLevel="0" collapsed="false">
      <c r="A102" s="8" t="s">
        <v>260</v>
      </c>
      <c r="B102" s="8" t="s">
        <v>344</v>
      </c>
      <c r="C102" s="20" t="n">
        <v>0.0388</v>
      </c>
      <c r="D102" s="20" t="n">
        <f aca="false">'Margin and Monitoring'!B75</f>
        <v>0.0388002153554388</v>
      </c>
      <c r="E102" s="46" t="n">
        <f aca="false">D102-C102</f>
        <v>2.15355438787368E-007</v>
      </c>
      <c r="F102" s="13" t="str">
        <f aca="false">IF(ABS(E102)&lt;=0.0000005,"PASS","FAIL")</f>
        <v>PASS</v>
      </c>
      <c r="G102" s="40" t="s">
        <v>345</v>
      </c>
    </row>
    <row r="103" customFormat="false" ht="15" hidden="false" customHeight="false" outlineLevel="0" collapsed="false">
      <c r="A103" s="22" t="s">
        <v>260</v>
      </c>
      <c r="B103" s="22" t="s">
        <v>346</v>
      </c>
      <c r="C103" s="23" t="n">
        <v>0.079917</v>
      </c>
      <c r="D103" s="23" t="n">
        <f aca="false">'Margin and Monitoring'!B76</f>
        <v>0.0799167874936945</v>
      </c>
      <c r="E103" s="48" t="n">
        <f aca="false">D103-C103</f>
        <v>-2.1250630551084E-007</v>
      </c>
      <c r="F103" s="31" t="str">
        <f aca="false">IF(ABS(E103)&lt;=0.0000005,"PASS","FAIL")</f>
        <v>PASS</v>
      </c>
      <c r="G103" s="40" t="s">
        <v>345</v>
      </c>
    </row>
    <row r="104" customFormat="false" ht="15" hidden="false" customHeight="false" outlineLevel="0" collapsed="false">
      <c r="A104" s="8" t="s">
        <v>260</v>
      </c>
      <c r="B104" s="8" t="s">
        <v>347</v>
      </c>
      <c r="C104" s="35" t="n">
        <v>3.7707</v>
      </c>
      <c r="D104" s="35" t="n">
        <f aca="false">'Margin and Monitoring'!B79</f>
        <v>3.77072844842669</v>
      </c>
      <c r="E104" s="46" t="n">
        <f aca="false">D104-C104</f>
        <v>2.84484266894758E-005</v>
      </c>
      <c r="F104" s="13" t="str">
        <f aca="false">IF(ABS(E104)&lt;=0.00005,"PASS","FAIL")</f>
        <v>PASS</v>
      </c>
      <c r="G104" s="40"/>
    </row>
    <row r="105" customFormat="false" ht="15" hidden="false" customHeight="false" outlineLevel="0" collapsed="false">
      <c r="A105" s="22" t="s">
        <v>113</v>
      </c>
      <c r="B105" s="22" t="s">
        <v>348</v>
      </c>
      <c r="C105" s="25" t="n">
        <v>0</v>
      </c>
      <c r="D105" s="25" t="n">
        <f aca="false">ROUND('Margin and Monitoring'!B12-Pricing!$B$9*Inputs!$B$38*(4-6*Inputs!$B$41),4)</f>
        <v>0</v>
      </c>
      <c r="E105" s="48" t="n">
        <f aca="false">D105-C105</f>
        <v>0</v>
      </c>
      <c r="F105" s="31" t="str">
        <f aca="false">IF(ABS(E105)&lt;=0.005,"PASS","FAIL")</f>
        <v>PASS</v>
      </c>
      <c r="G105" s="40" t="s">
        <v>349</v>
      </c>
    </row>
    <row r="107" customFormat="false" ht="15" hidden="false" customHeight="false" outlineLevel="0" collapsed="false">
      <c r="B107" s="13" t="s">
        <v>350</v>
      </c>
      <c r="C107" s="13" t="n">
        <f aca="false">COUNTIF(F6:F105,"PASS")</f>
        <v>100</v>
      </c>
    </row>
    <row r="108" customFormat="false" ht="15" hidden="false" customHeight="false" outlineLevel="0" collapsed="false">
      <c r="B108" s="13" t="s">
        <v>351</v>
      </c>
      <c r="C108" s="13" t="n">
        <f aca="false">COUNTIF(F6:F105,"FAIL")</f>
        <v>0</v>
      </c>
    </row>
    <row r="109" customFormat="false" ht="15" hidden="false" customHeight="false" outlineLevel="0" collapsed="false">
      <c r="B109" s="13" t="s">
        <v>352</v>
      </c>
      <c r="C109" s="13" t="str">
        <f aca="false">IF(COUNTIF(F6:F105,"PASS")=100,"ALL OK",COUNTIF(F6:F105,"FAIL")&amp;" FAIL")</f>
        <v>ALL OK</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2026-08-29T07:07:07Z</dcterms:created>
  <dc:creator>openpyxl</dc:creator>
  <dc:description/>
  <dc:language>en-US</dc:language>
  <cp:lastModifiedBy/>
  <dcterms:modified xsi:type="dcterms:W3CDTF">2026-09-24T01:47:19Z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