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ridge" sheetId="3" state="visible" r:id="rId5"/>
    <sheet name="Covenants" sheetId="4" state="visible" r:id="rId6"/>
    <sheet name="Package and Rate"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<sst xmlns="http://schemas.openxmlformats.org/spreadsheetml/2006/main" count="355" uniqueCount="247">
  <si>
    <t xml:space="preserve">The Covenant Test</t>
  </si>
  <si>
    <t xml:space="preserve">Companion workbook 2 to Credit Analysis, by Julian R. Sterling</t>
  </si>
  <si>
    <t xml:space="preserve">What this workbook is</t>
  </si>
  <si>
    <t xml:space="preserve">Both covenants built from the cash flow, and each solved for the fall that breaks it. The test with the smaller tolerance is the binding test, and on the book's figures it is leverage, by a factor of nearly five.</t>
  </si>
  <si>
    <t xml:space="preserve">The experiment to run first</t>
  </si>
  <si>
    <t xml:space="preserve">Set the leverage covenant to 4.75x and read the two tolerances again. The binding test changes, and so does the answer to the only question a credit committee needs settled: what has to go wrong, and by how much, before we get a conversation.</t>
  </si>
  <si>
    <t xml:space="preserve">On the rate sensitivity</t>
  </si>
  <si>
    <t xml:space="preserve">The block at the bottom moves the interest rate and leaves everything else alone. It is the fastest way to show what a floating-rate facility does to a cover ratio, and it belongs in the paper whenever the loan is not hedged.</t>
  </si>
  <si>
    <t xml:space="preserve">The Checks sheet sets every figure the book prints beside this workbook's own formula, to the last printed decimal. Where the book is wrong, the row carries the corrected figure and its note says what the book prints. A FAIL means an input or a formula has changed.</t>
  </si>
  <si>
    <t xml:space="preserve">Revised 24 September 2026</t>
  </si>
  <si>
    <t xml:space="preserve">Revised 24 September 2026. A new sheet, Package and Rate, computes the cover family, the rate that breaks cover, the like-for-like ranking, the four controls of Chapter 11, the caps, the levels and the cures. Two small corrections: the frozen-policies control gives 3.9139x, not 3.9140x, and the two tolerances are 4.8041 times apart in their own units (Chapter 16 prints 4.8044 from rounded inputs; Chapter 10 has it right). The Checks sheet now tests to the last printed decimal.</t>
  </si>
  <si>
    <t xml:space="preserve">Halstead Packaging — inputs</t>
  </si>
  <si>
    <t xml:space="preserve">Blue cells on a yellow fill are inputs. Everything else in this workbook is a formula.</t>
  </si>
  <si>
    <t xml:space="preserve">The business</t>
  </si>
  <si>
    <t xml:space="preserve">Revenue</t>
  </si>
  <si>
    <t xml:space="preserve">Statutory EBITDA</t>
  </si>
  <si>
    <t xml:space="preserve">Add-backs proposed by management — switch each on or off</t>
  </si>
  <si>
    <t xml:space="preserve">Adjustment</t>
  </si>
  <si>
    <t xml:space="preserve">Amount</t>
  </si>
  <si>
    <t xml:space="preserve">On</t>
  </si>
  <si>
    <t xml:space="preserve">Restructuring described as non-recurring</t>
  </si>
  <si>
    <t xml:space="preserve">Run-rate savings from the plant closed in March</t>
  </si>
  <si>
    <t xml:space="preserve">Full-year effect of the acquisition completed in July</t>
  </si>
  <si>
    <t xml:space="preserve">Sponsor monitoring fees</t>
  </si>
  <si>
    <t xml:space="preserve">Share-based payment</t>
  </si>
  <si>
    <t xml:space="preserve">Foreign exchange losses</t>
  </si>
  <si>
    <t xml:space="preserve">Total add-backs switched on</t>
  </si>
  <si>
    <t xml:space="preserve">Quality-of-earnings haircuts — switch each on or off</t>
  </si>
  <si>
    <t xml:space="preserve">Disallowance</t>
  </si>
  <si>
    <t xml:space="preserve">Savings not yet actioned, 60 per cent of the run-rate</t>
  </si>
  <si>
    <t xml:space="preserve">Acquisition effect capped at contracts already signed</t>
  </si>
  <si>
    <t xml:space="preserve">Restructuring, recurring for a third year</t>
  </si>
  <si>
    <t xml:space="preserve">Development costs capitalised that should be expensed</t>
  </si>
  <si>
    <t xml:space="preserve">Total haircuts switched on</t>
  </si>
  <si>
    <t xml:space="preserve">From earnings to cash</t>
  </si>
  <si>
    <t xml:space="preserve">Maintenance capital expenditure</t>
  </si>
  <si>
    <t xml:space="preserve">Increase in working capital</t>
  </si>
  <si>
    <t xml:space="preserve">Cash tax</t>
  </si>
  <si>
    <t xml:space="preserve">The facility and the covenants</t>
  </si>
  <si>
    <t xml:space="preserve">Senior net debt</t>
  </si>
  <si>
    <t xml:space="preserve">Interest rate</t>
  </si>
  <si>
    <t xml:space="preserve">Base rate</t>
  </si>
  <si>
    <t xml:space="preserve">Amortisation rate</t>
  </si>
  <si>
    <t xml:space="preserve">Leverage covenant</t>
  </si>
  <si>
    <t xml:space="preserve">Cover covenant</t>
  </si>
  <si>
    <t xml:space="preserve">The downside, the recovery and the price</t>
  </si>
  <si>
    <t xml:space="preserve">Operating leverage</t>
  </si>
  <si>
    <t xml:space="preserve">Revenue change in the downside</t>
  </si>
  <si>
    <t xml:space="preserve">Enforcement costs</t>
  </si>
  <si>
    <t xml:space="preserve">Probability of default (an assumption)</t>
  </si>
  <si>
    <t xml:space="preserve">Covenant level after a reset</t>
  </si>
  <si>
    <t xml:space="preserve">Amendment fee</t>
  </si>
  <si>
    <t xml:space="preserve">Margin ratchet</t>
  </si>
  <si>
    <t xml:space="preserve">The bridge, from the audited number to cash</t>
  </si>
  <si>
    <t xml:space="preserve">Every line is an argument. Switch it off on the Inputs sheet and watch the leverage move.</t>
  </si>
  <si>
    <t xml:space="preserve">Cumulative</t>
  </si>
  <si>
    <t xml:space="preserve">+ Restructuring described as non-recurring</t>
  </si>
  <si>
    <t xml:space="preserve">+ Run-rate savings from the plant closed in March</t>
  </si>
  <si>
    <t xml:space="preserve">+ Full-year effect of the acquisition completed in July</t>
  </si>
  <si>
    <t xml:space="preserve">+ Sponsor monitoring fees</t>
  </si>
  <si>
    <t xml:space="preserve">+ Share-based payment</t>
  </si>
  <si>
    <t xml:space="preserve">+ Foreign exchange losses</t>
  </si>
  <si>
    <t xml:space="preserve">= EBITDA as adjusted by management</t>
  </si>
  <si>
    <t xml:space="preserve">- Savings not yet actioned, 60 per cent of the run-rate</t>
  </si>
  <si>
    <t xml:space="preserve">- Acquisition effect capped at contracts already signed</t>
  </si>
  <si>
    <t xml:space="preserve">- Restructuring, recurring for a third year</t>
  </si>
  <si>
    <t xml:space="preserve">- Development costs capitalised that should be expensed</t>
  </si>
  <si>
    <t xml:space="preserve">= EBITDA as adjusted by the lender</t>
  </si>
  <si>
    <t xml:space="preserve">- Maintenance capital expenditure</t>
  </si>
  <si>
    <t xml:space="preserve">- Increase in working capital</t>
  </si>
  <si>
    <t xml:space="preserve">- Cash tax</t>
  </si>
  <si>
    <t xml:space="preserve">= Cash available for debt service</t>
  </si>
  <si>
    <t xml:space="preserve">What the add-backs are worth</t>
  </si>
  <si>
    <t xml:space="preserve">Add-backs as a share of statutory EBITDA</t>
  </si>
  <si>
    <t xml:space="preserve">Add-backs as a share of the number the loan is sized on</t>
  </si>
  <si>
    <t xml:space="preserve">Both covenants, and the one that binds</t>
  </si>
  <si>
    <t xml:space="preserve">Solve each test for the fall that breaks it. The smaller fall is the binding test.</t>
  </si>
  <si>
    <t xml:space="preserve">Debt service</t>
  </si>
  <si>
    <t xml:space="preserve">Interest</t>
  </si>
  <si>
    <t xml:space="preserve">Amortisation</t>
  </si>
  <si>
    <t xml:space="preserve">The two tests, today</t>
  </si>
  <si>
    <t xml:space="preserve">Test</t>
  </si>
  <si>
    <t xml:space="preserve">Value</t>
  </si>
  <si>
    <t xml:space="preserve">Covenant</t>
  </si>
  <si>
    <t xml:space="preserve">Leverage, on the lender's EBITDA</t>
  </si>
  <si>
    <t xml:space="preserve">Cover, on cash available for debt service</t>
  </si>
  <si>
    <t xml:space="preserve">The fall that breaks each test</t>
  </si>
  <si>
    <t xml:space="preserve">EBITDA at which the leverage covenant breaks</t>
  </si>
  <si>
    <t xml:space="preserve">Fall in EBITDA the leverage covenant tolerates</t>
  </si>
  <si>
    <t xml:space="preserve">Cash at which the cover covenant breaks</t>
  </si>
  <si>
    <t xml:space="preserve">Fall in cash the cover covenant tolerates</t>
  </si>
  <si>
    <t xml:space="preserve">The binding test</t>
  </si>
  <si>
    <t xml:space="preserve">How many times tighter the binding test is</t>
  </si>
  <si>
    <t xml:space="preserve">What a rise in the base rate does to cover</t>
  </si>
  <si>
    <t xml:space="preserve">Rise in the rate</t>
  </si>
  <si>
    <t xml:space="preserve">Cover</t>
  </si>
  <si>
    <t xml:space="preserve">+0 basis points</t>
  </si>
  <si>
    <t xml:space="preserve">+100 basis points</t>
  </si>
  <si>
    <t xml:space="preserve">+200 basis points</t>
  </si>
  <si>
    <t xml:space="preserve">+300 basis points</t>
  </si>
  <si>
    <t xml:space="preserve">+400 basis points</t>
  </si>
  <si>
    <t xml:space="preserve">A floating-rate loan with 1.2473x of cover is a different instrument from a fixed-rate one,</t>
  </si>
  <si>
    <t xml:space="preserve">and the difference is measurable rather than rhetorical.</t>
  </si>
  <si>
    <t xml:space="preserve">The cover family, the rate that breaks it, and the package that would survive</t>
  </si>
  <si>
    <t xml:space="preserve">Chapters 9, 10 and 11, each figure a formula on the same inputs.</t>
  </si>
  <si>
    <t xml:space="preserve">The cover family (Chapter 9)</t>
  </si>
  <si>
    <t xml:space="preserve">Interest cover, on the lender's EBITDA</t>
  </si>
  <si>
    <t xml:space="preserve">Interest cover, on cash</t>
  </si>
  <si>
    <t xml:space="preserve">Fixed charge numerator: EBITDA less maintenance capital expenditure and cash tax</t>
  </si>
  <si>
    <t xml:space="preserve">Fixed charge cover</t>
  </si>
  <si>
    <t xml:space="preserve">Debt service cover, on EBITDA</t>
  </si>
  <si>
    <t xml:space="preserve">Debt service cover, on cash (the test)</t>
  </si>
  <si>
    <t xml:space="preserve">Highest over lowest</t>
  </si>
  <si>
    <t xml:space="preserve">Interest cover on management's EBITDA</t>
  </si>
  <si>
    <t xml:space="preserve">  over the test the loan is documented against</t>
  </si>
  <si>
    <t xml:space="preserve">Amortisation, as a share of debt service</t>
  </si>
  <si>
    <t xml:space="preserve">The rate that breaks cover (Chapter 9)</t>
  </si>
  <si>
    <t xml:space="preserve">Cover cushion, in money</t>
  </si>
  <si>
    <t xml:space="preserve">  as a share of revenue</t>
  </si>
  <si>
    <t xml:space="preserve">Rise in the base rate tested</t>
  </si>
  <si>
    <t xml:space="preserve">Debt service at that rate</t>
  </si>
  <si>
    <t xml:space="preserve">Cover at that rate</t>
  </si>
  <si>
    <t xml:space="preserve">Extra interest, over the cushion</t>
  </si>
  <si>
    <t xml:space="preserve">Debt service the covenant tolerates</t>
  </si>
  <si>
    <t xml:space="preserve">Interest the covenant tolerates</t>
  </si>
  <si>
    <t xml:space="preserve">Break-even rate</t>
  </si>
  <si>
    <t xml:space="preserve">  rise in the rate, basis points</t>
  </si>
  <si>
    <t xml:space="preserve">Rise in cash needed to restore the covenant at the higher rate</t>
  </si>
  <si>
    <t xml:space="preserve">Equity cure counted as cash</t>
  </si>
  <si>
    <t xml:space="preserve">The same cheque prepaying debt: debt after</t>
  </si>
  <si>
    <t xml:space="preserve">  debt service after</t>
  </si>
  <si>
    <t xml:space="preserve">  cover after: still a breach</t>
  </si>
  <si>
    <t xml:space="preserve">Capital expenditure the borrower designates as growth</t>
  </si>
  <si>
    <t xml:space="preserve">  cover with the carve-out</t>
  </si>
  <si>
    <t xml:space="preserve">  turns of cover bought by a memorandum</t>
  </si>
  <si>
    <t xml:space="preserve">  cushion with the carve-out</t>
  </si>
  <si>
    <t xml:space="preserve">Which test binds, like for like (Chapter 10)</t>
  </si>
  <si>
    <t xml:space="preserve">Cover cushion as a share of the lender's EBITDA</t>
  </si>
  <si>
    <t xml:space="preserve">Like for like: cover tolerance over leverage tolerance</t>
  </si>
  <si>
    <t xml:space="preserve">In their own units (as the compliance certificate reads)</t>
  </si>
  <si>
    <t xml:space="preserve">Revised: Chapter 16 prints 4.8044, from rounded inputs</t>
  </si>
  <si>
    <t xml:space="preserve">Net add-backs still inside the lender's EBITDA</t>
  </si>
  <si>
    <t xml:space="preserve">  as a share of itself</t>
  </si>
  <si>
    <t xml:space="preserve">Leverage cushion, as a share of the add-backs presented</t>
  </si>
  <si>
    <t xml:space="preserve">Second stage: EBITDA over cash available</t>
  </si>
  <si>
    <t xml:space="preserve">Downside: rise in EBITDA that restores leverage</t>
  </si>
  <si>
    <t xml:space="preserve">Downside: rise in cash that restores cover</t>
  </si>
  <si>
    <t xml:space="preserve">  cover needs this many times the recovery</t>
  </si>
  <si>
    <t xml:space="preserve">Four controls, priced on the bridge (Chapter 11)</t>
  </si>
  <si>
    <t xml:space="preserve">Control, and the haircut it protects</t>
  </si>
  <si>
    <t xml:space="preserve">Add-back at stake</t>
  </si>
  <si>
    <t xml:space="preserve">Leverage if allowed</t>
  </si>
  <si>
    <t xml:space="preserve">Turns saved</t>
  </si>
  <si>
    <t xml:space="preserve">Sum of the four prices (do not add them in a paper)</t>
  </si>
  <si>
    <t xml:space="preserve">The whole set together: lender less management</t>
  </si>
  <si>
    <t xml:space="preserve">  overstatement from adding</t>
  </si>
  <si>
    <t xml:space="preserve">Cap on add-backs, share of unadjusted EBITDA</t>
  </si>
  <si>
    <t xml:space="preserve">  add-backs allowed</t>
  </si>
  <si>
    <t xml:space="preserve">  leverage</t>
  </si>
  <si>
    <t xml:space="preserve">  headroom, turns</t>
  </si>
  <si>
    <t xml:space="preserve">  times the headroom the lender ended with</t>
  </si>
  <si>
    <t xml:space="preserve">A second cap</t>
  </si>
  <si>
    <t xml:space="preserve">Cap implied by the lender's own diligence</t>
  </si>
  <si>
    <t xml:space="preserve">The first cap written on adjusted EBITDA instead: add-backs allowed</t>
  </si>
  <si>
    <t xml:space="preserve">  more than on the unadjusted number</t>
  </si>
  <si>
    <t xml:space="preserve">  in turns</t>
  </si>
  <si>
    <t xml:space="preserve">Leverage level</t>
  </si>
  <si>
    <t xml:space="preserve">EBITDA it admits</t>
  </si>
  <si>
    <t xml:space="preserve">Fall it tolerates</t>
  </si>
  <si>
    <t xml:space="preserve">Headroom, turns</t>
  </si>
  <si>
    <t xml:space="preserve">The downside case</t>
  </si>
  <si>
    <t xml:space="preserve">Room left at the reset level in the downside, turns</t>
  </si>
  <si>
    <t xml:space="preserve">Cure of the downside breach, applied to debt</t>
  </si>
  <si>
    <t xml:space="preserve">  debt after</t>
  </si>
  <si>
    <t xml:space="preserve">Cure of the same breach, credited to EBITDA</t>
  </si>
  <si>
    <t xml:space="preserve">  the one over the other: the covenant level</t>
  </si>
  <si>
    <t xml:space="preserve">Checks</t>
  </si>
  <si>
    <t xml:space="preserve">Each row sets a figure printed in the book beside the figure this workbook computes.</t>
  </si>
  <si>
    <t xml:space="preserve">Ch.</t>
  </si>
  <si>
    <t xml:space="preserve">Figure</t>
  </si>
  <si>
    <t xml:space="preserve">Printed</t>
  </si>
  <si>
    <t xml:space="preserve">Workbook</t>
  </si>
  <si>
    <t xml:space="preserve">Difference</t>
  </si>
  <si>
    <t xml:space="preserve">Result</t>
  </si>
  <si>
    <t xml:space="preserve">Note</t>
  </si>
  <si>
    <t xml:space="preserve">9</t>
  </si>
  <si>
    <t xml:space="preserve">8</t>
  </si>
  <si>
    <t xml:space="preserve">Leverage on the lender's EBITDA</t>
  </si>
  <si>
    <t xml:space="preserve">10</t>
  </si>
  <si>
    <t xml:space="preserve">Interest cover on EBITDA</t>
  </si>
  <si>
    <t xml:space="preserve">Interest cover on cash</t>
  </si>
  <si>
    <t xml:space="preserve">Fixed charge numerator</t>
  </si>
  <si>
    <t xml:space="preserve">Debt service cover on EBITDA</t>
  </si>
  <si>
    <t xml:space="preserve">  over the documented test</t>
  </si>
  <si>
    <t xml:space="preserve">Amortisation as a share of debt service</t>
  </si>
  <si>
    <t xml:space="preserve">Cover cushion in money</t>
  </si>
  <si>
    <t xml:space="preserve">Cover at plus 200 basis points</t>
  </si>
  <si>
    <t xml:space="preserve">Extra interest over the cushion</t>
  </si>
  <si>
    <t xml:space="preserve">Interest it tolerates</t>
  </si>
  <si>
    <t xml:space="preserve">  rise in basis points</t>
  </si>
  <si>
    <t xml:space="preserve">Rise in cash to cure at 9.40 per cent</t>
  </si>
  <si>
    <t xml:space="preserve">Cure counted as cash</t>
  </si>
  <si>
    <t xml:space="preserve">  prepaying instead: debt after</t>
  </si>
  <si>
    <t xml:space="preserve">  cover after</t>
  </si>
  <si>
    <t xml:space="preserve">Growth carve-out: cover</t>
  </si>
  <si>
    <t xml:space="preserve">  turns bought</t>
  </si>
  <si>
    <t xml:space="preserve">  cushion</t>
  </si>
  <si>
    <t xml:space="preserve">Cover cushion as a share of EBITDA</t>
  </si>
  <si>
    <t xml:space="preserve">Like-for-like ratio</t>
  </si>
  <si>
    <t xml:space="preserve">Ratio in own units</t>
  </si>
  <si>
    <t xml:space="preserve">revised: Chapter 16 prints 4.8044</t>
  </si>
  <si>
    <t xml:space="preserve">Net add-backs in the lender's EBITDA</t>
  </si>
  <si>
    <t xml:space="preserve">  share of itself</t>
  </si>
  <si>
    <t xml:space="preserve">Cushion over the add-backs presented</t>
  </si>
  <si>
    <t xml:space="preserve">Cushion over revenue</t>
  </si>
  <si>
    <t xml:space="preserve">EBITDA over cash</t>
  </si>
  <si>
    <t xml:space="preserve">Downside: rise that restores leverage</t>
  </si>
  <si>
    <t xml:space="preserve">Downside: rise that restores cover</t>
  </si>
  <si>
    <t xml:space="preserve">  ratio</t>
  </si>
  <si>
    <t xml:space="preserve">11</t>
  </si>
  <si>
    <t xml:space="preserve">Look-forward: leverage if allowed</t>
  </si>
  <si>
    <t xml:space="preserve">  turns</t>
  </si>
  <si>
    <t xml:space="preserve">Contracted pro forma: leverage</t>
  </si>
  <si>
    <t xml:space="preserve">Certification: leverage</t>
  </si>
  <si>
    <t xml:space="preserve">Frozen policies: leverage</t>
  </si>
  <si>
    <t xml:space="preserve">revised: Chapter 11 prints 3.9140</t>
  </si>
  <si>
    <t xml:space="preserve">Sum of the four prices</t>
  </si>
  <si>
    <t xml:space="preserve">The set together</t>
  </si>
  <si>
    <t xml:space="preserve">Overstatement</t>
  </si>
  <si>
    <t xml:space="preserve">20 per cent cap: add-backs allowed</t>
  </si>
  <si>
    <t xml:space="preserve">  headroom</t>
  </si>
  <si>
    <t xml:space="preserve">25 per cent cap: leverage</t>
  </si>
  <si>
    <t xml:space="preserve">Cap implied by the diligence</t>
  </si>
  <si>
    <t xml:space="preserve">Cap on adjusted EBITDA: add-backs allowed</t>
  </si>
  <si>
    <t xml:space="preserve">  difference</t>
  </si>
  <si>
    <t xml:space="preserve">4.75x: EBITDA admitted</t>
  </si>
  <si>
    <t xml:space="preserve">  fall tolerated</t>
  </si>
  <si>
    <t xml:space="preserve">5.25x: EBITDA admitted</t>
  </si>
  <si>
    <t xml:space="preserve">Room left at 5.25x in the downside</t>
  </si>
  <si>
    <t xml:space="preserve">Cure applied to debt</t>
  </si>
  <si>
    <t xml:space="preserve">Cure credited to EBITDA</t>
  </si>
  <si>
    <t xml:space="preserve">Identity, any inputs: at the break-even rate, cover is exactly the covenant</t>
  </si>
  <si>
    <t xml:space="preserve">holds for any inputs</t>
  </si>
  <si>
    <t xml:space="preserve">Identity, any inputs: the prepayment cure is the covenant level times the EBITDA cure</t>
  </si>
  <si>
    <t xml:space="preserve">Checks that pass</t>
  </si>
  <si>
    <t xml:space="preserve">Checks that fail</t>
  </si>
  <si>
    <t xml:space="preserve">All checks</t>
  </si>
</sst>
</file>

<file path=xl/styles.xml><?xml version="1.0" encoding="utf-8"?>
<styleSheet xmlns="http://schemas.openxmlformats.org/spreadsheetml/2006/main">
  <numFmts count="12">
    <numFmt numFmtId="164" formatCode="General"/>
    <numFmt numFmtId="165" formatCode="#,##0.00;\-#,##0.00"/>
    <numFmt numFmtId="166" formatCode="0"/>
    <numFmt numFmtId="167" formatCode="0.0000%"/>
    <numFmt numFmtId="168" formatCode="0.0000\x"/>
    <numFmt numFmtId="169" formatCode="0.00"/>
    <numFmt numFmtId="170" formatCode="@"/>
    <numFmt numFmtId="171" formatCode="0.00\x"/>
    <numFmt numFmtId="172" formatCode="0.0000"/>
    <numFmt numFmtId="173" formatCode="0.00%"/>
    <numFmt numFmtId="174" formatCode="0%"/>
    <numFmt numFmtId="175" formatCode="0.000000"/>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sz val="10"/>
      <color rgb="FF5A6A70"/>
      <name val="Calibri"/>
      <family val="0"/>
      <charset val="1"/>
    </font>
    <font>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3" fontId="8" fillId="2"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74" fontId="8" fillId="2"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0" fontId="10"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6" customFormat="false" ht="30" hidden="false" customHeight="true" outlineLevel="0" collapsed="false">
      <c r="A16" s="5" t="s">
        <v>8</v>
      </c>
    </row>
    <row r="18" customFormat="false" ht="15" hidden="false" customHeight="false" outlineLevel="0" collapsed="false">
      <c r="A18" s="6" t="s">
        <v>9</v>
      </c>
    </row>
    <row r="20" customFormat="false" ht="75" hidden="false" customHeight="true" outlineLevel="0" collapsed="false">
      <c r="A20"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10"/>
    <col collapsed="false" customWidth="true" hidden="false" outlineLevel="0" max="4" min="4" style="0" width="40"/>
  </cols>
  <sheetData>
    <row r="1" customFormat="false" ht="24" hidden="false" customHeight="true" outlineLevel="0" collapsed="false">
      <c r="A1" s="1" t="s">
        <v>11</v>
      </c>
    </row>
    <row r="2" customFormat="false" ht="15" hidden="false" customHeight="false" outlineLevel="0" collapsed="false">
      <c r="A2" s="2" t="s">
        <v>12</v>
      </c>
    </row>
    <row r="3" customFormat="false" ht="15" hidden="false" customHeight="false" outlineLevel="0" collapsed="false">
      <c r="A3" s="3"/>
      <c r="B3" s="3"/>
      <c r="C3" s="3"/>
      <c r="D3" s="3"/>
    </row>
    <row r="5" customFormat="false" ht="15" hidden="false" customHeight="false" outlineLevel="0" collapsed="false">
      <c r="A5" s="4" t="s">
        <v>13</v>
      </c>
      <c r="B5" s="7"/>
      <c r="C5" s="7"/>
      <c r="D5" s="7"/>
    </row>
    <row r="7" customFormat="false" ht="15" hidden="false" customHeight="false" outlineLevel="0" collapsed="false">
      <c r="A7" s="8" t="s">
        <v>14</v>
      </c>
      <c r="B7" s="9" t="n">
        <v>285000000</v>
      </c>
    </row>
    <row r="8" customFormat="false" ht="15" hidden="false" customHeight="false" outlineLevel="0" collapsed="false">
      <c r="A8" s="8" t="s">
        <v>15</v>
      </c>
      <c r="B8" s="9" t="n">
        <v>24600000</v>
      </c>
    </row>
    <row r="10" customFormat="false" ht="15" hidden="false" customHeight="false" outlineLevel="0" collapsed="false">
      <c r="A10" s="4" t="s">
        <v>16</v>
      </c>
      <c r="B10" s="7"/>
      <c r="C10" s="7"/>
      <c r="D10" s="7"/>
    </row>
    <row r="12" customFormat="false" ht="30" hidden="false" customHeight="true" outlineLevel="0" collapsed="false">
      <c r="A12" s="10" t="s">
        <v>17</v>
      </c>
      <c r="B12" s="11" t="s">
        <v>18</v>
      </c>
      <c r="C12" s="11" t="s">
        <v>19</v>
      </c>
      <c r="D12" s="11"/>
    </row>
    <row r="13" customFormat="false" ht="15" hidden="false" customHeight="false" outlineLevel="0" collapsed="false">
      <c r="A13" s="8" t="s">
        <v>20</v>
      </c>
      <c r="B13" s="9" t="n">
        <v>3400000</v>
      </c>
      <c r="C13" s="12" t="n">
        <v>1</v>
      </c>
    </row>
    <row r="14" customFormat="false" ht="15" hidden="false" customHeight="false" outlineLevel="0" collapsed="false">
      <c r="A14" s="8" t="s">
        <v>21</v>
      </c>
      <c r="B14" s="9" t="n">
        <v>2900000</v>
      </c>
      <c r="C14" s="12" t="n">
        <v>1</v>
      </c>
    </row>
    <row r="15" customFormat="false" ht="15" hidden="false" customHeight="false" outlineLevel="0" collapsed="false">
      <c r="A15" s="8" t="s">
        <v>22</v>
      </c>
      <c r="B15" s="9" t="n">
        <v>4200000</v>
      </c>
      <c r="C15" s="12" t="n">
        <v>1</v>
      </c>
    </row>
    <row r="16" customFormat="false" ht="15" hidden="false" customHeight="false" outlineLevel="0" collapsed="false">
      <c r="A16" s="8" t="s">
        <v>23</v>
      </c>
      <c r="B16" s="9" t="n">
        <v>1100000</v>
      </c>
      <c r="C16" s="12" t="n">
        <v>1</v>
      </c>
    </row>
    <row r="17" customFormat="false" ht="15" hidden="false" customHeight="false" outlineLevel="0" collapsed="false">
      <c r="A17" s="8" t="s">
        <v>24</v>
      </c>
      <c r="B17" s="9" t="n">
        <v>800000</v>
      </c>
      <c r="C17" s="12" t="n">
        <v>1</v>
      </c>
    </row>
    <row r="18" customFormat="false" ht="15" hidden="false" customHeight="false" outlineLevel="0" collapsed="false">
      <c r="A18" s="8" t="s">
        <v>25</v>
      </c>
      <c r="B18" s="9" t="n">
        <v>600000</v>
      </c>
      <c r="C18" s="12" t="n">
        <v>1</v>
      </c>
    </row>
    <row r="19" customFormat="false" ht="15" hidden="false" customHeight="false" outlineLevel="0" collapsed="false">
      <c r="A19" s="13" t="s">
        <v>26</v>
      </c>
      <c r="B19" s="14" t="n">
        <f aca="false">SUMPRODUCT(B13:B18,C13:C18)</f>
        <v>13000000</v>
      </c>
    </row>
    <row r="21" customFormat="false" ht="15" hidden="false" customHeight="false" outlineLevel="0" collapsed="false">
      <c r="A21" s="4" t="s">
        <v>27</v>
      </c>
      <c r="B21" s="7"/>
      <c r="C21" s="7"/>
      <c r="D21" s="7"/>
    </row>
    <row r="23" customFormat="false" ht="30" hidden="false" customHeight="true" outlineLevel="0" collapsed="false">
      <c r="A23" s="10" t="s">
        <v>28</v>
      </c>
      <c r="B23" s="11" t="s">
        <v>18</v>
      </c>
      <c r="C23" s="11" t="s">
        <v>19</v>
      </c>
      <c r="D23" s="11"/>
    </row>
    <row r="24" customFormat="false" ht="15" hidden="false" customHeight="false" outlineLevel="0" collapsed="false">
      <c r="A24" s="8" t="s">
        <v>29</v>
      </c>
      <c r="B24" s="9" t="n">
        <v>1740000</v>
      </c>
      <c r="C24" s="12" t="n">
        <v>1</v>
      </c>
    </row>
    <row r="25" customFormat="false" ht="15" hidden="false" customHeight="false" outlineLevel="0" collapsed="false">
      <c r="A25" s="8" t="s">
        <v>30</v>
      </c>
      <c r="B25" s="9" t="n">
        <v>1800000</v>
      </c>
      <c r="C25" s="12" t="n">
        <v>1</v>
      </c>
    </row>
    <row r="26" customFormat="false" ht="15" hidden="false" customHeight="false" outlineLevel="0" collapsed="false">
      <c r="A26" s="8" t="s">
        <v>31</v>
      </c>
      <c r="B26" s="9" t="n">
        <v>3400000</v>
      </c>
      <c r="C26" s="12" t="n">
        <v>1</v>
      </c>
    </row>
    <row r="27" customFormat="false" ht="15" hidden="false" customHeight="false" outlineLevel="0" collapsed="false">
      <c r="A27" s="8" t="s">
        <v>32</v>
      </c>
      <c r="B27" s="9" t="n">
        <v>2200000</v>
      </c>
      <c r="C27" s="12" t="n">
        <v>1</v>
      </c>
    </row>
    <row r="28" customFormat="false" ht="15" hidden="false" customHeight="false" outlineLevel="0" collapsed="false">
      <c r="A28" s="13" t="s">
        <v>33</v>
      </c>
      <c r="B28" s="14" t="n">
        <f aca="false">SUMPRODUCT(B24:B27,C24:C27)</f>
        <v>9140000</v>
      </c>
    </row>
    <row r="30" customFormat="false" ht="15" hidden="false" customHeight="false" outlineLevel="0" collapsed="false">
      <c r="A30" s="4" t="s">
        <v>34</v>
      </c>
      <c r="B30" s="7"/>
      <c r="C30" s="7"/>
      <c r="D30" s="7"/>
    </row>
    <row r="32" customFormat="false" ht="15" hidden="false" customHeight="false" outlineLevel="0" collapsed="false">
      <c r="A32" s="8" t="s">
        <v>35</v>
      </c>
      <c r="B32" s="9" t="n">
        <v>6200000</v>
      </c>
    </row>
    <row r="33" customFormat="false" ht="15" hidden="false" customHeight="false" outlineLevel="0" collapsed="false">
      <c r="A33" s="8" t="s">
        <v>36</v>
      </c>
      <c r="B33" s="9" t="n">
        <v>1600000</v>
      </c>
    </row>
    <row r="34" customFormat="false" ht="15" hidden="false" customHeight="false" outlineLevel="0" collapsed="false">
      <c r="A34" s="8" t="s">
        <v>37</v>
      </c>
      <c r="B34" s="9" t="n">
        <v>2100000</v>
      </c>
    </row>
    <row r="36" customFormat="false" ht="15" hidden="false" customHeight="false" outlineLevel="0" collapsed="false">
      <c r="A36" s="4" t="s">
        <v>38</v>
      </c>
      <c r="B36" s="7"/>
      <c r="C36" s="7"/>
      <c r="D36" s="7"/>
    </row>
    <row r="38" customFormat="false" ht="15" hidden="false" customHeight="false" outlineLevel="0" collapsed="false">
      <c r="A38" s="8" t="s">
        <v>39</v>
      </c>
      <c r="B38" s="9" t="n">
        <v>120000000</v>
      </c>
    </row>
    <row r="39" customFormat="false" ht="15" hidden="false" customHeight="false" outlineLevel="0" collapsed="false">
      <c r="A39" s="8" t="s">
        <v>40</v>
      </c>
      <c r="B39" s="15" t="n">
        <v>0.074</v>
      </c>
    </row>
    <row r="40" customFormat="false" ht="15" hidden="false" customHeight="false" outlineLevel="0" collapsed="false">
      <c r="A40" s="8" t="s">
        <v>41</v>
      </c>
      <c r="B40" s="15" t="n">
        <v>0.034</v>
      </c>
    </row>
    <row r="41" customFormat="false" ht="15" hidden="false" customHeight="false" outlineLevel="0" collapsed="false">
      <c r="A41" s="8" t="s">
        <v>42</v>
      </c>
      <c r="B41" s="15" t="n">
        <v>0.05</v>
      </c>
    </row>
    <row r="42" customFormat="false" ht="15" hidden="false" customHeight="false" outlineLevel="0" collapsed="false">
      <c r="A42" s="8" t="s">
        <v>43</v>
      </c>
      <c r="B42" s="16" t="n">
        <v>4.25</v>
      </c>
    </row>
    <row r="43" customFormat="false" ht="15" hidden="false" customHeight="false" outlineLevel="0" collapsed="false">
      <c r="A43" s="8" t="s">
        <v>44</v>
      </c>
      <c r="B43" s="16" t="n">
        <v>1.2</v>
      </c>
    </row>
    <row r="45" customFormat="false" ht="15" hidden="false" customHeight="false" outlineLevel="0" collapsed="false">
      <c r="A45" s="4" t="s">
        <v>45</v>
      </c>
      <c r="B45" s="7"/>
      <c r="C45" s="7"/>
      <c r="D45" s="7"/>
    </row>
    <row r="47" customFormat="false" ht="15" hidden="false" customHeight="false" outlineLevel="0" collapsed="false">
      <c r="A47" s="8" t="s">
        <v>46</v>
      </c>
      <c r="B47" s="17" t="n">
        <v>2.2</v>
      </c>
    </row>
    <row r="48" customFormat="false" ht="15" hidden="false" customHeight="false" outlineLevel="0" collapsed="false">
      <c r="A48" s="8" t="s">
        <v>47</v>
      </c>
      <c r="B48" s="15" t="n">
        <v>-0.08</v>
      </c>
    </row>
    <row r="49" customFormat="false" ht="15" hidden="false" customHeight="false" outlineLevel="0" collapsed="false">
      <c r="A49" s="8" t="s">
        <v>48</v>
      </c>
      <c r="B49" s="15" t="n">
        <v>0.06</v>
      </c>
    </row>
    <row r="50" customFormat="false" ht="15" hidden="false" customHeight="false" outlineLevel="0" collapsed="false">
      <c r="A50" s="8" t="s">
        <v>49</v>
      </c>
      <c r="B50" s="15" t="n">
        <v>0.04</v>
      </c>
    </row>
    <row r="51" customFormat="false" ht="15" hidden="false" customHeight="false" outlineLevel="0" collapsed="false">
      <c r="A51" s="8" t="s">
        <v>50</v>
      </c>
      <c r="B51" s="16" t="n">
        <v>5.25</v>
      </c>
    </row>
    <row r="52" customFormat="false" ht="15" hidden="false" customHeight="false" outlineLevel="0" collapsed="false">
      <c r="A52" s="8" t="s">
        <v>51</v>
      </c>
      <c r="B52" s="15" t="n">
        <v>0.01</v>
      </c>
    </row>
    <row r="53" customFormat="false" ht="15" hidden="false" customHeight="false" outlineLevel="0" collapsed="false">
      <c r="A53" s="8" t="s">
        <v>52</v>
      </c>
      <c r="B53" s="15" t="n">
        <v>0.005</v>
      </c>
    </row>
  </sheetData>
  <dataValidations count="10">
    <dataValidation allowBlank="false" errorStyle="stop" operator="between" showDropDown="false" showErrorMessage="false" showInputMessage="false" sqref="C13" type="list">
      <formula1>"1,0"</formula1>
      <formula2>0</formula2>
    </dataValidation>
    <dataValidation allowBlank="false" errorStyle="stop" operator="between" showDropDown="false" showErrorMessage="false" showInputMessage="false" sqref="C14" type="list">
      <formula1>"1,0"</formula1>
      <formula2>0</formula2>
    </dataValidation>
    <dataValidation allowBlank="false" errorStyle="stop" operator="between" showDropDown="false" showErrorMessage="false" showInputMessage="false" sqref="C15" type="list">
      <formula1>"1,0"</formula1>
      <formula2>0</formula2>
    </dataValidation>
    <dataValidation allowBlank="false" errorStyle="stop" operator="between" showDropDown="false" showErrorMessage="false" showInputMessage="false" sqref="C16" type="list">
      <formula1>"1,0"</formula1>
      <formula2>0</formula2>
    </dataValidation>
    <dataValidation allowBlank="false" errorStyle="stop" operator="between" showDropDown="false" showErrorMessage="false" showInputMessage="false" sqref="C17" type="list">
      <formula1>"1,0"</formula1>
      <formula2>0</formula2>
    </dataValidation>
    <dataValidation allowBlank="false" errorStyle="stop" operator="between" showDropDown="false" showErrorMessage="false" showInputMessage="false" sqref="C18" type="list">
      <formula1>"1,0"</formula1>
      <formula2>0</formula2>
    </dataValidation>
    <dataValidation allowBlank="false" errorStyle="stop" operator="between" showDropDown="false" showErrorMessage="false" showInputMessage="false" sqref="C24" type="list">
      <formula1>"1,0"</formula1>
      <formula2>0</formula2>
    </dataValidation>
    <dataValidation allowBlank="false" errorStyle="stop" operator="between" showDropDown="false" showErrorMessage="false" showInputMessage="false" sqref="C25" type="list">
      <formula1>"1,0"</formula1>
      <formula2>0</formula2>
    </dataValidation>
    <dataValidation allowBlank="false" errorStyle="stop" operator="between" showDropDown="false" showErrorMessage="false" showInputMessage="false" sqref="C26" type="list">
      <formula1>"1,0"</formula1>
      <formula2>0</formula2>
    </dataValidation>
    <dataValidation allowBlank="false" errorStyle="stop" operator="between" showDropDown="false" showErrorMessage="false" showInputMessage="false" sqref="C27"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20"/>
  </cols>
  <sheetData>
    <row r="1" customFormat="false" ht="24" hidden="false" customHeight="true" outlineLevel="0" collapsed="false">
      <c r="A1" s="1" t="s">
        <v>53</v>
      </c>
    </row>
    <row r="2" customFormat="false" ht="15" hidden="false" customHeight="false" outlineLevel="0" collapsed="false">
      <c r="A2" s="2" t="s">
        <v>54</v>
      </c>
    </row>
    <row r="3" customFormat="false" ht="15" hidden="false" customHeight="false" outlineLevel="0" collapsed="false">
      <c r="A3" s="3"/>
      <c r="B3" s="3"/>
      <c r="C3" s="3"/>
    </row>
    <row r="5" customFormat="false" ht="30" hidden="false" customHeight="true" outlineLevel="0" collapsed="false">
      <c r="A5" s="10"/>
      <c r="B5" s="11" t="s">
        <v>18</v>
      </c>
      <c r="C5" s="11" t="s">
        <v>55</v>
      </c>
    </row>
    <row r="6" customFormat="false" ht="15" hidden="false" customHeight="false" outlineLevel="0" collapsed="false">
      <c r="A6" s="13" t="s">
        <v>15</v>
      </c>
      <c r="B6" s="14" t="n">
        <f aca="false">Inputs!B8</f>
        <v>24600000</v>
      </c>
      <c r="C6" s="14" t="n">
        <f aca="false">B6</f>
        <v>24600000</v>
      </c>
    </row>
    <row r="7" customFormat="false" ht="15" hidden="false" customHeight="false" outlineLevel="0" collapsed="false">
      <c r="A7" s="8" t="s">
        <v>56</v>
      </c>
      <c r="B7" s="18" t="n">
        <f aca="false">Inputs!B13*Inputs!C13</f>
        <v>3400000</v>
      </c>
      <c r="C7" s="18" t="n">
        <f aca="false">C6+B7</f>
        <v>28000000</v>
      </c>
    </row>
    <row r="8" customFormat="false" ht="15" hidden="false" customHeight="false" outlineLevel="0" collapsed="false">
      <c r="A8" s="8" t="s">
        <v>57</v>
      </c>
      <c r="B8" s="18" t="n">
        <f aca="false">Inputs!B14*Inputs!C14</f>
        <v>2900000</v>
      </c>
      <c r="C8" s="18" t="n">
        <f aca="false">C7+B8</f>
        <v>30900000</v>
      </c>
    </row>
    <row r="9" customFormat="false" ht="15" hidden="false" customHeight="false" outlineLevel="0" collapsed="false">
      <c r="A9" s="8" t="s">
        <v>58</v>
      </c>
      <c r="B9" s="18" t="n">
        <f aca="false">Inputs!B15*Inputs!C15</f>
        <v>4200000</v>
      </c>
      <c r="C9" s="18" t="n">
        <f aca="false">C8+B9</f>
        <v>35100000</v>
      </c>
    </row>
    <row r="10" customFormat="false" ht="15" hidden="false" customHeight="false" outlineLevel="0" collapsed="false">
      <c r="A10" s="8" t="s">
        <v>59</v>
      </c>
      <c r="B10" s="18" t="n">
        <f aca="false">Inputs!B16*Inputs!C16</f>
        <v>1100000</v>
      </c>
      <c r="C10" s="18" t="n">
        <f aca="false">C9+B10</f>
        <v>36200000</v>
      </c>
    </row>
    <row r="11" customFormat="false" ht="15" hidden="false" customHeight="false" outlineLevel="0" collapsed="false">
      <c r="A11" s="8" t="s">
        <v>60</v>
      </c>
      <c r="B11" s="18" t="n">
        <f aca="false">Inputs!B17*Inputs!C17</f>
        <v>800000</v>
      </c>
      <c r="C11" s="18" t="n">
        <f aca="false">C10+B11</f>
        <v>37000000</v>
      </c>
    </row>
    <row r="12" customFormat="false" ht="15" hidden="false" customHeight="false" outlineLevel="0" collapsed="false">
      <c r="A12" s="8" t="s">
        <v>61</v>
      </c>
      <c r="B12" s="18" t="n">
        <f aca="false">Inputs!B18*Inputs!C18</f>
        <v>600000</v>
      </c>
      <c r="C12" s="18" t="n">
        <f aca="false">C11+B12</f>
        <v>37600000</v>
      </c>
    </row>
    <row r="13" customFormat="false" ht="15" hidden="false" customHeight="false" outlineLevel="0" collapsed="false">
      <c r="A13" s="13" t="s">
        <v>62</v>
      </c>
      <c r="B13" s="14" t="n">
        <f aca="false">C12</f>
        <v>37600000</v>
      </c>
      <c r="C13" s="14" t="n">
        <f aca="false">B13</f>
        <v>37600000</v>
      </c>
    </row>
    <row r="14" customFormat="false" ht="15" hidden="false" customHeight="false" outlineLevel="0" collapsed="false">
      <c r="A14" s="8" t="s">
        <v>63</v>
      </c>
      <c r="B14" s="18" t="n">
        <f aca="false">-Inputs!B24*Inputs!C24</f>
        <v>-1740000</v>
      </c>
      <c r="C14" s="18" t="n">
        <f aca="false">C13+B14</f>
        <v>35860000</v>
      </c>
    </row>
    <row r="15" customFormat="false" ht="15" hidden="false" customHeight="false" outlineLevel="0" collapsed="false">
      <c r="A15" s="8" t="s">
        <v>64</v>
      </c>
      <c r="B15" s="18" t="n">
        <f aca="false">-Inputs!B25*Inputs!C25</f>
        <v>-1800000</v>
      </c>
      <c r="C15" s="18" t="n">
        <f aca="false">C14+B15</f>
        <v>34060000</v>
      </c>
    </row>
    <row r="16" customFormat="false" ht="15" hidden="false" customHeight="false" outlineLevel="0" collapsed="false">
      <c r="A16" s="8" t="s">
        <v>65</v>
      </c>
      <c r="B16" s="18" t="n">
        <f aca="false">-Inputs!B26*Inputs!C26</f>
        <v>-3400000</v>
      </c>
      <c r="C16" s="18" t="n">
        <f aca="false">C15+B16</f>
        <v>30660000</v>
      </c>
    </row>
    <row r="17" customFormat="false" ht="15" hidden="false" customHeight="false" outlineLevel="0" collapsed="false">
      <c r="A17" s="8" t="s">
        <v>66</v>
      </c>
      <c r="B17" s="18" t="n">
        <f aca="false">-Inputs!B27*Inputs!C27</f>
        <v>-2200000</v>
      </c>
      <c r="C17" s="18" t="n">
        <f aca="false">C16+B17</f>
        <v>28460000</v>
      </c>
    </row>
    <row r="18" customFormat="false" ht="15" hidden="false" customHeight="false" outlineLevel="0" collapsed="false">
      <c r="A18" s="13" t="s">
        <v>67</v>
      </c>
      <c r="B18" s="14" t="n">
        <f aca="false">C17</f>
        <v>28460000</v>
      </c>
      <c r="C18" s="14" t="n">
        <f aca="false">B18</f>
        <v>28460000</v>
      </c>
    </row>
    <row r="19" customFormat="false" ht="15" hidden="false" customHeight="false" outlineLevel="0" collapsed="false">
      <c r="A19" s="8" t="s">
        <v>68</v>
      </c>
      <c r="B19" s="18" t="n">
        <f aca="false">-Inputs!B32</f>
        <v>-6200000</v>
      </c>
      <c r="C19" s="18" t="n">
        <f aca="false">C18+B19</f>
        <v>22260000</v>
      </c>
    </row>
    <row r="20" customFormat="false" ht="15" hidden="false" customHeight="false" outlineLevel="0" collapsed="false">
      <c r="A20" s="8" t="s">
        <v>69</v>
      </c>
      <c r="B20" s="18" t="n">
        <f aca="false">-Inputs!B33</f>
        <v>-1600000</v>
      </c>
      <c r="C20" s="18" t="n">
        <f aca="false">C19+B20</f>
        <v>20660000</v>
      </c>
    </row>
    <row r="21" customFormat="false" ht="15" hidden="false" customHeight="false" outlineLevel="0" collapsed="false">
      <c r="A21" s="8" t="s">
        <v>70</v>
      </c>
      <c r="B21" s="18" t="n">
        <f aca="false">-Inputs!B34</f>
        <v>-2100000</v>
      </c>
      <c r="C21" s="18" t="n">
        <f aca="false">C20+B21</f>
        <v>18560000</v>
      </c>
    </row>
    <row r="22" customFormat="false" ht="15" hidden="false" customHeight="false" outlineLevel="0" collapsed="false">
      <c r="A22" s="13" t="s">
        <v>71</v>
      </c>
      <c r="B22" s="14" t="n">
        <f aca="false">C21</f>
        <v>18560000</v>
      </c>
      <c r="C22" s="14" t="n">
        <f aca="false">B22</f>
        <v>18560000</v>
      </c>
    </row>
    <row r="24" customFormat="false" ht="15" hidden="false" customHeight="false" outlineLevel="0" collapsed="false">
      <c r="A24" s="4" t="s">
        <v>72</v>
      </c>
      <c r="B24" s="7"/>
      <c r="C24" s="7"/>
    </row>
    <row r="26" customFormat="false" ht="15" hidden="false" customHeight="false" outlineLevel="0" collapsed="false">
      <c r="A26" s="13" t="s">
        <v>73</v>
      </c>
      <c r="B26" s="19" t="n">
        <f aca="false">Inputs!B19/B6</f>
        <v>0.528455284552846</v>
      </c>
    </row>
    <row r="27" customFormat="false" ht="15" hidden="false" customHeight="false" outlineLevel="0" collapsed="false">
      <c r="A27" s="13" t="s">
        <v>74</v>
      </c>
      <c r="B27" s="19" t="n">
        <f aca="false">Inputs!B19/B13</f>
        <v>0.345744680851064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20"/>
    <col collapsed="false" customWidth="true" hidden="false" outlineLevel="0" max="3" min="3" style="0" width="46"/>
  </cols>
  <sheetData>
    <row r="1" customFormat="false" ht="24" hidden="false" customHeight="true" outlineLevel="0" collapsed="false">
      <c r="A1" s="1" t="s">
        <v>75</v>
      </c>
    </row>
    <row r="2" customFormat="false" ht="15" hidden="false" customHeight="false" outlineLevel="0" collapsed="false">
      <c r="A2" s="2" t="s">
        <v>76</v>
      </c>
    </row>
    <row r="3" customFormat="false" ht="15" hidden="false" customHeight="false" outlineLevel="0" collapsed="false">
      <c r="A3" s="3"/>
      <c r="B3" s="3"/>
      <c r="C3" s="3"/>
    </row>
    <row r="5" customFormat="false" ht="15" hidden="false" customHeight="false" outlineLevel="0" collapsed="false">
      <c r="A5" s="4" t="s">
        <v>77</v>
      </c>
      <c r="B5" s="7"/>
      <c r="C5" s="7"/>
    </row>
    <row r="7" customFormat="false" ht="15" hidden="false" customHeight="false" outlineLevel="0" collapsed="false">
      <c r="A7" s="8" t="s">
        <v>39</v>
      </c>
      <c r="B7" s="18" t="n">
        <f aca="false">Inputs!B38</f>
        <v>120000000</v>
      </c>
    </row>
    <row r="8" customFormat="false" ht="15" hidden="false" customHeight="false" outlineLevel="0" collapsed="false">
      <c r="A8" s="8" t="s">
        <v>78</v>
      </c>
      <c r="B8" s="18" t="n">
        <f aca="false">Inputs!B38*Inputs!B39</f>
        <v>8880000</v>
      </c>
    </row>
    <row r="9" customFormat="false" ht="15" hidden="false" customHeight="false" outlineLevel="0" collapsed="false">
      <c r="A9" s="8" t="s">
        <v>79</v>
      </c>
      <c r="B9" s="18" t="n">
        <f aca="false">Inputs!B38*Inputs!B41</f>
        <v>6000000</v>
      </c>
    </row>
    <row r="10" customFormat="false" ht="15" hidden="false" customHeight="false" outlineLevel="0" collapsed="false">
      <c r="A10" s="13" t="s">
        <v>77</v>
      </c>
      <c r="B10" s="14" t="n">
        <f aca="false">B8+B9</f>
        <v>14880000</v>
      </c>
    </row>
    <row r="12" customFormat="false" ht="15" hidden="false" customHeight="false" outlineLevel="0" collapsed="false">
      <c r="A12" s="4" t="s">
        <v>80</v>
      </c>
      <c r="B12" s="7"/>
      <c r="C12" s="7"/>
    </row>
    <row r="14" customFormat="false" ht="30" hidden="false" customHeight="true" outlineLevel="0" collapsed="false">
      <c r="A14" s="10" t="s">
        <v>81</v>
      </c>
      <c r="B14" s="11" t="s">
        <v>82</v>
      </c>
      <c r="C14" s="11" t="s">
        <v>83</v>
      </c>
    </row>
    <row r="15" customFormat="false" ht="15" hidden="false" customHeight="false" outlineLevel="0" collapsed="false">
      <c r="A15" s="13" t="s">
        <v>84</v>
      </c>
      <c r="B15" s="20" t="n">
        <f aca="false">Inputs!B38/Bridge!B18</f>
        <v>4.21644413211525</v>
      </c>
      <c r="C15" s="21" t="n">
        <f aca="false">Inputs!B42</f>
        <v>4.25</v>
      </c>
    </row>
    <row r="16" customFormat="false" ht="15" hidden="false" customHeight="false" outlineLevel="0" collapsed="false">
      <c r="A16" s="13" t="s">
        <v>85</v>
      </c>
      <c r="B16" s="20" t="n">
        <f aca="false">Bridge!B22/B10</f>
        <v>1.24731182795699</v>
      </c>
      <c r="C16" s="21" t="n">
        <f aca="false">Inputs!B43</f>
        <v>1.2</v>
      </c>
    </row>
    <row r="18" customFormat="false" ht="15" hidden="false" customHeight="false" outlineLevel="0" collapsed="false">
      <c r="A18" s="4" t="s">
        <v>86</v>
      </c>
      <c r="B18" s="7"/>
      <c r="C18" s="7"/>
    </row>
    <row r="20" customFormat="false" ht="15" hidden="false" customHeight="false" outlineLevel="0" collapsed="false">
      <c r="A20" s="8" t="s">
        <v>87</v>
      </c>
      <c r="B20" s="18" t="n">
        <f aca="false">Inputs!B38/Inputs!B42</f>
        <v>28235294.1176471</v>
      </c>
    </row>
    <row r="21" customFormat="false" ht="15" hidden="false" customHeight="false" outlineLevel="0" collapsed="false">
      <c r="A21" s="13" t="s">
        <v>88</v>
      </c>
      <c r="B21" s="19" t="n">
        <f aca="false">1-B20/Bridge!B18</f>
        <v>0.00789549832582359</v>
      </c>
    </row>
    <row r="22" customFormat="false" ht="15" hidden="false" customHeight="false" outlineLevel="0" collapsed="false">
      <c r="A22" s="8" t="s">
        <v>89</v>
      </c>
      <c r="B22" s="18" t="n">
        <f aca="false">Inputs!B43*B10</f>
        <v>17856000</v>
      </c>
    </row>
    <row r="23" customFormat="false" ht="15" hidden="false" customHeight="false" outlineLevel="0" collapsed="false">
      <c r="A23" s="13" t="s">
        <v>90</v>
      </c>
      <c r="B23" s="19" t="n">
        <f aca="false">1-B22/Bridge!B22</f>
        <v>0.0379310344827586</v>
      </c>
    </row>
    <row r="24" customFormat="false" ht="15" hidden="false" customHeight="false" outlineLevel="0" collapsed="false">
      <c r="A24" s="13" t="s">
        <v>91</v>
      </c>
      <c r="B24" s="22" t="str">
        <f aca="false">IF(B21&lt;B23,"leverage","cover")</f>
        <v>leverage</v>
      </c>
    </row>
    <row r="25" customFormat="false" ht="15" hidden="false" customHeight="false" outlineLevel="0" collapsed="false">
      <c r="A25" s="8" t="s">
        <v>92</v>
      </c>
      <c r="B25" s="23" t="n">
        <f aca="false">MAX(B21,B23)/MIN(B21,B23)</f>
        <v>4.80413432027445</v>
      </c>
    </row>
    <row r="27" customFormat="false" ht="15" hidden="false" customHeight="false" outlineLevel="0" collapsed="false">
      <c r="A27" s="4" t="s">
        <v>93</v>
      </c>
      <c r="B27" s="7"/>
      <c r="C27" s="7"/>
    </row>
    <row r="29" customFormat="false" ht="30" hidden="false" customHeight="true" outlineLevel="0" collapsed="false">
      <c r="A29" s="10" t="s">
        <v>94</v>
      </c>
      <c r="B29" s="11" t="s">
        <v>77</v>
      </c>
      <c r="C29" s="11" t="s">
        <v>95</v>
      </c>
    </row>
    <row r="30" customFormat="false" ht="15" hidden="false" customHeight="false" outlineLevel="0" collapsed="false">
      <c r="A30" s="8" t="s">
        <v>96</v>
      </c>
      <c r="B30" s="18" t="n">
        <f aca="false">Inputs!$B$38*(Inputs!$B$39+0)+Inputs!$B$38*Inputs!$B$41</f>
        <v>14880000</v>
      </c>
      <c r="C30" s="20" t="n">
        <f aca="false">Bridge!$B$22/B30</f>
        <v>1.24731182795699</v>
      </c>
    </row>
    <row r="31" customFormat="false" ht="15" hidden="false" customHeight="false" outlineLevel="0" collapsed="false">
      <c r="A31" s="8" t="s">
        <v>97</v>
      </c>
      <c r="B31" s="18" t="n">
        <f aca="false">Inputs!$B$38*(Inputs!$B$39+0.01)+Inputs!$B$38*Inputs!$B$41</f>
        <v>16080000</v>
      </c>
      <c r="C31" s="21" t="n">
        <f aca="false">Bridge!$B$22/B31</f>
        <v>1.15422885572139</v>
      </c>
    </row>
    <row r="32" customFormat="false" ht="15" hidden="false" customHeight="false" outlineLevel="0" collapsed="false">
      <c r="A32" s="8" t="s">
        <v>98</v>
      </c>
      <c r="B32" s="18" t="n">
        <f aca="false">Inputs!$B$38*(Inputs!$B$39+0.02)+Inputs!$B$38*Inputs!$B$41</f>
        <v>17280000</v>
      </c>
      <c r="C32" s="21" t="n">
        <f aca="false">Bridge!$B$22/B32</f>
        <v>1.07407407407407</v>
      </c>
    </row>
    <row r="33" customFormat="false" ht="15" hidden="false" customHeight="false" outlineLevel="0" collapsed="false">
      <c r="A33" s="8" t="s">
        <v>99</v>
      </c>
      <c r="B33" s="18" t="n">
        <f aca="false">Inputs!$B$38*(Inputs!$B$39+0.03)+Inputs!$B$38*Inputs!$B$41</f>
        <v>18480000</v>
      </c>
      <c r="C33" s="21" t="n">
        <f aca="false">Bridge!$B$22/B33</f>
        <v>1.004329004329</v>
      </c>
    </row>
    <row r="34" customFormat="false" ht="15" hidden="false" customHeight="false" outlineLevel="0" collapsed="false">
      <c r="A34" s="8" t="s">
        <v>100</v>
      </c>
      <c r="B34" s="18" t="n">
        <f aca="false">Inputs!$B$38*(Inputs!$B$39+0.04)+Inputs!$B$38*Inputs!$B$41</f>
        <v>19680000</v>
      </c>
      <c r="C34" s="21" t="n">
        <f aca="false">Bridge!$B$22/B34</f>
        <v>0.943089430894309</v>
      </c>
    </row>
    <row r="36" customFormat="false" ht="15" hidden="false" customHeight="false" outlineLevel="0" collapsed="false">
      <c r="A36" s="24" t="s">
        <v>101</v>
      </c>
    </row>
    <row r="37" customFormat="false" ht="15" hidden="false" customHeight="false" outlineLevel="0" collapsed="false">
      <c r="A37" s="24"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5" min="2" style="0" width="20"/>
    <col collapsed="false" customWidth="true" hidden="false" outlineLevel="0" max="6" min="6" style="0" width="44"/>
  </cols>
  <sheetData>
    <row r="1" customFormat="false" ht="19.7" hidden="false" customHeight="false" outlineLevel="0" collapsed="false">
      <c r="A1" s="25" t="s">
        <v>103</v>
      </c>
    </row>
    <row r="2" customFormat="false" ht="15" hidden="false" customHeight="false" outlineLevel="0" collapsed="false">
      <c r="A2" s="26" t="s">
        <v>104</v>
      </c>
    </row>
    <row r="5" customFormat="false" ht="15" hidden="false" customHeight="false" outlineLevel="0" collapsed="false">
      <c r="A5" s="6" t="s">
        <v>105</v>
      </c>
    </row>
    <row r="7" customFormat="false" ht="15" hidden="false" customHeight="false" outlineLevel="0" collapsed="false">
      <c r="A7" s="8" t="s">
        <v>106</v>
      </c>
      <c r="B7" s="21" t="n">
        <f aca="false">Bridge!$B$18/(Inputs!$B$38*Inputs!$B$39)</f>
        <v>3.20495495495496</v>
      </c>
    </row>
    <row r="8" customFormat="false" ht="15" hidden="false" customHeight="false" outlineLevel="0" collapsed="false">
      <c r="A8" s="8" t="s">
        <v>107</v>
      </c>
      <c r="B8" s="21" t="n">
        <f aca="false">Bridge!$B$22/(Inputs!$B$38*Inputs!$B$39)</f>
        <v>2.09009009009009</v>
      </c>
    </row>
    <row r="9" customFormat="false" ht="15" hidden="false" customHeight="false" outlineLevel="0" collapsed="false">
      <c r="A9" s="8" t="s">
        <v>108</v>
      </c>
      <c r="B9" s="18" t="n">
        <f aca="false">Bridge!$B$18-Inputs!$B$32-Inputs!$B$34</f>
        <v>20160000</v>
      </c>
    </row>
    <row r="10" customFormat="false" ht="15" hidden="false" customHeight="false" outlineLevel="0" collapsed="false">
      <c r="A10" s="8" t="s">
        <v>109</v>
      </c>
      <c r="B10" s="21" t="n">
        <f aca="false">'Package and Rate'!$B$9/(Inputs!$B$38*Inputs!$B$39+Inputs!$B$38*Inputs!$B$41)</f>
        <v>1.35483870967742</v>
      </c>
    </row>
    <row r="11" customFormat="false" ht="15" hidden="false" customHeight="false" outlineLevel="0" collapsed="false">
      <c r="A11" s="8" t="s">
        <v>110</v>
      </c>
      <c r="B11" s="21" t="n">
        <f aca="false">Bridge!$B$18/(Inputs!$B$38*Inputs!$B$39+Inputs!$B$38*Inputs!$B$41)</f>
        <v>1.91263440860215</v>
      </c>
    </row>
    <row r="12" customFormat="false" ht="15" hidden="false" customHeight="false" outlineLevel="0" collapsed="false">
      <c r="A12" s="8" t="s">
        <v>111</v>
      </c>
      <c r="B12" s="21" t="n">
        <f aca="false">Bridge!$B$22/(Inputs!$B$38*Inputs!$B$39+Inputs!$B$38*Inputs!$B$41)</f>
        <v>1.24731182795699</v>
      </c>
    </row>
    <row r="13" customFormat="false" ht="15" hidden="false" customHeight="false" outlineLevel="0" collapsed="false">
      <c r="A13" s="8" t="s">
        <v>112</v>
      </c>
      <c r="B13" s="27" t="n">
        <f aca="false">MAX('Package and Rate'!$B$7,'Package and Rate'!$B$8,'Package and Rate'!$B$10,'Package and Rate'!$B$11,'Package and Rate'!$B$12)/MIN('Package and Rate'!$B$7,'Package and Rate'!$B$8,'Package and Rate'!$B$10,'Package and Rate'!$B$11,'Package and Rate'!$B$12)</f>
        <v>2.56948974836906</v>
      </c>
    </row>
    <row r="14" customFormat="false" ht="15" hidden="false" customHeight="false" outlineLevel="0" collapsed="false">
      <c r="A14" s="8" t="s">
        <v>113</v>
      </c>
      <c r="B14" s="21" t="n">
        <f aca="false">Bridge!$B$13/(Inputs!$B$38*Inputs!$B$39)</f>
        <v>4.23423423423423</v>
      </c>
    </row>
    <row r="15" customFormat="false" ht="15" hidden="false" customHeight="false" outlineLevel="0" collapsed="false">
      <c r="A15" s="8" t="s">
        <v>114</v>
      </c>
      <c r="B15" s="27" t="n">
        <f aca="false">'Package and Rate'!$B$14/'Package and Rate'!$B$12</f>
        <v>3.39468779123952</v>
      </c>
    </row>
    <row r="16" customFormat="false" ht="15" hidden="false" customHeight="false" outlineLevel="0" collapsed="false">
      <c r="A16" s="8" t="s">
        <v>115</v>
      </c>
      <c r="B16" s="28" t="n">
        <f aca="false">Inputs!$B$38*Inputs!$B$41/(Inputs!$B$38*Inputs!$B$39+Inputs!$B$38*Inputs!$B$41)</f>
        <v>0.403225806451613</v>
      </c>
    </row>
    <row r="17" customFormat="false" ht="15" hidden="false" customHeight="false" outlineLevel="0" collapsed="false">
      <c r="A17" s="6" t="s">
        <v>116</v>
      </c>
    </row>
    <row r="19" customFormat="false" ht="15" hidden="false" customHeight="false" outlineLevel="0" collapsed="false">
      <c r="A19" s="8" t="s">
        <v>117</v>
      </c>
      <c r="B19" s="14" t="n">
        <f aca="false">Bridge!$B$22-Inputs!$B$43*(Inputs!$B$38*Inputs!$B$39+Inputs!$B$38*Inputs!$B$41)</f>
        <v>704000</v>
      </c>
    </row>
    <row r="20" customFormat="false" ht="15" hidden="false" customHeight="false" outlineLevel="0" collapsed="false">
      <c r="A20" s="8" t="s">
        <v>118</v>
      </c>
      <c r="B20" s="28" t="n">
        <f aca="false">'Package and Rate'!$B$19/Inputs!$B$7</f>
        <v>0.00247017543859649</v>
      </c>
    </row>
    <row r="21" customFormat="false" ht="15" hidden="false" customHeight="false" outlineLevel="0" collapsed="false">
      <c r="A21" s="8" t="s">
        <v>119</v>
      </c>
      <c r="B21" s="29" t="n">
        <v>0.02</v>
      </c>
    </row>
    <row r="22" customFormat="false" ht="15" hidden="false" customHeight="false" outlineLevel="0" collapsed="false">
      <c r="A22" s="8" t="s">
        <v>120</v>
      </c>
      <c r="B22" s="18" t="n">
        <f aca="false">Inputs!$B$38*(Inputs!$B$39+'Package and Rate'!$B$21)+Inputs!$B$38*Inputs!$B$41</f>
        <v>17280000</v>
      </c>
    </row>
    <row r="23" customFormat="false" ht="15" hidden="false" customHeight="false" outlineLevel="0" collapsed="false">
      <c r="A23" s="8" t="s">
        <v>121</v>
      </c>
      <c r="B23" s="21" t="n">
        <f aca="false">Bridge!$B$22/'Package and Rate'!$B$22</f>
        <v>1.07407407407407</v>
      </c>
    </row>
    <row r="24" customFormat="false" ht="15" hidden="false" customHeight="false" outlineLevel="0" collapsed="false">
      <c r="A24" s="8" t="s">
        <v>122</v>
      </c>
      <c r="B24" s="27" t="n">
        <f aca="false">Inputs!$B$38*'Package and Rate'!$B$21/'Package and Rate'!$B$19</f>
        <v>3.40909090909091</v>
      </c>
    </row>
    <row r="25" customFormat="false" ht="15" hidden="false" customHeight="false" outlineLevel="0" collapsed="false">
      <c r="A25" s="8" t="s">
        <v>123</v>
      </c>
      <c r="B25" s="18" t="n">
        <f aca="false">Bridge!$B$22/Inputs!$B$43</f>
        <v>15466666.6666667</v>
      </c>
    </row>
    <row r="26" customFormat="false" ht="15" hidden="false" customHeight="false" outlineLevel="0" collapsed="false">
      <c r="A26" s="8" t="s">
        <v>124</v>
      </c>
      <c r="B26" s="18" t="n">
        <f aca="false">'Package and Rate'!$B$25-Inputs!$B$38*Inputs!$B$41</f>
        <v>9466666.66666667</v>
      </c>
    </row>
    <row r="27" customFormat="false" ht="15" hidden="false" customHeight="false" outlineLevel="0" collapsed="false">
      <c r="A27" s="8" t="s">
        <v>125</v>
      </c>
      <c r="B27" s="19" t="n">
        <f aca="false">'Package and Rate'!$B$26/Inputs!$B$38</f>
        <v>0.0788888888888889</v>
      </c>
    </row>
    <row r="28" customFormat="false" ht="15" hidden="false" customHeight="false" outlineLevel="0" collapsed="false">
      <c r="A28" s="8" t="s">
        <v>126</v>
      </c>
      <c r="B28" s="27" t="n">
        <f aca="false">('Package and Rate'!$B$27-Inputs!$B$39)*10000</f>
        <v>48.888888888889</v>
      </c>
    </row>
    <row r="29" customFormat="false" ht="15" hidden="false" customHeight="false" outlineLevel="0" collapsed="false">
      <c r="A29" s="8" t="s">
        <v>127</v>
      </c>
      <c r="B29" s="28" t="n">
        <f aca="false">Inputs!$B$43*'Package and Rate'!$B$22/Bridge!$B$22-1</f>
        <v>0.117241379310345</v>
      </c>
    </row>
    <row r="30" customFormat="false" ht="15" hidden="false" customHeight="false" outlineLevel="0" collapsed="false">
      <c r="A30" s="8" t="s">
        <v>128</v>
      </c>
      <c r="B30" s="18" t="n">
        <f aca="false">Inputs!$B$43*'Package and Rate'!$B$22-Bridge!$B$22</f>
        <v>2176000</v>
      </c>
    </row>
    <row r="31" customFormat="false" ht="15" hidden="false" customHeight="false" outlineLevel="0" collapsed="false">
      <c r="A31" s="8" t="s">
        <v>129</v>
      </c>
      <c r="B31" s="18" t="n">
        <f aca="false">Inputs!$B$38-'Package and Rate'!$B$30</f>
        <v>117824000</v>
      </c>
    </row>
    <row r="32" customFormat="false" ht="15" hidden="false" customHeight="false" outlineLevel="0" collapsed="false">
      <c r="A32" s="8" t="s">
        <v>130</v>
      </c>
      <c r="B32" s="18" t="n">
        <f aca="false">'Package and Rate'!$B$31*(Inputs!$B$39+'Package and Rate'!$B$21)+'Package and Rate'!$B$31*Inputs!$B$41</f>
        <v>16966656</v>
      </c>
    </row>
    <row r="33" customFormat="false" ht="15" hidden="false" customHeight="false" outlineLevel="0" collapsed="false">
      <c r="A33" s="8" t="s">
        <v>131</v>
      </c>
      <c r="B33" s="21" t="n">
        <f aca="false">Bridge!$B$22/'Package and Rate'!$B$32</f>
        <v>1.09391031444263</v>
      </c>
    </row>
    <row r="34" customFormat="false" ht="15" hidden="false" customHeight="false" outlineLevel="0" collapsed="false">
      <c r="A34" s="8" t="s">
        <v>132</v>
      </c>
      <c r="B34" s="30" t="n">
        <v>2000000</v>
      </c>
    </row>
    <row r="35" customFormat="false" ht="15" hidden="false" customHeight="false" outlineLevel="0" collapsed="false">
      <c r="A35" s="8" t="s">
        <v>133</v>
      </c>
      <c r="B35" s="21" t="n">
        <f aca="false">(Bridge!$B$22+'Package and Rate'!$B$34)/(Inputs!$B$38*Inputs!$B$39+Inputs!$B$38*Inputs!$B$41)</f>
        <v>1.38172043010753</v>
      </c>
    </row>
    <row r="36" customFormat="false" ht="15" hidden="false" customHeight="false" outlineLevel="0" collapsed="false">
      <c r="A36" s="8" t="s">
        <v>134</v>
      </c>
      <c r="B36" s="27" t="n">
        <f aca="false">'Package and Rate'!$B$35-Bridge!$B$22/(Inputs!$B$38*Inputs!$B$39+Inputs!$B$38*Inputs!$B$41)</f>
        <v>0.134408602150538</v>
      </c>
    </row>
    <row r="37" customFormat="false" ht="15" hidden="false" customHeight="false" outlineLevel="0" collapsed="false">
      <c r="A37" s="8" t="s">
        <v>135</v>
      </c>
      <c r="B37" s="18" t="n">
        <f aca="false">Bridge!$B$22+'Package and Rate'!$B$34-Inputs!$B$43*(Inputs!$B$38*Inputs!$B$39+Inputs!$B$38*Inputs!$B$41)</f>
        <v>2704000</v>
      </c>
    </row>
    <row r="38" customFormat="false" ht="15" hidden="false" customHeight="false" outlineLevel="0" collapsed="false">
      <c r="A38" s="6" t="s">
        <v>136</v>
      </c>
    </row>
    <row r="40" customFormat="false" ht="15" hidden="false" customHeight="false" outlineLevel="0" collapsed="false">
      <c r="A40" s="8" t="s">
        <v>137</v>
      </c>
      <c r="B40" s="28" t="n">
        <f aca="false">(Bridge!$B$22-Inputs!$B$43*(Inputs!$B$38*Inputs!$B$39+Inputs!$B$38*Inputs!$B$41))/Bridge!$B$18</f>
        <v>0.0247364722417428</v>
      </c>
    </row>
    <row r="41" customFormat="false" ht="15" hidden="false" customHeight="false" outlineLevel="0" collapsed="false">
      <c r="A41" s="8" t="s">
        <v>138</v>
      </c>
      <c r="B41" s="31" t="n">
        <f aca="false">'Package and Rate'!$B$40/Covenants!$B$21</f>
        <v>3.13298429319374</v>
      </c>
    </row>
    <row r="42" customFormat="false" ht="15" hidden="false" customHeight="false" outlineLevel="0" collapsed="false">
      <c r="A42" s="8" t="s">
        <v>139</v>
      </c>
      <c r="B42" s="27" t="n">
        <f aca="false">Covenants!$B$23/Covenants!$B$21</f>
        <v>4.80413432027445</v>
      </c>
      <c r="C42" s="32" t="s">
        <v>140</v>
      </c>
    </row>
    <row r="43" customFormat="false" ht="15" hidden="false" customHeight="false" outlineLevel="0" collapsed="false">
      <c r="A43" s="8" t="s">
        <v>141</v>
      </c>
      <c r="B43" s="18" t="n">
        <f aca="false">Bridge!$B$18-Bridge!$B$6</f>
        <v>3860000</v>
      </c>
    </row>
    <row r="44" customFormat="false" ht="15" hidden="false" customHeight="false" outlineLevel="0" collapsed="false">
      <c r="A44" s="8" t="s">
        <v>142</v>
      </c>
      <c r="B44" s="28" t="n">
        <f aca="false">'Package and Rate'!$B$43/Bridge!$B$18</f>
        <v>0.135628952916374</v>
      </c>
    </row>
    <row r="45" customFormat="false" ht="15" hidden="false" customHeight="false" outlineLevel="0" collapsed="false">
      <c r="A45" s="8" t="s">
        <v>143</v>
      </c>
      <c r="B45" s="28" t="n">
        <f aca="false">(Bridge!$B$18-Inputs!$B$38/Inputs!$B$42)/Inputs!$B$19</f>
        <v>0.0172850678733031</v>
      </c>
    </row>
    <row r="46" customFormat="false" ht="15" hidden="false" customHeight="false" outlineLevel="0" collapsed="false">
      <c r="A46" s="8" t="s">
        <v>118</v>
      </c>
      <c r="B46" s="28" t="n">
        <f aca="false">(Bridge!$B$18-Inputs!$B$38/Inputs!$B$42)/Inputs!$B$7</f>
        <v>0.000788441692466459</v>
      </c>
    </row>
    <row r="47" customFormat="false" ht="15" hidden="false" customHeight="false" outlineLevel="0" collapsed="false">
      <c r="A47" s="8" t="s">
        <v>144</v>
      </c>
      <c r="B47" s="27" t="n">
        <f aca="false">Bridge!$B$18/Bridge!$B$22</f>
        <v>1.53340517241379</v>
      </c>
    </row>
    <row r="48" customFormat="false" ht="15" hidden="false" customHeight="false" outlineLevel="0" collapsed="false">
      <c r="A48" s="8" t="s">
        <v>145</v>
      </c>
      <c r="B48" s="28" t="n">
        <f aca="false">(Inputs!$B$38/Inputs!$B$42)/(Bridge!$B$18*(1+Inputs!$B$48*Inputs!$B$47))-1</f>
        <v>0.204010317565748</v>
      </c>
    </row>
    <row r="49" customFormat="false" ht="15" hidden="false" customHeight="false" outlineLevel="0" collapsed="false">
      <c r="A49" s="8" t="s">
        <v>146</v>
      </c>
      <c r="B49" s="28" t="n">
        <f aca="false">Inputs!$B$43*(Inputs!$B$38*Inputs!$B$39+Inputs!$B$38*Inputs!$B$41)/((Bridge!$B$18*(1+Inputs!$B$48*Inputs!$B$47))-(Inputs!$B$32+Inputs!$B$33+Inputs!$B$34))-1</f>
        <v>0.317684841901433</v>
      </c>
    </row>
    <row r="50" customFormat="false" ht="15" hidden="false" customHeight="false" outlineLevel="0" collapsed="false">
      <c r="A50" s="8" t="s">
        <v>147</v>
      </c>
      <c r="B50" s="31" t="n">
        <f aca="false">'Package and Rate'!$B$49/'Package and Rate'!$B$48</f>
        <v>1.55719987935929</v>
      </c>
    </row>
    <row r="51" customFormat="false" ht="15" hidden="false" customHeight="false" outlineLevel="0" collapsed="false">
      <c r="A51" s="6" t="s">
        <v>148</v>
      </c>
    </row>
    <row r="53" customFormat="false" ht="15" hidden="false" customHeight="false" outlineLevel="0" collapsed="false">
      <c r="A53" s="33" t="s">
        <v>149</v>
      </c>
      <c r="B53" s="33" t="s">
        <v>150</v>
      </c>
      <c r="C53" s="33" t="s">
        <v>151</v>
      </c>
      <c r="D53" s="33" t="s">
        <v>152</v>
      </c>
    </row>
    <row r="54" customFormat="false" ht="15" hidden="false" customHeight="false" outlineLevel="0" collapsed="false">
      <c r="A54" s="8" t="str">
        <f aca="false">"Look-forward on run-rate savings: "&amp;Inputs!$A$24</f>
        <v>Look-forward on run-rate savings: Savings not yet actioned, 60 per cent of the run-rate</v>
      </c>
      <c r="B54" s="18" t="n">
        <f aca="false">Inputs!$B$24*Inputs!$C$24</f>
        <v>1740000</v>
      </c>
      <c r="C54" s="21" t="n">
        <f aca="false">Inputs!$B$38/(Bridge!$B$18+B54)</f>
        <v>3.97350993377483</v>
      </c>
      <c r="D54" s="27" t="n">
        <f aca="false">Inputs!$B$38/Bridge!$B$18-C54</f>
        <v>0.242934198340415</v>
      </c>
    </row>
    <row r="55" customFormat="false" ht="15" hidden="false" customHeight="false" outlineLevel="0" collapsed="false">
      <c r="A55" s="8" t="str">
        <f aca="false">"Pro forma effects contracted: "&amp;Inputs!$A$25</f>
        <v>Pro forma effects contracted: Acquisition effect capped at contracts already signed</v>
      </c>
      <c r="B55" s="18" t="n">
        <f aca="false">Inputs!$B$25*Inputs!$C$25</f>
        <v>1800000</v>
      </c>
      <c r="C55" s="21" t="n">
        <f aca="false">Inputs!$B$38/(Bridge!$B$18+B55)</f>
        <v>3.96563119629874</v>
      </c>
      <c r="D55" s="27" t="n">
        <f aca="false">Inputs!$B$38/Bridge!$B$18-C55</f>
        <v>0.250812935816505</v>
      </c>
    </row>
    <row r="56" customFormat="false" ht="15" hidden="false" customHeight="false" outlineLevel="0" collapsed="false">
      <c r="A56" s="8" t="str">
        <f aca="false">"Certification of non-recurring items: "&amp;Inputs!$A$26</f>
        <v>Certification of non-recurring items: Restructuring, recurring for a third year</v>
      </c>
      <c r="B56" s="18" t="n">
        <f aca="false">Inputs!$B$26*Inputs!$C$26</f>
        <v>3400000</v>
      </c>
      <c r="C56" s="21" t="n">
        <f aca="false">Inputs!$B$38/(Bridge!$B$18+B56)</f>
        <v>3.76647834274953</v>
      </c>
      <c r="D56" s="27" t="n">
        <f aca="false">Inputs!$B$38/Bridge!$B$18-C56</f>
        <v>0.449965789365721</v>
      </c>
    </row>
    <row r="57" customFormat="false" ht="15" hidden="false" customHeight="false" outlineLevel="0" collapsed="false">
      <c r="A57" s="8" t="str">
        <f aca="false">"Frozen accounting policies: "&amp;Inputs!$A$27</f>
        <v>Frozen accounting policies: Development costs capitalised that should be expensed</v>
      </c>
      <c r="B57" s="18" t="n">
        <f aca="false">Inputs!$B$27*Inputs!$C$27</f>
        <v>2200000</v>
      </c>
      <c r="C57" s="21" t="n">
        <f aca="false">Inputs!$B$38/(Bridge!$B$18+B57)</f>
        <v>3.91389432485323</v>
      </c>
      <c r="D57" s="27" t="n">
        <f aca="false">Inputs!$B$38/Bridge!$B$18-C57</f>
        <v>0.302549807262021</v>
      </c>
    </row>
    <row r="58" customFormat="false" ht="15" hidden="false" customHeight="false" outlineLevel="0" collapsed="false">
      <c r="A58" s="8" t="s">
        <v>153</v>
      </c>
      <c r="B58" s="27" t="n">
        <f aca="false">SUM(D54:D57)</f>
        <v>1.24626273078466</v>
      </c>
    </row>
    <row r="59" customFormat="false" ht="15" hidden="false" customHeight="false" outlineLevel="0" collapsed="false">
      <c r="A59" s="8" t="s">
        <v>154</v>
      </c>
      <c r="B59" s="27" t="n">
        <f aca="false">Inputs!$B$38/Bridge!$B$18-Inputs!$B$38/Bridge!$B$13</f>
        <v>1.02495477041312</v>
      </c>
    </row>
    <row r="60" customFormat="false" ht="15" hidden="false" customHeight="false" outlineLevel="0" collapsed="false">
      <c r="A60" s="8" t="s">
        <v>155</v>
      </c>
      <c r="B60" s="27" t="n">
        <f aca="false">'Package and Rate'!$B$58-ROUND('Package and Rate'!$B$59,4)</f>
        <v>0.221262730784662</v>
      </c>
    </row>
    <row r="61" customFormat="false" ht="15" hidden="false" customHeight="false" outlineLevel="0" collapsed="false">
      <c r="A61" s="8" t="s">
        <v>156</v>
      </c>
      <c r="B61" s="34" t="n">
        <v>0.2</v>
      </c>
    </row>
    <row r="62" customFormat="false" ht="15" hidden="false" customHeight="false" outlineLevel="0" collapsed="false">
      <c r="A62" s="8" t="s">
        <v>157</v>
      </c>
      <c r="B62" s="18" t="n">
        <f aca="false">MIN(Inputs!$B$19,'Package and Rate'!$B$61*Bridge!$B$6)</f>
        <v>4920000</v>
      </c>
    </row>
    <row r="63" customFormat="false" ht="15" hidden="false" customHeight="false" outlineLevel="0" collapsed="false">
      <c r="A63" s="8" t="s">
        <v>158</v>
      </c>
      <c r="B63" s="21" t="n">
        <f aca="false">Inputs!$B$38/(Bridge!$B$6+'Package and Rate'!$B$62)</f>
        <v>4.0650406504065</v>
      </c>
    </row>
    <row r="64" customFormat="false" ht="15" hidden="false" customHeight="false" outlineLevel="0" collapsed="false">
      <c r="A64" s="8" t="s">
        <v>159</v>
      </c>
      <c r="B64" s="27" t="n">
        <f aca="false">Inputs!$B$42-'Package and Rate'!$B$63</f>
        <v>0.184959349593496</v>
      </c>
    </row>
    <row r="65" customFormat="false" ht="15" hidden="false" customHeight="false" outlineLevel="0" collapsed="false">
      <c r="A65" s="8" t="s">
        <v>160</v>
      </c>
      <c r="B65" s="27" t="n">
        <f aca="false">'Package and Rate'!$B$64/(Inputs!$B$42-Inputs!$B$38/Bridge!$B$18)</f>
        <v>5.51198229259779</v>
      </c>
    </row>
    <row r="66" customFormat="false" ht="15" hidden="false" customHeight="false" outlineLevel="0" collapsed="false">
      <c r="A66" s="8" t="s">
        <v>161</v>
      </c>
      <c r="B66" s="34" t="n">
        <v>0.25</v>
      </c>
    </row>
    <row r="67" customFormat="false" ht="15" hidden="false" customHeight="false" outlineLevel="0" collapsed="false">
      <c r="A67" s="8" t="s">
        <v>158</v>
      </c>
      <c r="B67" s="21" t="n">
        <f aca="false">Inputs!$B$38/(Bridge!$B$6+MIN(Inputs!$B$19,'Package and Rate'!$B$66*Bridge!$B$6))</f>
        <v>3.90243902439024</v>
      </c>
    </row>
    <row r="68" customFormat="false" ht="15" hidden="false" customHeight="false" outlineLevel="0" collapsed="false">
      <c r="A68" s="8" t="s">
        <v>162</v>
      </c>
      <c r="B68" s="28" t="n">
        <f aca="false">(Bridge!$B$18-Bridge!$B$6)/Bridge!$B$6</f>
        <v>0.156910569105691</v>
      </c>
    </row>
    <row r="69" customFormat="false" ht="15" hidden="false" customHeight="false" outlineLevel="0" collapsed="false">
      <c r="A69" s="8" t="s">
        <v>163</v>
      </c>
      <c r="B69" s="18" t="n">
        <f aca="false">'Package and Rate'!$B$61*Bridge!$B$13</f>
        <v>7520000</v>
      </c>
    </row>
    <row r="70" customFormat="false" ht="15" hidden="false" customHeight="false" outlineLevel="0" collapsed="false">
      <c r="A70" s="8" t="s">
        <v>164</v>
      </c>
      <c r="B70" s="18" t="n">
        <f aca="false">'Package and Rate'!$B$69-'Package and Rate'!$B$62</f>
        <v>2600000</v>
      </c>
    </row>
    <row r="71" customFormat="false" ht="15" hidden="false" customHeight="false" outlineLevel="0" collapsed="false">
      <c r="A71" s="8" t="s">
        <v>165</v>
      </c>
      <c r="B71" s="27" t="n">
        <f aca="false">'Package and Rate'!$B$63-Inputs!$B$38/(Bridge!$B$6+'Package and Rate'!$B$69)</f>
        <v>0.329050613046604</v>
      </c>
    </row>
    <row r="72" customFormat="false" ht="15" hidden="false" customHeight="false" outlineLevel="0" collapsed="false">
      <c r="A72" s="33" t="s">
        <v>166</v>
      </c>
      <c r="B72" s="33" t="s">
        <v>167</v>
      </c>
      <c r="C72" s="33" t="s">
        <v>168</v>
      </c>
      <c r="D72" s="33" t="s">
        <v>169</v>
      </c>
      <c r="E72" s="33" t="s">
        <v>170</v>
      </c>
    </row>
    <row r="73" customFormat="false" ht="15" hidden="false" customHeight="false" outlineLevel="0" collapsed="false">
      <c r="A73" s="21" t="n">
        <f aca="false">Inputs!$B$42</f>
        <v>4.25</v>
      </c>
      <c r="B73" s="18" t="n">
        <f aca="false">Inputs!$B$38/A73</f>
        <v>28235294.1176471</v>
      </c>
      <c r="C73" s="28" t="n">
        <f aca="false">1-B73/Bridge!$B$18</f>
        <v>0.00789549832582359</v>
      </c>
      <c r="D73" s="27" t="n">
        <f aca="false">A73-Inputs!$B$38/Bridge!$B$18</f>
        <v>0.0335558678847505</v>
      </c>
      <c r="E73" s="8" t="str">
        <f aca="false">IF(Inputs!$B$38/(Bridge!$B$18*(1+Inputs!$B$48*Inputs!$B$47))&lt;=A73,"passes","breaks")</f>
        <v>breaks</v>
      </c>
    </row>
    <row r="74" customFormat="false" ht="15" hidden="false" customHeight="false" outlineLevel="0" collapsed="false">
      <c r="A74" s="35" t="n">
        <v>4.75</v>
      </c>
      <c r="B74" s="18" t="n">
        <f aca="false">Inputs!$B$38/A74</f>
        <v>25263157.8947368</v>
      </c>
      <c r="C74" s="28" t="n">
        <f aca="false">1-B74/Bridge!$B$18</f>
        <v>0.112327551133632</v>
      </c>
      <c r="D74" s="27" t="n">
        <f aca="false">A74-Inputs!$B$38/Bridge!$B$18</f>
        <v>0.533555867884751</v>
      </c>
      <c r="E74" s="8" t="str">
        <f aca="false">IF(Inputs!$B$38/(Bridge!$B$18*(1+Inputs!$B$48*Inputs!$B$47))&lt;=A74,"passes","breaks")</f>
        <v>breaks</v>
      </c>
    </row>
    <row r="75" customFormat="false" ht="15" hidden="false" customHeight="false" outlineLevel="0" collapsed="false">
      <c r="A75" s="21" t="n">
        <f aca="false">Inputs!$B$51</f>
        <v>5.25</v>
      </c>
      <c r="B75" s="18" t="n">
        <f aca="false">Inputs!$B$38/A75</f>
        <v>22857142.8571429</v>
      </c>
      <c r="C75" s="28" t="n">
        <f aca="false">1-B75/Bridge!$B$18</f>
        <v>0.196867784359</v>
      </c>
      <c r="D75" s="27" t="n">
        <f aca="false">A75-Inputs!$B$38/Bridge!$B$18</f>
        <v>1.03355586788475</v>
      </c>
      <c r="E75" s="8" t="str">
        <f aca="false">IF(Inputs!$B$38/(Bridge!$B$18*(1+Inputs!$B$48*Inputs!$B$47))&lt;=A75,"passes","breaks")</f>
        <v>passes</v>
      </c>
    </row>
    <row r="76" customFormat="false" ht="15" hidden="false" customHeight="false" outlineLevel="0" collapsed="false">
      <c r="A76" s="8" t="s">
        <v>171</v>
      </c>
      <c r="B76" s="27" t="n">
        <f aca="false">A75-Inputs!$B$38/(Bridge!$B$18*(1+Inputs!$B$48*Inputs!$B$47))</f>
        <v>0.132956150345571</v>
      </c>
    </row>
    <row r="77" customFormat="false" ht="15" hidden="false" customHeight="false" outlineLevel="0" collapsed="false">
      <c r="A77" s="8" t="s">
        <v>172</v>
      </c>
      <c r="B77" s="18" t="n">
        <f aca="false">Inputs!$B$38-Inputs!$B$42*(Bridge!$B$18*(1+Inputs!$B$48*Inputs!$B$47))</f>
        <v>20333080</v>
      </c>
    </row>
    <row r="78" customFormat="false" ht="15" hidden="false" customHeight="false" outlineLevel="0" collapsed="false">
      <c r="A78" s="8" t="s">
        <v>173</v>
      </c>
      <c r="B78" s="18" t="n">
        <f aca="false">Inputs!$B$42*(Bridge!$B$18*(1+Inputs!$B$48*Inputs!$B$47))</f>
        <v>99666920</v>
      </c>
    </row>
    <row r="79" customFormat="false" ht="15" hidden="false" customHeight="false" outlineLevel="0" collapsed="false">
      <c r="A79" s="8" t="s">
        <v>174</v>
      </c>
      <c r="B79" s="18" t="n">
        <f aca="false">Inputs!$B$38/Inputs!$B$42-(Bridge!$B$18*(1+Inputs!$B$48*Inputs!$B$47))</f>
        <v>4784254.11764706</v>
      </c>
    </row>
    <row r="80" customFormat="false" ht="15" hidden="false" customHeight="false" outlineLevel="0" collapsed="false">
      <c r="A80" s="8" t="s">
        <v>175</v>
      </c>
      <c r="B80" s="27" t="n">
        <f aca="false">'Package and Rate'!$B$77/'Package and Rate'!$B$79</f>
        <v>4.25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58"/>
  </cols>
  <sheetData>
    <row r="1" customFormat="false" ht="24" hidden="false" customHeight="true" outlineLevel="0" collapsed="false">
      <c r="A1" s="1" t="s">
        <v>176</v>
      </c>
    </row>
    <row r="2" customFormat="false" ht="15" hidden="false" customHeight="false" outlineLevel="0" collapsed="false">
      <c r="A2" s="2" t="s">
        <v>177</v>
      </c>
    </row>
    <row r="3" customFormat="false" ht="15" hidden="false" customHeight="false" outlineLevel="0" collapsed="false">
      <c r="A3" s="3"/>
      <c r="B3" s="3"/>
      <c r="C3" s="3"/>
      <c r="D3" s="3"/>
      <c r="E3" s="3"/>
      <c r="F3" s="3"/>
    </row>
    <row r="5" customFormat="false" ht="30" hidden="false" customHeight="true" outlineLevel="0" collapsed="false">
      <c r="A5" s="10" t="s">
        <v>178</v>
      </c>
      <c r="B5" s="11" t="s">
        <v>179</v>
      </c>
      <c r="C5" s="11" t="s">
        <v>180</v>
      </c>
      <c r="D5" s="11" t="s">
        <v>181</v>
      </c>
      <c r="E5" s="11" t="s">
        <v>182</v>
      </c>
      <c r="F5" s="11" t="s">
        <v>183</v>
      </c>
      <c r="G5" s="36" t="s">
        <v>184</v>
      </c>
    </row>
    <row r="6" customFormat="false" ht="15" hidden="false" customHeight="false" outlineLevel="0" collapsed="false">
      <c r="A6" s="8" t="s">
        <v>185</v>
      </c>
      <c r="B6" s="8" t="s">
        <v>78</v>
      </c>
      <c r="C6" s="18" t="n">
        <v>8880000</v>
      </c>
      <c r="D6" s="18" t="n">
        <f aca="false">Covenants!B8</f>
        <v>8880000</v>
      </c>
      <c r="E6" s="37" t="n">
        <f aca="false">D6-C6</f>
        <v>0</v>
      </c>
      <c r="F6" s="22" t="str">
        <f aca="false">IF(ABS(E6)&lt;=0.005,"PASS","FAIL")</f>
        <v>PASS</v>
      </c>
    </row>
    <row r="7" customFormat="false" ht="15" hidden="false" customHeight="false" outlineLevel="0" collapsed="false">
      <c r="A7" s="38" t="s">
        <v>185</v>
      </c>
      <c r="B7" s="38" t="s">
        <v>79</v>
      </c>
      <c r="C7" s="39" t="n">
        <v>6000000</v>
      </c>
      <c r="D7" s="39" t="n">
        <f aca="false">Covenants!B9</f>
        <v>6000000</v>
      </c>
      <c r="E7" s="40" t="n">
        <f aca="false">D7-C7</f>
        <v>0</v>
      </c>
      <c r="F7" s="41" t="str">
        <f aca="false">IF(ABS(E7)&lt;=0.005,"PASS","FAIL")</f>
        <v>PASS</v>
      </c>
    </row>
    <row r="8" customFormat="false" ht="15" hidden="false" customHeight="false" outlineLevel="0" collapsed="false">
      <c r="A8" s="8" t="s">
        <v>185</v>
      </c>
      <c r="B8" s="8" t="s">
        <v>77</v>
      </c>
      <c r="C8" s="18" t="n">
        <v>14880000</v>
      </c>
      <c r="D8" s="18" t="n">
        <f aca="false">Covenants!B10</f>
        <v>14880000</v>
      </c>
      <c r="E8" s="37" t="n">
        <f aca="false">D8-C8</f>
        <v>0</v>
      </c>
      <c r="F8" s="22" t="str">
        <f aca="false">IF(ABS(E8)&lt;=0.005,"PASS","FAIL")</f>
        <v>PASS</v>
      </c>
    </row>
    <row r="9" customFormat="false" ht="15" hidden="false" customHeight="false" outlineLevel="0" collapsed="false">
      <c r="A9" s="38" t="s">
        <v>185</v>
      </c>
      <c r="B9" s="38" t="s">
        <v>95</v>
      </c>
      <c r="C9" s="42" t="n">
        <v>1.2473</v>
      </c>
      <c r="D9" s="42" t="n">
        <f aca="false">Covenants!B16</f>
        <v>1.24731182795699</v>
      </c>
      <c r="E9" s="40" t="n">
        <f aca="false">D9-C9</f>
        <v>1.18279569891744E-005</v>
      </c>
      <c r="F9" s="41" t="str">
        <f aca="false">IF(ABS(E9)&lt;=0.00005,"PASS","FAIL")</f>
        <v>PASS</v>
      </c>
    </row>
    <row r="10" customFormat="false" ht="15" hidden="false" customHeight="false" outlineLevel="0" collapsed="false">
      <c r="A10" s="8" t="s">
        <v>186</v>
      </c>
      <c r="B10" s="8" t="s">
        <v>187</v>
      </c>
      <c r="C10" s="21" t="n">
        <v>4.2164</v>
      </c>
      <c r="D10" s="21" t="n">
        <f aca="false">Covenants!B15</f>
        <v>4.21644413211525</v>
      </c>
      <c r="E10" s="37" t="n">
        <f aca="false">D10-C10</f>
        <v>4.41321152493401E-005</v>
      </c>
      <c r="F10" s="22" t="str">
        <f aca="false">IF(ABS(E10)&lt;=0.00005,"PASS","FAIL")</f>
        <v>PASS</v>
      </c>
    </row>
    <row r="11" customFormat="false" ht="15" hidden="false" customHeight="false" outlineLevel="0" collapsed="false">
      <c r="A11" s="38" t="s">
        <v>188</v>
      </c>
      <c r="B11" s="38" t="s">
        <v>88</v>
      </c>
      <c r="C11" s="43" t="n">
        <v>0.007895</v>
      </c>
      <c r="D11" s="43" t="n">
        <f aca="false">Covenants!B21</f>
        <v>0.00789549832582359</v>
      </c>
      <c r="E11" s="40" t="n">
        <f aca="false">D11-C11</f>
        <v>4.98325823591883E-007</v>
      </c>
      <c r="F11" s="41" t="str">
        <f aca="false">IF(ABS(E11)&lt;=0.0000005,"PASS","FAIL")</f>
        <v>PASS</v>
      </c>
    </row>
    <row r="12" customFormat="false" ht="15" hidden="false" customHeight="false" outlineLevel="0" collapsed="false">
      <c r="A12" s="8" t="s">
        <v>188</v>
      </c>
      <c r="B12" s="8" t="s">
        <v>90</v>
      </c>
      <c r="C12" s="28" t="n">
        <v>0.037931</v>
      </c>
      <c r="D12" s="28" t="n">
        <f aca="false">Covenants!B23</f>
        <v>0.0379310344827586</v>
      </c>
      <c r="E12" s="37" t="n">
        <f aca="false">D12-C12</f>
        <v>3.44827585860297E-008</v>
      </c>
      <c r="F12" s="22" t="str">
        <f aca="false">IF(ABS(E12)&lt;=0.0000005,"PASS","FAIL")</f>
        <v>PASS</v>
      </c>
    </row>
    <row r="13" customFormat="false" ht="15" hidden="false" customHeight="false" outlineLevel="0" collapsed="false">
      <c r="A13" s="38" t="s">
        <v>188</v>
      </c>
      <c r="B13" s="38" t="s">
        <v>87</v>
      </c>
      <c r="C13" s="39" t="n">
        <v>28235294.12</v>
      </c>
      <c r="D13" s="39" t="n">
        <f aca="false">Covenants!B20</f>
        <v>28235294.1176471</v>
      </c>
      <c r="E13" s="40" t="n">
        <f aca="false">D13-C13</f>
        <v>-0.00235294178128243</v>
      </c>
      <c r="F13" s="41" t="str">
        <f aca="false">IF(ABS(E13)&lt;=0.005,"PASS","FAIL")</f>
        <v>PASS</v>
      </c>
    </row>
    <row r="14" customFormat="false" ht="15" hidden="false" customHeight="false" outlineLevel="0" collapsed="false">
      <c r="A14" s="8" t="s">
        <v>188</v>
      </c>
      <c r="B14" s="8" t="s">
        <v>89</v>
      </c>
      <c r="C14" s="18" t="n">
        <v>17856000</v>
      </c>
      <c r="D14" s="18" t="n">
        <f aca="false">Covenants!B22</f>
        <v>17856000</v>
      </c>
      <c r="E14" s="37" t="n">
        <f aca="false">D14-C14</f>
        <v>0</v>
      </c>
      <c r="F14" s="22" t="str">
        <f aca="false">IF(ABS(E14)&lt;=0.005,"PASS","FAIL")</f>
        <v>PASS</v>
      </c>
    </row>
    <row r="15" customFormat="false" ht="15" hidden="false" customHeight="false" outlineLevel="0" collapsed="false">
      <c r="A15" s="38" t="s">
        <v>185</v>
      </c>
      <c r="B15" s="38" t="s">
        <v>189</v>
      </c>
      <c r="C15" s="42" t="n">
        <v>3.205</v>
      </c>
      <c r="D15" s="42" t="n">
        <f aca="false">'Package and Rate'!B7</f>
        <v>3.20495495495496</v>
      </c>
      <c r="E15" s="40" t="n">
        <f aca="false">D15-C15</f>
        <v>-4.50450450451001E-005</v>
      </c>
      <c r="F15" s="44" t="str">
        <f aca="false">IF(ABS(E15)&lt;=0.00005,"PASS","FAIL")</f>
        <v>PASS</v>
      </c>
      <c r="G15" s="32"/>
    </row>
    <row r="16" customFormat="false" ht="15" hidden="false" customHeight="false" outlineLevel="0" collapsed="false">
      <c r="A16" s="8" t="s">
        <v>185</v>
      </c>
      <c r="B16" s="8" t="s">
        <v>190</v>
      </c>
      <c r="C16" s="21" t="n">
        <v>2.0901</v>
      </c>
      <c r="D16" s="21" t="n">
        <f aca="false">'Package and Rate'!B8</f>
        <v>2.09009009009009</v>
      </c>
      <c r="E16" s="37" t="n">
        <f aca="false">D16-C16</f>
        <v>-9.90990991001084E-006</v>
      </c>
      <c r="F16" s="13" t="str">
        <f aca="false">IF(ABS(E16)&lt;=0.00005,"PASS","FAIL")</f>
        <v>PASS</v>
      </c>
      <c r="G16" s="32"/>
    </row>
    <row r="17" customFormat="false" ht="15" hidden="false" customHeight="false" outlineLevel="0" collapsed="false">
      <c r="A17" s="38" t="s">
        <v>185</v>
      </c>
      <c r="B17" s="38" t="s">
        <v>191</v>
      </c>
      <c r="C17" s="39" t="n">
        <v>20160000</v>
      </c>
      <c r="D17" s="39" t="n">
        <f aca="false">'Package and Rate'!B9</f>
        <v>20160000</v>
      </c>
      <c r="E17" s="40" t="n">
        <f aca="false">D17-C17</f>
        <v>0</v>
      </c>
      <c r="F17" s="44" t="str">
        <f aca="false">IF(ABS(E17)&lt;=0.005,"PASS","FAIL")</f>
        <v>PASS</v>
      </c>
      <c r="G17" s="32"/>
    </row>
    <row r="18" customFormat="false" ht="15" hidden="false" customHeight="false" outlineLevel="0" collapsed="false">
      <c r="A18" s="8" t="s">
        <v>185</v>
      </c>
      <c r="B18" s="8" t="s">
        <v>109</v>
      </c>
      <c r="C18" s="21" t="n">
        <v>1.3548</v>
      </c>
      <c r="D18" s="21" t="n">
        <f aca="false">'Package and Rate'!B10</f>
        <v>1.35483870967742</v>
      </c>
      <c r="E18" s="37" t="n">
        <f aca="false">D18-C18</f>
        <v>3.87096774192575E-005</v>
      </c>
      <c r="F18" s="13" t="str">
        <f aca="false">IF(ABS(E18)&lt;=0.00005,"PASS","FAIL")</f>
        <v>PASS</v>
      </c>
      <c r="G18" s="32"/>
    </row>
    <row r="19" customFormat="false" ht="15" hidden="false" customHeight="false" outlineLevel="0" collapsed="false">
      <c r="A19" s="38" t="s">
        <v>185</v>
      </c>
      <c r="B19" s="38" t="s">
        <v>192</v>
      </c>
      <c r="C19" s="42" t="n">
        <v>1.9126</v>
      </c>
      <c r="D19" s="42" t="n">
        <f aca="false">'Package and Rate'!B11</f>
        <v>1.91263440860215</v>
      </c>
      <c r="E19" s="40" t="n">
        <f aca="false">D19-C19</f>
        <v>3.44086021504264E-005</v>
      </c>
      <c r="F19" s="44" t="str">
        <f aca="false">IF(ABS(E19)&lt;=0.00005,"PASS","FAIL")</f>
        <v>PASS</v>
      </c>
      <c r="G19" s="32"/>
    </row>
    <row r="20" customFormat="false" ht="15" hidden="false" customHeight="false" outlineLevel="0" collapsed="false">
      <c r="A20" s="8" t="s">
        <v>185</v>
      </c>
      <c r="B20" s="8" t="s">
        <v>112</v>
      </c>
      <c r="C20" s="27" t="n">
        <v>2.5695</v>
      </c>
      <c r="D20" s="27" t="n">
        <f aca="false">'Package and Rate'!B13</f>
        <v>2.56948974836906</v>
      </c>
      <c r="E20" s="37" t="n">
        <f aca="false">D20-C20</f>
        <v>-1.02516309414824E-005</v>
      </c>
      <c r="F20" s="13" t="str">
        <f aca="false">IF(ABS(E20)&lt;=0.00005,"PASS","FAIL")</f>
        <v>PASS</v>
      </c>
      <c r="G20" s="32"/>
    </row>
    <row r="21" customFormat="false" ht="15" hidden="false" customHeight="false" outlineLevel="0" collapsed="false">
      <c r="A21" s="38" t="s">
        <v>185</v>
      </c>
      <c r="B21" s="38" t="s">
        <v>113</v>
      </c>
      <c r="C21" s="42" t="n">
        <v>4.2342</v>
      </c>
      <c r="D21" s="42" t="n">
        <f aca="false">'Package and Rate'!B14</f>
        <v>4.23423423423423</v>
      </c>
      <c r="E21" s="40" t="n">
        <f aca="false">D21-C21</f>
        <v>3.42342342340984E-005</v>
      </c>
      <c r="F21" s="44" t="str">
        <f aca="false">IF(ABS(E21)&lt;=0.00005,"PASS","FAIL")</f>
        <v>PASS</v>
      </c>
      <c r="G21" s="32"/>
    </row>
    <row r="22" customFormat="false" ht="15" hidden="false" customHeight="false" outlineLevel="0" collapsed="false">
      <c r="A22" s="8" t="s">
        <v>185</v>
      </c>
      <c r="B22" s="8" t="s">
        <v>193</v>
      </c>
      <c r="C22" s="27" t="n">
        <v>3.3947</v>
      </c>
      <c r="D22" s="27" t="n">
        <f aca="false">'Package and Rate'!B15</f>
        <v>3.39468779123952</v>
      </c>
      <c r="E22" s="37" t="n">
        <f aca="false">D22-C22</f>
        <v>-1.22087604843557E-005</v>
      </c>
      <c r="F22" s="13" t="str">
        <f aca="false">IF(ABS(E22)&lt;=0.00005,"PASS","FAIL")</f>
        <v>PASS</v>
      </c>
      <c r="G22" s="32"/>
    </row>
    <row r="23" customFormat="false" ht="15" hidden="false" customHeight="false" outlineLevel="0" collapsed="false">
      <c r="A23" s="38" t="s">
        <v>185</v>
      </c>
      <c r="B23" s="38" t="s">
        <v>194</v>
      </c>
      <c r="C23" s="43" t="n">
        <v>0.403226</v>
      </c>
      <c r="D23" s="43" t="n">
        <f aca="false">'Package and Rate'!B16</f>
        <v>0.403225806451613</v>
      </c>
      <c r="E23" s="40" t="n">
        <f aca="false">D23-C23</f>
        <v>-1.93548387095177E-007</v>
      </c>
      <c r="F23" s="44" t="str">
        <f aca="false">IF(ABS(E23)&lt;=0.0000005,"PASS","FAIL")</f>
        <v>PASS</v>
      </c>
      <c r="G23" s="32"/>
    </row>
    <row r="24" customFormat="false" ht="15" hidden="false" customHeight="false" outlineLevel="0" collapsed="false">
      <c r="A24" s="8" t="s">
        <v>185</v>
      </c>
      <c r="B24" s="8" t="s">
        <v>195</v>
      </c>
      <c r="C24" s="18" t="n">
        <v>704000</v>
      </c>
      <c r="D24" s="18" t="n">
        <f aca="false">'Package and Rate'!B19</f>
        <v>704000</v>
      </c>
      <c r="E24" s="37" t="n">
        <f aca="false">D24-C24</f>
        <v>0</v>
      </c>
      <c r="F24" s="13" t="str">
        <f aca="false">IF(ABS(E24)&lt;=0.005,"PASS","FAIL")</f>
        <v>PASS</v>
      </c>
      <c r="G24" s="32"/>
    </row>
    <row r="25" customFormat="false" ht="15" hidden="false" customHeight="false" outlineLevel="0" collapsed="false">
      <c r="A25" s="38" t="s">
        <v>185</v>
      </c>
      <c r="B25" s="38" t="s">
        <v>118</v>
      </c>
      <c r="C25" s="43" t="n">
        <v>0.00247</v>
      </c>
      <c r="D25" s="43" t="n">
        <f aca="false">'Package and Rate'!B20</f>
        <v>0.00247017543859649</v>
      </c>
      <c r="E25" s="40" t="n">
        <f aca="false">D25-C25</f>
        <v>1.75438596491419E-007</v>
      </c>
      <c r="F25" s="44" t="str">
        <f aca="false">IF(ABS(E25)&lt;=0.0000005,"PASS","FAIL")</f>
        <v>PASS</v>
      </c>
      <c r="G25" s="32"/>
    </row>
    <row r="26" customFormat="false" ht="15" hidden="false" customHeight="false" outlineLevel="0" collapsed="false">
      <c r="A26" s="8" t="s">
        <v>185</v>
      </c>
      <c r="B26" s="8" t="s">
        <v>196</v>
      </c>
      <c r="C26" s="21" t="n">
        <v>1.0741</v>
      </c>
      <c r="D26" s="21" t="n">
        <f aca="false">'Package and Rate'!B23</f>
        <v>1.07407407407407</v>
      </c>
      <c r="E26" s="37" t="n">
        <f aca="false">D26-C26</f>
        <v>-2.59259259258737E-005</v>
      </c>
      <c r="F26" s="13" t="str">
        <f aca="false">IF(ABS(E26)&lt;=0.00005,"PASS","FAIL")</f>
        <v>PASS</v>
      </c>
      <c r="G26" s="32"/>
    </row>
    <row r="27" customFormat="false" ht="15" hidden="false" customHeight="false" outlineLevel="0" collapsed="false">
      <c r="A27" s="38" t="s">
        <v>185</v>
      </c>
      <c r="B27" s="38" t="s">
        <v>197</v>
      </c>
      <c r="C27" s="45" t="n">
        <v>3.4091</v>
      </c>
      <c r="D27" s="45" t="n">
        <f aca="false">'Package and Rate'!B24</f>
        <v>3.40909090909091</v>
      </c>
      <c r="E27" s="40" t="n">
        <f aca="false">D27-C27</f>
        <v>-9.09090909084753E-006</v>
      </c>
      <c r="F27" s="44" t="str">
        <f aca="false">IF(ABS(E27)&lt;=0.00005,"PASS","FAIL")</f>
        <v>PASS</v>
      </c>
      <c r="G27" s="32"/>
    </row>
    <row r="28" customFormat="false" ht="15" hidden="false" customHeight="false" outlineLevel="0" collapsed="false">
      <c r="A28" s="8" t="s">
        <v>185</v>
      </c>
      <c r="B28" s="8" t="s">
        <v>123</v>
      </c>
      <c r="C28" s="18" t="n">
        <v>15466666.67</v>
      </c>
      <c r="D28" s="18" t="n">
        <f aca="false">'Package and Rate'!B25</f>
        <v>15466666.6666667</v>
      </c>
      <c r="E28" s="37" t="n">
        <f aca="false">D28-C28</f>
        <v>-0.00333333201706409</v>
      </c>
      <c r="F28" s="13" t="str">
        <f aca="false">IF(ABS(E28)&lt;=0.005,"PASS","FAIL")</f>
        <v>PASS</v>
      </c>
      <c r="G28" s="32"/>
    </row>
    <row r="29" customFormat="false" ht="15" hidden="false" customHeight="false" outlineLevel="0" collapsed="false">
      <c r="A29" s="38" t="s">
        <v>185</v>
      </c>
      <c r="B29" s="38" t="s">
        <v>198</v>
      </c>
      <c r="C29" s="39" t="n">
        <v>9466666.67</v>
      </c>
      <c r="D29" s="39" t="n">
        <f aca="false">'Package and Rate'!B26</f>
        <v>9466666.66666667</v>
      </c>
      <c r="E29" s="40" t="n">
        <f aca="false">D29-C29</f>
        <v>-0.00333333201706409</v>
      </c>
      <c r="F29" s="44" t="str">
        <f aca="false">IF(ABS(E29)&lt;=0.005,"PASS","FAIL")</f>
        <v>PASS</v>
      </c>
      <c r="G29" s="32"/>
    </row>
    <row r="30" customFormat="false" ht="15" hidden="false" customHeight="false" outlineLevel="0" collapsed="false">
      <c r="A30" s="8" t="s">
        <v>185</v>
      </c>
      <c r="B30" s="8" t="s">
        <v>125</v>
      </c>
      <c r="C30" s="28" t="n">
        <v>0.078889</v>
      </c>
      <c r="D30" s="28" t="n">
        <f aca="false">'Package and Rate'!B27</f>
        <v>0.0788888888888889</v>
      </c>
      <c r="E30" s="37" t="n">
        <f aca="false">D30-C30</f>
        <v>-1.11111111103512E-007</v>
      </c>
      <c r="F30" s="13" t="str">
        <f aca="false">IF(ABS(E30)&lt;=0.0000005,"PASS","FAIL")</f>
        <v>PASS</v>
      </c>
      <c r="G30" s="32"/>
    </row>
    <row r="31" customFormat="false" ht="15" hidden="false" customHeight="false" outlineLevel="0" collapsed="false">
      <c r="A31" s="38" t="s">
        <v>185</v>
      </c>
      <c r="B31" s="38" t="s">
        <v>199</v>
      </c>
      <c r="C31" s="45" t="n">
        <v>48.8889</v>
      </c>
      <c r="D31" s="45" t="n">
        <f aca="false">'Package and Rate'!B28</f>
        <v>48.888888888889</v>
      </c>
      <c r="E31" s="40" t="n">
        <f aca="false">D31-C31</f>
        <v>-1.11111109930562E-005</v>
      </c>
      <c r="F31" s="44" t="str">
        <f aca="false">IF(ABS(E31)&lt;=0.00005,"PASS","FAIL")</f>
        <v>PASS</v>
      </c>
      <c r="G31" s="32"/>
    </row>
    <row r="32" customFormat="false" ht="15" hidden="false" customHeight="false" outlineLevel="0" collapsed="false">
      <c r="A32" s="8" t="s">
        <v>185</v>
      </c>
      <c r="B32" s="8" t="s">
        <v>200</v>
      </c>
      <c r="C32" s="28" t="n">
        <v>0.117241</v>
      </c>
      <c r="D32" s="28" t="n">
        <f aca="false">'Package and Rate'!B29</f>
        <v>0.117241379310345</v>
      </c>
      <c r="E32" s="37" t="n">
        <f aca="false">D32-C32</f>
        <v>3.79310344841843E-007</v>
      </c>
      <c r="F32" s="13" t="str">
        <f aca="false">IF(ABS(E32)&lt;=0.0000005,"PASS","FAIL")</f>
        <v>PASS</v>
      </c>
      <c r="G32" s="32"/>
    </row>
    <row r="33" customFormat="false" ht="15" hidden="false" customHeight="false" outlineLevel="0" collapsed="false">
      <c r="A33" s="38" t="s">
        <v>185</v>
      </c>
      <c r="B33" s="38" t="s">
        <v>201</v>
      </c>
      <c r="C33" s="39" t="n">
        <v>2176000</v>
      </c>
      <c r="D33" s="39" t="n">
        <f aca="false">'Package and Rate'!B30</f>
        <v>2176000</v>
      </c>
      <c r="E33" s="40" t="n">
        <f aca="false">D33-C33</f>
        <v>0</v>
      </c>
      <c r="F33" s="44" t="str">
        <f aca="false">IF(ABS(E33)&lt;=0.005,"PASS","FAIL")</f>
        <v>PASS</v>
      </c>
      <c r="G33" s="32"/>
    </row>
    <row r="34" customFormat="false" ht="15" hidden="false" customHeight="false" outlineLevel="0" collapsed="false">
      <c r="A34" s="8" t="s">
        <v>185</v>
      </c>
      <c r="B34" s="8" t="s">
        <v>202</v>
      </c>
      <c r="C34" s="18" t="n">
        <v>117824000</v>
      </c>
      <c r="D34" s="18" t="n">
        <f aca="false">'Package and Rate'!B31</f>
        <v>117824000</v>
      </c>
      <c r="E34" s="37" t="n">
        <f aca="false">D34-C34</f>
        <v>0</v>
      </c>
      <c r="F34" s="13" t="str">
        <f aca="false">IF(ABS(E34)&lt;=0.005,"PASS","FAIL")</f>
        <v>PASS</v>
      </c>
      <c r="G34" s="32"/>
    </row>
    <row r="35" customFormat="false" ht="15" hidden="false" customHeight="false" outlineLevel="0" collapsed="false">
      <c r="A35" s="38" t="s">
        <v>185</v>
      </c>
      <c r="B35" s="38" t="s">
        <v>130</v>
      </c>
      <c r="C35" s="39" t="n">
        <v>16966656</v>
      </c>
      <c r="D35" s="39" t="n">
        <f aca="false">'Package and Rate'!B32</f>
        <v>16966656</v>
      </c>
      <c r="E35" s="40" t="n">
        <f aca="false">D35-C35</f>
        <v>0</v>
      </c>
      <c r="F35" s="44" t="str">
        <f aca="false">IF(ABS(E35)&lt;=0.005,"PASS","FAIL")</f>
        <v>PASS</v>
      </c>
      <c r="G35" s="32"/>
    </row>
    <row r="36" customFormat="false" ht="15" hidden="false" customHeight="false" outlineLevel="0" collapsed="false">
      <c r="A36" s="8" t="s">
        <v>185</v>
      </c>
      <c r="B36" s="8" t="s">
        <v>203</v>
      </c>
      <c r="C36" s="21" t="n">
        <v>1.0939</v>
      </c>
      <c r="D36" s="21" t="n">
        <f aca="false">'Package and Rate'!B33</f>
        <v>1.09391031444263</v>
      </c>
      <c r="E36" s="37" t="n">
        <f aca="false">D36-C36</f>
        <v>1.03144426337742E-005</v>
      </c>
      <c r="F36" s="13" t="str">
        <f aca="false">IF(ABS(E36)&lt;=0.00005,"PASS","FAIL")</f>
        <v>PASS</v>
      </c>
      <c r="G36" s="32"/>
    </row>
    <row r="37" customFormat="false" ht="15" hidden="false" customHeight="false" outlineLevel="0" collapsed="false">
      <c r="A37" s="38" t="s">
        <v>185</v>
      </c>
      <c r="B37" s="38" t="s">
        <v>204</v>
      </c>
      <c r="C37" s="42" t="n">
        <v>1.3817</v>
      </c>
      <c r="D37" s="42" t="n">
        <f aca="false">'Package and Rate'!B35</f>
        <v>1.38172043010753</v>
      </c>
      <c r="E37" s="40" t="n">
        <f aca="false">D37-C37</f>
        <v>2.04301075270585E-005</v>
      </c>
      <c r="F37" s="44" t="str">
        <f aca="false">IF(ABS(E37)&lt;=0.00005,"PASS","FAIL")</f>
        <v>PASS</v>
      </c>
      <c r="G37" s="32"/>
    </row>
    <row r="38" customFormat="false" ht="15" hidden="false" customHeight="false" outlineLevel="0" collapsed="false">
      <c r="A38" s="8" t="s">
        <v>185</v>
      </c>
      <c r="B38" s="8" t="s">
        <v>205</v>
      </c>
      <c r="C38" s="27" t="n">
        <v>0.1344</v>
      </c>
      <c r="D38" s="27" t="n">
        <f aca="false">'Package and Rate'!B36</f>
        <v>0.134408602150538</v>
      </c>
      <c r="E38" s="37" t="n">
        <f aca="false">D38-C38</f>
        <v>8.60215053774538E-006</v>
      </c>
      <c r="F38" s="13" t="str">
        <f aca="false">IF(ABS(E38)&lt;=0.00005,"PASS","FAIL")</f>
        <v>PASS</v>
      </c>
      <c r="G38" s="32"/>
    </row>
    <row r="39" customFormat="false" ht="15" hidden="false" customHeight="false" outlineLevel="0" collapsed="false">
      <c r="A39" s="38" t="s">
        <v>185</v>
      </c>
      <c r="B39" s="38" t="s">
        <v>206</v>
      </c>
      <c r="C39" s="39" t="n">
        <v>2704000</v>
      </c>
      <c r="D39" s="39" t="n">
        <f aca="false">'Package and Rate'!B37</f>
        <v>2704000</v>
      </c>
      <c r="E39" s="40" t="n">
        <f aca="false">D39-C39</f>
        <v>0</v>
      </c>
      <c r="F39" s="44" t="str">
        <f aca="false">IF(ABS(E39)&lt;=0.005,"PASS","FAIL")</f>
        <v>PASS</v>
      </c>
      <c r="G39" s="32"/>
    </row>
    <row r="40" customFormat="false" ht="15" hidden="false" customHeight="false" outlineLevel="0" collapsed="false">
      <c r="A40" s="8" t="s">
        <v>188</v>
      </c>
      <c r="B40" s="8" t="s">
        <v>207</v>
      </c>
      <c r="C40" s="28" t="n">
        <v>0.024736</v>
      </c>
      <c r="D40" s="28" t="n">
        <f aca="false">'Package and Rate'!B40</f>
        <v>0.0247364722417428</v>
      </c>
      <c r="E40" s="37" t="n">
        <f aca="false">D40-C40</f>
        <v>4.7224174279728E-007</v>
      </c>
      <c r="F40" s="13" t="str">
        <f aca="false">IF(ABS(E40)&lt;=0.0000005,"PASS","FAIL")</f>
        <v>PASS</v>
      </c>
      <c r="G40" s="32"/>
    </row>
    <row r="41" customFormat="false" ht="15" hidden="false" customHeight="false" outlineLevel="0" collapsed="false">
      <c r="A41" s="38" t="s">
        <v>188</v>
      </c>
      <c r="B41" s="38" t="s">
        <v>208</v>
      </c>
      <c r="C41" s="45" t="n">
        <v>3.133</v>
      </c>
      <c r="D41" s="45" t="n">
        <f aca="false">'Package and Rate'!B41</f>
        <v>3.13298429319374</v>
      </c>
      <c r="E41" s="40" t="n">
        <f aca="false">D41-C41</f>
        <v>-1.57068062578425E-005</v>
      </c>
      <c r="F41" s="44" t="str">
        <f aca="false">IF(ABS(E41)&lt;=0.00005,"PASS","FAIL")</f>
        <v>PASS</v>
      </c>
      <c r="G41" s="32"/>
    </row>
    <row r="42" customFormat="false" ht="15" hidden="false" customHeight="false" outlineLevel="0" collapsed="false">
      <c r="A42" s="8" t="s">
        <v>188</v>
      </c>
      <c r="B42" s="8" t="s">
        <v>209</v>
      </c>
      <c r="C42" s="27" t="n">
        <v>4.8041</v>
      </c>
      <c r="D42" s="27" t="n">
        <f aca="false">'Package and Rate'!B42</f>
        <v>4.80413432027445</v>
      </c>
      <c r="E42" s="37" t="n">
        <f aca="false">D42-C42</f>
        <v>3.43202744508275E-005</v>
      </c>
      <c r="F42" s="13" t="str">
        <f aca="false">IF(ABS(E42)&lt;=0.00005,"PASS","FAIL")</f>
        <v>PASS</v>
      </c>
      <c r="G42" s="32" t="s">
        <v>210</v>
      </c>
    </row>
    <row r="43" customFormat="false" ht="15" hidden="false" customHeight="false" outlineLevel="0" collapsed="false">
      <c r="A43" s="38" t="s">
        <v>188</v>
      </c>
      <c r="B43" s="38" t="s">
        <v>211</v>
      </c>
      <c r="C43" s="39" t="n">
        <v>3860000</v>
      </c>
      <c r="D43" s="39" t="n">
        <f aca="false">'Package and Rate'!B43</f>
        <v>3860000</v>
      </c>
      <c r="E43" s="40" t="n">
        <f aca="false">D43-C43</f>
        <v>0</v>
      </c>
      <c r="F43" s="44" t="str">
        <f aca="false">IF(ABS(E43)&lt;=0.005,"PASS","FAIL")</f>
        <v>PASS</v>
      </c>
      <c r="G43" s="32"/>
    </row>
    <row r="44" customFormat="false" ht="15" hidden="false" customHeight="false" outlineLevel="0" collapsed="false">
      <c r="A44" s="8" t="s">
        <v>188</v>
      </c>
      <c r="B44" s="8" t="s">
        <v>212</v>
      </c>
      <c r="C44" s="28" t="n">
        <v>0.135629</v>
      </c>
      <c r="D44" s="28" t="n">
        <f aca="false">'Package and Rate'!B44</f>
        <v>0.135628952916374</v>
      </c>
      <c r="E44" s="37" t="n">
        <f aca="false">D44-C44</f>
        <v>-4.70836261368124E-008</v>
      </c>
      <c r="F44" s="13" t="str">
        <f aca="false">IF(ABS(E44)&lt;=0.0000005,"PASS","FAIL")</f>
        <v>PASS</v>
      </c>
      <c r="G44" s="32"/>
    </row>
    <row r="45" customFormat="false" ht="15" hidden="false" customHeight="false" outlineLevel="0" collapsed="false">
      <c r="A45" s="38" t="s">
        <v>188</v>
      </c>
      <c r="B45" s="38" t="s">
        <v>213</v>
      </c>
      <c r="C45" s="43" t="n">
        <v>0.017285</v>
      </c>
      <c r="D45" s="43" t="n">
        <f aca="false">'Package and Rate'!B45</f>
        <v>0.0172850678733031</v>
      </c>
      <c r="E45" s="40" t="n">
        <f aca="false">D45-C45</f>
        <v>6.78733031340972E-008</v>
      </c>
      <c r="F45" s="44" t="str">
        <f aca="false">IF(ABS(E45)&lt;=0.0000005,"PASS","FAIL")</f>
        <v>PASS</v>
      </c>
      <c r="G45" s="32"/>
    </row>
    <row r="46" customFormat="false" ht="15" hidden="false" customHeight="false" outlineLevel="0" collapsed="false">
      <c r="A46" s="8" t="s">
        <v>188</v>
      </c>
      <c r="B46" s="8" t="s">
        <v>214</v>
      </c>
      <c r="C46" s="28" t="n">
        <v>0.000788</v>
      </c>
      <c r="D46" s="28" t="n">
        <f aca="false">'Package and Rate'!B46</f>
        <v>0.000788441692466459</v>
      </c>
      <c r="E46" s="37" t="n">
        <f aca="false">D46-C46</f>
        <v>4.41692466458745E-007</v>
      </c>
      <c r="F46" s="13" t="str">
        <f aca="false">IF(ABS(E46)&lt;=0.0000005,"PASS","FAIL")</f>
        <v>PASS</v>
      </c>
      <c r="G46" s="32"/>
    </row>
    <row r="47" customFormat="false" ht="15" hidden="false" customHeight="false" outlineLevel="0" collapsed="false">
      <c r="A47" s="38" t="s">
        <v>188</v>
      </c>
      <c r="B47" s="38" t="s">
        <v>215</v>
      </c>
      <c r="C47" s="45" t="n">
        <v>1.5334</v>
      </c>
      <c r="D47" s="45" t="n">
        <f aca="false">'Package and Rate'!B47</f>
        <v>1.53340517241379</v>
      </c>
      <c r="E47" s="40" t="n">
        <f aca="false">D47-C47</f>
        <v>5.17241379305311E-006</v>
      </c>
      <c r="F47" s="44" t="str">
        <f aca="false">IF(ABS(E47)&lt;=0.00005,"PASS","FAIL")</f>
        <v>PASS</v>
      </c>
      <c r="G47" s="32"/>
    </row>
    <row r="48" customFormat="false" ht="15" hidden="false" customHeight="false" outlineLevel="0" collapsed="false">
      <c r="A48" s="8" t="s">
        <v>188</v>
      </c>
      <c r="B48" s="8" t="s">
        <v>216</v>
      </c>
      <c r="C48" s="28" t="n">
        <v>0.20401</v>
      </c>
      <c r="D48" s="28" t="n">
        <f aca="false">'Package and Rate'!B48</f>
        <v>0.204010317565748</v>
      </c>
      <c r="E48" s="37" t="n">
        <f aca="false">D48-C48</f>
        <v>3.17565747948168E-007</v>
      </c>
      <c r="F48" s="13" t="str">
        <f aca="false">IF(ABS(E48)&lt;=0.0000005,"PASS","FAIL")</f>
        <v>PASS</v>
      </c>
      <c r="G48" s="32"/>
    </row>
    <row r="49" customFormat="false" ht="15" hidden="false" customHeight="false" outlineLevel="0" collapsed="false">
      <c r="A49" s="38" t="s">
        <v>188</v>
      </c>
      <c r="B49" s="38" t="s">
        <v>217</v>
      </c>
      <c r="C49" s="43" t="n">
        <v>0.317685</v>
      </c>
      <c r="D49" s="43" t="n">
        <f aca="false">'Package and Rate'!B49</f>
        <v>0.317684841901433</v>
      </c>
      <c r="E49" s="40" t="n">
        <f aca="false">D49-C49</f>
        <v>-1.58098566682696E-007</v>
      </c>
      <c r="F49" s="44" t="str">
        <f aca="false">IF(ABS(E49)&lt;=0.0000005,"PASS","FAIL")</f>
        <v>PASS</v>
      </c>
      <c r="G49" s="32"/>
    </row>
    <row r="50" customFormat="false" ht="15" hidden="false" customHeight="false" outlineLevel="0" collapsed="false">
      <c r="A50" s="8" t="s">
        <v>188</v>
      </c>
      <c r="B50" s="8" t="s">
        <v>218</v>
      </c>
      <c r="C50" s="27" t="n">
        <v>1.5572</v>
      </c>
      <c r="D50" s="27" t="n">
        <f aca="false">'Package and Rate'!B50</f>
        <v>1.55719987935929</v>
      </c>
      <c r="E50" s="37" t="n">
        <f aca="false">D50-C50</f>
        <v>-1.20640708978215E-007</v>
      </c>
      <c r="F50" s="13" t="str">
        <f aca="false">IF(ABS(E50)&lt;=0.00005,"PASS","FAIL")</f>
        <v>PASS</v>
      </c>
      <c r="G50" s="32"/>
    </row>
    <row r="51" customFormat="false" ht="15" hidden="false" customHeight="false" outlineLevel="0" collapsed="false">
      <c r="A51" s="38" t="s">
        <v>219</v>
      </c>
      <c r="B51" s="38" t="s">
        <v>220</v>
      </c>
      <c r="C51" s="42" t="n">
        <v>3.9735</v>
      </c>
      <c r="D51" s="42" t="n">
        <f aca="false">'Package and Rate'!C54</f>
        <v>3.97350993377483</v>
      </c>
      <c r="E51" s="40" t="n">
        <f aca="false">D51-C51</f>
        <v>9.93377483426983E-006</v>
      </c>
      <c r="F51" s="44" t="str">
        <f aca="false">IF(ABS(E51)&lt;=0.00005,"PASS","FAIL")</f>
        <v>PASS</v>
      </c>
      <c r="G51" s="32"/>
    </row>
    <row r="52" customFormat="false" ht="15" hidden="false" customHeight="false" outlineLevel="0" collapsed="false">
      <c r="A52" s="8" t="s">
        <v>219</v>
      </c>
      <c r="B52" s="8" t="s">
        <v>221</v>
      </c>
      <c r="C52" s="27" t="n">
        <v>0.2429</v>
      </c>
      <c r="D52" s="27" t="n">
        <f aca="false">'Package and Rate'!D54</f>
        <v>0.242934198340415</v>
      </c>
      <c r="E52" s="37" t="n">
        <f aca="false">D52-C52</f>
        <v>3.41983404151813E-005</v>
      </c>
      <c r="F52" s="13" t="str">
        <f aca="false">IF(ABS(E52)&lt;=0.00005,"PASS","FAIL")</f>
        <v>PASS</v>
      </c>
      <c r="G52" s="32"/>
    </row>
    <row r="53" customFormat="false" ht="15" hidden="false" customHeight="false" outlineLevel="0" collapsed="false">
      <c r="A53" s="38" t="s">
        <v>219</v>
      </c>
      <c r="B53" s="38" t="s">
        <v>222</v>
      </c>
      <c r="C53" s="42" t="n">
        <v>3.9656</v>
      </c>
      <c r="D53" s="42" t="n">
        <f aca="false">'Package and Rate'!C55</f>
        <v>3.96563119629874</v>
      </c>
      <c r="E53" s="40" t="n">
        <f aca="false">D53-C53</f>
        <v>3.11962987442627E-005</v>
      </c>
      <c r="F53" s="44" t="str">
        <f aca="false">IF(ABS(E53)&lt;=0.00005,"PASS","FAIL")</f>
        <v>PASS</v>
      </c>
      <c r="G53" s="32"/>
    </row>
    <row r="54" customFormat="false" ht="15" hidden="false" customHeight="false" outlineLevel="0" collapsed="false">
      <c r="A54" s="8" t="s">
        <v>219</v>
      </c>
      <c r="B54" s="8" t="s">
        <v>221</v>
      </c>
      <c r="C54" s="27" t="n">
        <v>0.2508</v>
      </c>
      <c r="D54" s="27" t="n">
        <f aca="false">'Package and Rate'!D55</f>
        <v>0.250812935816505</v>
      </c>
      <c r="E54" s="37" t="n">
        <f aca="false">D54-C54</f>
        <v>1.29358165054105E-005</v>
      </c>
      <c r="F54" s="13" t="str">
        <f aca="false">IF(ABS(E54)&lt;=0.00005,"PASS","FAIL")</f>
        <v>PASS</v>
      </c>
      <c r="G54" s="32"/>
    </row>
    <row r="55" customFormat="false" ht="15" hidden="false" customHeight="false" outlineLevel="0" collapsed="false">
      <c r="A55" s="38" t="s">
        <v>219</v>
      </c>
      <c r="B55" s="38" t="s">
        <v>223</v>
      </c>
      <c r="C55" s="42" t="n">
        <v>3.7665</v>
      </c>
      <c r="D55" s="42" t="n">
        <f aca="false">'Package and Rate'!C56</f>
        <v>3.76647834274953</v>
      </c>
      <c r="E55" s="40" t="n">
        <f aca="false">D55-C55</f>
        <v>-2.16572504712076E-005</v>
      </c>
      <c r="F55" s="44" t="str">
        <f aca="false">IF(ABS(E55)&lt;=0.00005,"PASS","FAIL")</f>
        <v>PASS</v>
      </c>
      <c r="G55" s="32"/>
    </row>
    <row r="56" customFormat="false" ht="15" hidden="false" customHeight="false" outlineLevel="0" collapsed="false">
      <c r="A56" s="8" t="s">
        <v>219</v>
      </c>
      <c r="B56" s="8" t="s">
        <v>221</v>
      </c>
      <c r="C56" s="27" t="n">
        <v>0.45</v>
      </c>
      <c r="D56" s="27" t="n">
        <f aca="false">'Package and Rate'!D56</f>
        <v>0.449965789365721</v>
      </c>
      <c r="E56" s="37" t="n">
        <f aca="false">D56-C56</f>
        <v>-3.42106342794968E-005</v>
      </c>
      <c r="F56" s="13" t="str">
        <f aca="false">IF(ABS(E56)&lt;=0.00005,"PASS","FAIL")</f>
        <v>PASS</v>
      </c>
      <c r="G56" s="32"/>
    </row>
    <row r="57" customFormat="false" ht="15" hidden="false" customHeight="false" outlineLevel="0" collapsed="false">
      <c r="A57" s="38" t="s">
        <v>219</v>
      </c>
      <c r="B57" s="38" t="s">
        <v>224</v>
      </c>
      <c r="C57" s="42" t="n">
        <v>3.9139</v>
      </c>
      <c r="D57" s="42" t="n">
        <f aca="false">'Package and Rate'!C57</f>
        <v>3.91389432485323</v>
      </c>
      <c r="E57" s="40" t="n">
        <f aca="false">D57-C57</f>
        <v>-5.67514677118908E-006</v>
      </c>
      <c r="F57" s="44" t="str">
        <f aca="false">IF(ABS(E57)&lt;=0.00005,"PASS","FAIL")</f>
        <v>PASS</v>
      </c>
      <c r="G57" s="32" t="s">
        <v>225</v>
      </c>
    </row>
    <row r="58" customFormat="false" ht="15" hidden="false" customHeight="false" outlineLevel="0" collapsed="false">
      <c r="A58" s="8" t="s">
        <v>219</v>
      </c>
      <c r="B58" s="8" t="s">
        <v>221</v>
      </c>
      <c r="C58" s="27" t="n">
        <v>0.3025</v>
      </c>
      <c r="D58" s="27" t="n">
        <f aca="false">'Package and Rate'!D57</f>
        <v>0.302549807262021</v>
      </c>
      <c r="E58" s="37" t="n">
        <f aca="false">D58-C58</f>
        <v>4.98072620207513E-005</v>
      </c>
      <c r="F58" s="13" t="str">
        <f aca="false">IF(ABS(E58)&lt;=0.00005,"PASS","FAIL")</f>
        <v>PASS</v>
      </c>
      <c r="G58" s="32"/>
    </row>
    <row r="59" customFormat="false" ht="15" hidden="false" customHeight="false" outlineLevel="0" collapsed="false">
      <c r="A59" s="38" t="s">
        <v>219</v>
      </c>
      <c r="B59" s="38" t="s">
        <v>226</v>
      </c>
      <c r="C59" s="45" t="n">
        <v>1.2463</v>
      </c>
      <c r="D59" s="45" t="n">
        <f aca="false">'Package and Rate'!B58</f>
        <v>1.24626273078466</v>
      </c>
      <c r="E59" s="40" t="n">
        <f aca="false">D59-C59</f>
        <v>-3.72692153380871E-005</v>
      </c>
      <c r="F59" s="44" t="str">
        <f aca="false">IF(ABS(E59)&lt;=0.00005,"PASS","FAIL")</f>
        <v>PASS</v>
      </c>
      <c r="G59" s="32"/>
    </row>
    <row r="60" customFormat="false" ht="15" hidden="false" customHeight="false" outlineLevel="0" collapsed="false">
      <c r="A60" s="8" t="s">
        <v>219</v>
      </c>
      <c r="B60" s="8" t="s">
        <v>227</v>
      </c>
      <c r="C60" s="27" t="n">
        <v>1.025</v>
      </c>
      <c r="D60" s="27" t="n">
        <f aca="false">'Package and Rate'!B59</f>
        <v>1.02495477041312</v>
      </c>
      <c r="E60" s="37" t="n">
        <f aca="false">D60-C60</f>
        <v>-4.52295868780261E-005</v>
      </c>
      <c r="F60" s="13" t="str">
        <f aca="false">IF(ABS(E60)&lt;=0.00005,"PASS","FAIL")</f>
        <v>PASS</v>
      </c>
      <c r="G60" s="32"/>
    </row>
    <row r="61" customFormat="false" ht="15" hidden="false" customHeight="false" outlineLevel="0" collapsed="false">
      <c r="A61" s="38" t="s">
        <v>219</v>
      </c>
      <c r="B61" s="38" t="s">
        <v>228</v>
      </c>
      <c r="C61" s="45" t="n">
        <v>0.2213</v>
      </c>
      <c r="D61" s="45" t="n">
        <f aca="false">'Package and Rate'!B60</f>
        <v>0.221262730784662</v>
      </c>
      <c r="E61" s="40" t="n">
        <f aca="false">D61-C61</f>
        <v>-3.72692153380316E-005</v>
      </c>
      <c r="F61" s="44" t="str">
        <f aca="false">IF(ABS(E61)&lt;=0.00005,"PASS","FAIL")</f>
        <v>PASS</v>
      </c>
      <c r="G61" s="32"/>
    </row>
    <row r="62" customFormat="false" ht="15" hidden="false" customHeight="false" outlineLevel="0" collapsed="false">
      <c r="A62" s="8" t="s">
        <v>219</v>
      </c>
      <c r="B62" s="8" t="s">
        <v>229</v>
      </c>
      <c r="C62" s="18" t="n">
        <v>4920000</v>
      </c>
      <c r="D62" s="18" t="n">
        <f aca="false">'Package and Rate'!B62</f>
        <v>4920000</v>
      </c>
      <c r="E62" s="37" t="n">
        <f aca="false">D62-C62</f>
        <v>0</v>
      </c>
      <c r="F62" s="13" t="str">
        <f aca="false">IF(ABS(E62)&lt;=0.005,"PASS","FAIL")</f>
        <v>PASS</v>
      </c>
      <c r="G62" s="32"/>
    </row>
    <row r="63" customFormat="false" ht="15" hidden="false" customHeight="false" outlineLevel="0" collapsed="false">
      <c r="A63" s="38" t="s">
        <v>219</v>
      </c>
      <c r="B63" s="38" t="s">
        <v>158</v>
      </c>
      <c r="C63" s="42" t="n">
        <v>4.065</v>
      </c>
      <c r="D63" s="42" t="n">
        <f aca="false">'Package and Rate'!B63</f>
        <v>4.0650406504065</v>
      </c>
      <c r="E63" s="40" t="n">
        <f aca="false">D63-C63</f>
        <v>4.06504065040281E-005</v>
      </c>
      <c r="F63" s="44" t="str">
        <f aca="false">IF(ABS(E63)&lt;=0.00005,"PASS","FAIL")</f>
        <v>PASS</v>
      </c>
      <c r="G63" s="32"/>
    </row>
    <row r="64" customFormat="false" ht="15" hidden="false" customHeight="false" outlineLevel="0" collapsed="false">
      <c r="A64" s="8" t="s">
        <v>219</v>
      </c>
      <c r="B64" s="8" t="s">
        <v>230</v>
      </c>
      <c r="C64" s="27" t="n">
        <v>0.185</v>
      </c>
      <c r="D64" s="27" t="n">
        <f aca="false">'Package and Rate'!B64</f>
        <v>0.184959349593496</v>
      </c>
      <c r="E64" s="37" t="n">
        <f aca="false">D64-C64</f>
        <v>-4.06504065044167E-005</v>
      </c>
      <c r="F64" s="13" t="str">
        <f aca="false">IF(ABS(E64)&lt;=0.00005,"PASS","FAIL")</f>
        <v>PASS</v>
      </c>
      <c r="G64" s="32"/>
    </row>
    <row r="65" customFormat="false" ht="15" hidden="false" customHeight="false" outlineLevel="0" collapsed="false">
      <c r="A65" s="38" t="s">
        <v>219</v>
      </c>
      <c r="B65" s="38" t="s">
        <v>231</v>
      </c>
      <c r="C65" s="42" t="n">
        <v>3.9024</v>
      </c>
      <c r="D65" s="42" t="n">
        <f aca="false">'Package and Rate'!B67</f>
        <v>3.90243902439024</v>
      </c>
      <c r="E65" s="40" t="n">
        <f aca="false">D65-C65</f>
        <v>3.90243902437248E-005</v>
      </c>
      <c r="F65" s="44" t="str">
        <f aca="false">IF(ABS(E65)&lt;=0.00005,"PASS","FAIL")</f>
        <v>PASS</v>
      </c>
      <c r="G65" s="32"/>
    </row>
    <row r="66" customFormat="false" ht="15" hidden="false" customHeight="false" outlineLevel="0" collapsed="false">
      <c r="A66" s="8" t="s">
        <v>219</v>
      </c>
      <c r="B66" s="8" t="s">
        <v>232</v>
      </c>
      <c r="C66" s="28" t="n">
        <v>0.156911</v>
      </c>
      <c r="D66" s="28" t="n">
        <f aca="false">'Package and Rate'!B68</f>
        <v>0.156910569105691</v>
      </c>
      <c r="E66" s="37" t="n">
        <f aca="false">D66-C66</f>
        <v>-4.30894308928176E-007</v>
      </c>
      <c r="F66" s="13" t="str">
        <f aca="false">IF(ABS(E66)&lt;=0.0000005,"PASS","FAIL")</f>
        <v>PASS</v>
      </c>
      <c r="G66" s="32"/>
    </row>
    <row r="67" customFormat="false" ht="15" hidden="false" customHeight="false" outlineLevel="0" collapsed="false">
      <c r="A67" s="38" t="s">
        <v>219</v>
      </c>
      <c r="B67" s="38" t="s">
        <v>233</v>
      </c>
      <c r="C67" s="39" t="n">
        <v>7520000</v>
      </c>
      <c r="D67" s="39" t="n">
        <f aca="false">'Package and Rate'!B69</f>
        <v>7520000</v>
      </c>
      <c r="E67" s="40" t="n">
        <f aca="false">D67-C67</f>
        <v>0</v>
      </c>
      <c r="F67" s="44" t="str">
        <f aca="false">IF(ABS(E67)&lt;=0.005,"PASS","FAIL")</f>
        <v>PASS</v>
      </c>
      <c r="G67" s="32"/>
    </row>
    <row r="68" customFormat="false" ht="15" hidden="false" customHeight="false" outlineLevel="0" collapsed="false">
      <c r="A68" s="8" t="s">
        <v>219</v>
      </c>
      <c r="B68" s="8" t="s">
        <v>234</v>
      </c>
      <c r="C68" s="18" t="n">
        <v>2600000</v>
      </c>
      <c r="D68" s="18" t="n">
        <f aca="false">'Package and Rate'!B70</f>
        <v>2600000</v>
      </c>
      <c r="E68" s="37" t="n">
        <f aca="false">D68-C68</f>
        <v>0</v>
      </c>
      <c r="F68" s="13" t="str">
        <f aca="false">IF(ABS(E68)&lt;=0.005,"PASS","FAIL")</f>
        <v>PASS</v>
      </c>
      <c r="G68" s="32"/>
    </row>
    <row r="69" customFormat="false" ht="15" hidden="false" customHeight="false" outlineLevel="0" collapsed="false">
      <c r="A69" s="38" t="s">
        <v>219</v>
      </c>
      <c r="B69" s="38" t="s">
        <v>165</v>
      </c>
      <c r="C69" s="45" t="n">
        <v>0.3291</v>
      </c>
      <c r="D69" s="45" t="n">
        <f aca="false">'Package and Rate'!B71</f>
        <v>0.329050613046604</v>
      </c>
      <c r="E69" s="40" t="n">
        <f aca="false">D69-C69</f>
        <v>-4.93869533957914E-005</v>
      </c>
      <c r="F69" s="44" t="str">
        <f aca="false">IF(ABS(E69)&lt;=0.00005,"PASS","FAIL")</f>
        <v>PASS</v>
      </c>
      <c r="G69" s="32"/>
    </row>
    <row r="70" customFormat="false" ht="15" hidden="false" customHeight="false" outlineLevel="0" collapsed="false">
      <c r="A70" s="8" t="s">
        <v>219</v>
      </c>
      <c r="B70" s="8" t="s">
        <v>235</v>
      </c>
      <c r="C70" s="18" t="n">
        <v>25263157.89</v>
      </c>
      <c r="D70" s="18" t="n">
        <f aca="false">'Package and Rate'!B74</f>
        <v>25263157.8947368</v>
      </c>
      <c r="E70" s="37" t="n">
        <f aca="false">D70-C70</f>
        <v>0.00473684072494507</v>
      </c>
      <c r="F70" s="13" t="str">
        <f aca="false">IF(ABS(E70)&lt;=0.005,"PASS","FAIL")</f>
        <v>PASS</v>
      </c>
      <c r="G70" s="32"/>
    </row>
    <row r="71" customFormat="false" ht="15" hidden="false" customHeight="false" outlineLevel="0" collapsed="false">
      <c r="A71" s="38" t="s">
        <v>219</v>
      </c>
      <c r="B71" s="38" t="s">
        <v>236</v>
      </c>
      <c r="C71" s="43" t="n">
        <v>0.112328</v>
      </c>
      <c r="D71" s="43" t="n">
        <f aca="false">'Package and Rate'!C74</f>
        <v>0.112327551133632</v>
      </c>
      <c r="E71" s="40" t="n">
        <f aca="false">D71-C71</f>
        <v>-4.48866368310541E-007</v>
      </c>
      <c r="F71" s="44" t="str">
        <f aca="false">IF(ABS(E71)&lt;=0.0000005,"PASS","FAIL")</f>
        <v>PASS</v>
      </c>
      <c r="G71" s="32"/>
    </row>
    <row r="72" customFormat="false" ht="15" hidden="false" customHeight="false" outlineLevel="0" collapsed="false">
      <c r="A72" s="8" t="s">
        <v>219</v>
      </c>
      <c r="B72" s="8" t="s">
        <v>230</v>
      </c>
      <c r="C72" s="27" t="n">
        <v>0.5336</v>
      </c>
      <c r="D72" s="27" t="n">
        <f aca="false">'Package and Rate'!D74</f>
        <v>0.533555867884751</v>
      </c>
      <c r="E72" s="37" t="n">
        <f aca="false">D72-C72</f>
        <v>-4.41321152494512E-005</v>
      </c>
      <c r="F72" s="13" t="str">
        <f aca="false">IF(ABS(E72)&lt;=0.00005,"PASS","FAIL")</f>
        <v>PASS</v>
      </c>
      <c r="G72" s="32"/>
    </row>
    <row r="73" customFormat="false" ht="15" hidden="false" customHeight="false" outlineLevel="0" collapsed="false">
      <c r="A73" s="38" t="s">
        <v>219</v>
      </c>
      <c r="B73" s="38" t="s">
        <v>237</v>
      </c>
      <c r="C73" s="39" t="n">
        <v>22857142.86</v>
      </c>
      <c r="D73" s="39" t="n">
        <f aca="false">'Package and Rate'!B75</f>
        <v>22857142.8571429</v>
      </c>
      <c r="E73" s="40" t="n">
        <f aca="false">D73-C73</f>
        <v>-0.00285714119672775</v>
      </c>
      <c r="F73" s="44" t="str">
        <f aca="false">IF(ABS(E73)&lt;=0.005,"PASS","FAIL")</f>
        <v>PASS</v>
      </c>
      <c r="G73" s="32"/>
    </row>
    <row r="74" customFormat="false" ht="15" hidden="false" customHeight="false" outlineLevel="0" collapsed="false">
      <c r="A74" s="8" t="s">
        <v>219</v>
      </c>
      <c r="B74" s="8" t="s">
        <v>236</v>
      </c>
      <c r="C74" s="28" t="n">
        <v>0.196868</v>
      </c>
      <c r="D74" s="28" t="n">
        <f aca="false">'Package and Rate'!C75</f>
        <v>0.196867784359</v>
      </c>
      <c r="E74" s="37" t="n">
        <f aca="false">D74-C74</f>
        <v>-2.1564099988991E-007</v>
      </c>
      <c r="F74" s="13" t="str">
        <f aca="false">IF(ABS(E74)&lt;=0.0000005,"PASS","FAIL")</f>
        <v>PASS</v>
      </c>
      <c r="G74" s="32"/>
    </row>
    <row r="75" customFormat="false" ht="15" hidden="false" customHeight="false" outlineLevel="0" collapsed="false">
      <c r="A75" s="38" t="s">
        <v>219</v>
      </c>
      <c r="B75" s="38" t="s">
        <v>230</v>
      </c>
      <c r="C75" s="45" t="n">
        <v>1.0336</v>
      </c>
      <c r="D75" s="45" t="n">
        <f aca="false">'Package and Rate'!D75</f>
        <v>1.03355586788475</v>
      </c>
      <c r="E75" s="40" t="n">
        <f aca="false">D75-C75</f>
        <v>-4.41321152495622E-005</v>
      </c>
      <c r="F75" s="44" t="str">
        <f aca="false">IF(ABS(E75)&lt;=0.00005,"PASS","FAIL")</f>
        <v>PASS</v>
      </c>
      <c r="G75" s="32"/>
    </row>
    <row r="76" customFormat="false" ht="15" hidden="false" customHeight="false" outlineLevel="0" collapsed="false">
      <c r="A76" s="8" t="s">
        <v>219</v>
      </c>
      <c r="B76" s="8" t="s">
        <v>238</v>
      </c>
      <c r="C76" s="27" t="n">
        <v>0.133</v>
      </c>
      <c r="D76" s="27" t="n">
        <f aca="false">'Package and Rate'!B76</f>
        <v>0.132956150345571</v>
      </c>
      <c r="E76" s="37" t="n">
        <f aca="false">D76-C76</f>
        <v>-4.38496544292732E-005</v>
      </c>
      <c r="F76" s="13" t="str">
        <f aca="false">IF(ABS(E76)&lt;=0.00005,"PASS","FAIL")</f>
        <v>PASS</v>
      </c>
      <c r="G76" s="32"/>
    </row>
    <row r="77" customFormat="false" ht="15" hidden="false" customHeight="false" outlineLevel="0" collapsed="false">
      <c r="A77" s="38" t="s">
        <v>219</v>
      </c>
      <c r="B77" s="38" t="s">
        <v>239</v>
      </c>
      <c r="C77" s="39" t="n">
        <v>20333080</v>
      </c>
      <c r="D77" s="39" t="n">
        <f aca="false">'Package and Rate'!B77</f>
        <v>20333080</v>
      </c>
      <c r="E77" s="40" t="n">
        <f aca="false">D77-C77</f>
        <v>0</v>
      </c>
      <c r="F77" s="44" t="str">
        <f aca="false">IF(ABS(E77)&lt;=0.005,"PASS","FAIL")</f>
        <v>PASS</v>
      </c>
      <c r="G77" s="32"/>
    </row>
    <row r="78" customFormat="false" ht="15" hidden="false" customHeight="false" outlineLevel="0" collapsed="false">
      <c r="A78" s="8" t="s">
        <v>219</v>
      </c>
      <c r="B78" s="8" t="s">
        <v>173</v>
      </c>
      <c r="C78" s="18" t="n">
        <v>99666920</v>
      </c>
      <c r="D78" s="18" t="n">
        <f aca="false">'Package and Rate'!B78</f>
        <v>99666920</v>
      </c>
      <c r="E78" s="37" t="n">
        <f aca="false">D78-C78</f>
        <v>0</v>
      </c>
      <c r="F78" s="13" t="str">
        <f aca="false">IF(ABS(E78)&lt;=0.005,"PASS","FAIL")</f>
        <v>PASS</v>
      </c>
      <c r="G78" s="32"/>
    </row>
    <row r="79" customFormat="false" ht="15" hidden="false" customHeight="false" outlineLevel="0" collapsed="false">
      <c r="A79" s="38" t="s">
        <v>219</v>
      </c>
      <c r="B79" s="38" t="s">
        <v>240</v>
      </c>
      <c r="C79" s="39" t="n">
        <v>4784254.12</v>
      </c>
      <c r="D79" s="39" t="n">
        <f aca="false">'Package and Rate'!B79</f>
        <v>4784254.11764706</v>
      </c>
      <c r="E79" s="40" t="n">
        <f aca="false">D79-C79</f>
        <v>-0.00235294084995985</v>
      </c>
      <c r="F79" s="44" t="str">
        <f aca="false">IF(ABS(E79)&lt;=0.005,"PASS","FAIL")</f>
        <v>PASS</v>
      </c>
      <c r="G79" s="32"/>
    </row>
    <row r="80" customFormat="false" ht="15" hidden="false" customHeight="false" outlineLevel="0" collapsed="false">
      <c r="A80" s="8" t="s">
        <v>219</v>
      </c>
      <c r="B80" s="8" t="s">
        <v>218</v>
      </c>
      <c r="C80" s="27" t="n">
        <v>4.25</v>
      </c>
      <c r="D80" s="27" t="n">
        <f aca="false">'Package and Rate'!B80</f>
        <v>4.25</v>
      </c>
      <c r="E80" s="37" t="n">
        <f aca="false">D80-C80</f>
        <v>0</v>
      </c>
      <c r="F80" s="13" t="str">
        <f aca="false">IF(ABS(E80)&lt;=0.00005,"PASS","FAIL")</f>
        <v>PASS</v>
      </c>
      <c r="G80" s="32"/>
    </row>
    <row r="81" customFormat="false" ht="15" hidden="false" customHeight="false" outlineLevel="0" collapsed="false">
      <c r="A81" s="38" t="s">
        <v>185</v>
      </c>
      <c r="B81" s="38" t="s">
        <v>241</v>
      </c>
      <c r="C81" s="45" t="n">
        <v>0</v>
      </c>
      <c r="D81" s="45" t="n">
        <f aca="false">ROUND(Bridge!$B$22/(Inputs!$B$38*'Package and Rate'!B27+Inputs!$B$38*Inputs!$B$41)-Inputs!$B$43,9)</f>
        <v>0</v>
      </c>
      <c r="E81" s="40" t="n">
        <f aca="false">D81-C81</f>
        <v>0</v>
      </c>
      <c r="F81" s="44" t="str">
        <f aca="false">IF(ABS(E81)&lt;=0.00005,"PASS","FAIL")</f>
        <v>PASS</v>
      </c>
      <c r="G81" s="32" t="s">
        <v>242</v>
      </c>
    </row>
    <row r="82" customFormat="false" ht="15" hidden="false" customHeight="false" outlineLevel="0" collapsed="false">
      <c r="A82" s="8" t="s">
        <v>219</v>
      </c>
      <c r="B82" s="8" t="s">
        <v>243</v>
      </c>
      <c r="C82" s="18" t="n">
        <v>0</v>
      </c>
      <c r="D82" s="18" t="n">
        <f aca="false">ROUND('Package and Rate'!B77-Inputs!$B$42*'Package and Rate'!B79,4)</f>
        <v>0</v>
      </c>
      <c r="E82" s="37" t="n">
        <f aca="false">D82-C82</f>
        <v>0</v>
      </c>
      <c r="F82" s="13" t="str">
        <f aca="false">IF(ABS(E82)&lt;=0.005,"PASS","FAIL")</f>
        <v>PASS</v>
      </c>
      <c r="G82" s="32" t="s">
        <v>242</v>
      </c>
    </row>
    <row r="84" customFormat="false" ht="15" hidden="false" customHeight="false" outlineLevel="0" collapsed="false">
      <c r="B84" s="13" t="s">
        <v>244</v>
      </c>
      <c r="C84" s="13" t="n">
        <f aca="false">COUNTIF(F6:F82,"PASS")</f>
        <v>77</v>
      </c>
    </row>
    <row r="85" customFormat="false" ht="15" hidden="false" customHeight="false" outlineLevel="0" collapsed="false">
      <c r="B85" s="13" t="s">
        <v>245</v>
      </c>
      <c r="C85" s="13" t="n">
        <f aca="false">COUNTIF(F6:F82,"FAIL")</f>
        <v>0</v>
      </c>
    </row>
    <row r="86" customFormat="false" ht="15" hidden="false" customHeight="false" outlineLevel="0" collapsed="false">
      <c r="B86" s="13" t="s">
        <v>246</v>
      </c>
      <c r="C86" s="13" t="str">
        <f aca="false">IF(COUNTIF(F6:F82,"PASS")=77,"ALL OK",COUNTIF(F6:F82,"FAIL")&amp;"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2026-08-29T07:07:06Z</dcterms:created>
  <dc:creator>openpyxl</dc:creator>
  <dc:description/>
  <dc:language>en-US</dc:language>
  <cp:lastModifiedBy/>
  <dcterms:modified xsi:type="dcterms:W3CDTF">2026-09-24T01:47:19Z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