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ridge" sheetId="3" state="visible" r:id="rId5"/>
    <sheet name="Downside" sheetId="4" state="visible" r:id="rId6"/>
    <sheet name="Curve and Levers"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<sst xmlns="http://schemas.openxmlformats.org/spreadsheetml/2006/main" count="473" uniqueCount="307">
  <si>
    <t xml:space="preserve">The Downside and the Recovery</t>
  </si>
  <si>
    <t xml:space="preserve">Companion workbook 3 to Credit Analysis, by Julian R. Sterling</t>
  </si>
  <si>
    <t xml:space="preserve">What this workbook is</t>
  </si>
  <si>
    <t xml:space="preserve">The downside case followed all the way to cash, with both amplifications shown, and the recovery computed on the downside EBITDA rather than on the number the loan was sized against.</t>
  </si>
  <si>
    <t xml:space="preserve">The experiment to run first</t>
  </si>
  <si>
    <t xml:space="preserve">On the Inputs sheet, change the operating leverage from 2.2 to 1.6 and read the amplification from revenue to cash. It falls, but not to one: the second amplification comes from the maintenance capital expenditure and the cash tax that do not shrink with the business, and no cost structure removes it.</t>
  </si>
  <si>
    <t xml:space="preserve">On the recovery</t>
  </si>
  <si>
    <t xml:space="preserve">Companies default in the downside, so the recovery is run there. The line that matters is the exit multiple needed for full repayment in default, set against the leverage at which the loan was written. If the first is comfortably above the second, the recommendation should say so and say why it is acceptable.</t>
  </si>
  <si>
    <t xml:space="preserve">The Checks sheet sets every figure the book prints beside this workbook's own formula, to the last printed decimal. Where the book is wrong, the row carries the corrected figure and its note says what the book prints. A FAIL means an input or a formula has changed.</t>
  </si>
  <si>
    <t xml:space="preserve">Revised 24 September 2026</t>
  </si>
  <si>
    <t xml:space="preserve">Revised 24 September 2026. A new sheet, Curve and Levers, computes the mechanism, the curve, the softeners, the lines held still, the one-at-a-time table and what moves recovery. Corrections: moving revenue alone, with the three deductions held as the book holds them, gives cover of 1.0943x, not 1.1475x (that figure assumes cash itself falls 8 per cent), so the correct version is 0.1836 worse on cover, not 0.2368. In year two the lower debt service gives back 0.0280 of a turn of cover, not 0.0298 (that is the fall in debt service as a share), and deferring half the maintenance leaves year two 0.1867 below year one, not 0.1785. Running recovery on the lender's EBITDA overstates it by 15.6947 points, which is 0.85 of a turn of exit multiple, not "more than a full turn". The reverse test in money is 1,022,826 and 3,204,498, not the figures computed from rounded percentages.</t>
  </si>
  <si>
    <t xml:space="preserve">Halstead Packaging — inputs</t>
  </si>
  <si>
    <t xml:space="preserve">Blue cells on a yellow fill are inputs. Everything else in this workbook is a formula.</t>
  </si>
  <si>
    <t xml:space="preserve">The business</t>
  </si>
  <si>
    <t xml:space="preserve">Revenue</t>
  </si>
  <si>
    <t xml:space="preserve">Statutory EBITDA</t>
  </si>
  <si>
    <t xml:space="preserve">Add-backs proposed by management — switch each on or off</t>
  </si>
  <si>
    <t xml:space="preserve">Adjustment</t>
  </si>
  <si>
    <t xml:space="preserve">Amount</t>
  </si>
  <si>
    <t xml:space="preserve">On</t>
  </si>
  <si>
    <t xml:space="preserve">Restructuring described as non-recurring</t>
  </si>
  <si>
    <t xml:space="preserve">Run-rate savings from the plant closed in March</t>
  </si>
  <si>
    <t xml:space="preserve">Full-year effect of the acquisition completed in July</t>
  </si>
  <si>
    <t xml:space="preserve">Sponsor monitoring fees</t>
  </si>
  <si>
    <t xml:space="preserve">Share-based payment</t>
  </si>
  <si>
    <t xml:space="preserve">Foreign exchange losses</t>
  </si>
  <si>
    <t xml:space="preserve">Total add-backs switched on</t>
  </si>
  <si>
    <t xml:space="preserve">Quality-of-earnings haircuts — switch each on or off</t>
  </si>
  <si>
    <t xml:space="preserve">Disallowance</t>
  </si>
  <si>
    <t xml:space="preserve">Savings not yet actioned, 60 per cent of the run-rate</t>
  </si>
  <si>
    <t xml:space="preserve">Acquisition effect capped at contracts already signed</t>
  </si>
  <si>
    <t xml:space="preserve">Restructuring, recurring for a third year</t>
  </si>
  <si>
    <t xml:space="preserve">Development costs capitalised that should be expensed</t>
  </si>
  <si>
    <t xml:space="preserve">Total haircuts switched on</t>
  </si>
  <si>
    <t xml:space="preserve">From earnings to cash</t>
  </si>
  <si>
    <t xml:space="preserve">Maintenance capital expenditure</t>
  </si>
  <si>
    <t xml:space="preserve">Increase in working capital</t>
  </si>
  <si>
    <t xml:space="preserve">Cash tax</t>
  </si>
  <si>
    <t xml:space="preserve">The facility and the covenants</t>
  </si>
  <si>
    <t xml:space="preserve">Senior net debt</t>
  </si>
  <si>
    <t xml:space="preserve">Interest rate</t>
  </si>
  <si>
    <t xml:space="preserve">Base rate</t>
  </si>
  <si>
    <t xml:space="preserve">Amortisation rate</t>
  </si>
  <si>
    <t xml:space="preserve">Leverage covenant</t>
  </si>
  <si>
    <t xml:space="preserve">Cover covenant</t>
  </si>
  <si>
    <t xml:space="preserve">The downside, the recovery and the price</t>
  </si>
  <si>
    <t xml:space="preserve">Operating leverage</t>
  </si>
  <si>
    <t xml:space="preserve">Revenue change in the downside</t>
  </si>
  <si>
    <t xml:space="preserve">Enforcement costs</t>
  </si>
  <si>
    <t xml:space="preserve">Probability of default (an assumption)</t>
  </si>
  <si>
    <t xml:space="preserve">Covenant level after a reset</t>
  </si>
  <si>
    <t xml:space="preserve">Amendment fee</t>
  </si>
  <si>
    <t xml:space="preserve">Margin ratchet</t>
  </si>
  <si>
    <t xml:space="preserve">The bridge, from the audited number to cash</t>
  </si>
  <si>
    <t xml:space="preserve">Every line is an argument. Switch it off on the Inputs sheet and watch the leverage move.</t>
  </si>
  <si>
    <t xml:space="preserve">Cumulative</t>
  </si>
  <si>
    <t xml:space="preserve">+ Restructuring described as non-recurring</t>
  </si>
  <si>
    <t xml:space="preserve">+ Run-rate savings from the plant closed in March</t>
  </si>
  <si>
    <t xml:space="preserve">+ Full-year effect of the acquisition completed in July</t>
  </si>
  <si>
    <t xml:space="preserve">+ Sponsor monitoring fees</t>
  </si>
  <si>
    <t xml:space="preserve">+ Share-based payment</t>
  </si>
  <si>
    <t xml:space="preserve">+ Foreign exchange losses</t>
  </si>
  <si>
    <t xml:space="preserve">= EBITDA as adjusted by management</t>
  </si>
  <si>
    <t xml:space="preserve">- Savings not yet actioned, 60 per cent of the run-rate</t>
  </si>
  <si>
    <t xml:space="preserve">- Acquisition effect capped at contracts already signed</t>
  </si>
  <si>
    <t xml:space="preserve">- Restructuring, recurring for a third year</t>
  </si>
  <si>
    <t xml:space="preserve">- Development costs capitalised that should be expensed</t>
  </si>
  <si>
    <t xml:space="preserve">= EBITDA as adjusted by the lender</t>
  </si>
  <si>
    <t xml:space="preserve">- Maintenance capital expenditure</t>
  </si>
  <si>
    <t xml:space="preserve">- Increase in working capital</t>
  </si>
  <si>
    <t xml:space="preserve">- Cash tax</t>
  </si>
  <si>
    <t xml:space="preserve">= Cash available for debt service</t>
  </si>
  <si>
    <t xml:space="preserve">What the add-backs are worth</t>
  </si>
  <si>
    <t xml:space="preserve">Add-backs as a share of statutory EBITDA</t>
  </si>
  <si>
    <t xml:space="preserve">Add-backs as a share of the number the loan is sized on</t>
  </si>
  <si>
    <t xml:space="preserve">From the top line to the cash, twice amplified</t>
  </si>
  <si>
    <t xml:space="preserve">A downside case that stops at EBITDA has done a third of the job.</t>
  </si>
  <si>
    <t xml:space="preserve">Base</t>
  </si>
  <si>
    <t xml:space="preserve">Downside</t>
  </si>
  <si>
    <t xml:space="preserve">Change</t>
  </si>
  <si>
    <t xml:space="preserve">EBITDA as adjusted by the lender</t>
  </si>
  <si>
    <t xml:space="preserve">Cash available for debt service</t>
  </si>
  <si>
    <t xml:space="preserve">Leverage</t>
  </si>
  <si>
    <t xml:space="preserve">Cover</t>
  </si>
  <si>
    <t xml:space="preserve">The two amplifications</t>
  </si>
  <si>
    <t xml:space="preserve">Revenue to EBITDA (the fixed cost base)</t>
  </si>
  <si>
    <t xml:space="preserve">Revenue to cash (adding capex and tax that do not shrink)</t>
  </si>
  <si>
    <t xml:space="preserve">Fall in cash</t>
  </si>
  <si>
    <t xml:space="preserve">Cash shortfall against debt service in the downside</t>
  </si>
  <si>
    <t xml:space="preserve">Recovery, on the downside EBITDA</t>
  </si>
  <si>
    <t xml:space="preserve">Exit multiple</t>
  </si>
  <si>
    <t xml:space="preserve">Enterprise value</t>
  </si>
  <si>
    <t xml:space="preserve">Net of enforcement</t>
  </si>
  <si>
    <t xml:space="preserve">Recovery</t>
  </si>
  <si>
    <t xml:space="preserve">3.0x</t>
  </si>
  <si>
    <t xml:space="preserve">3.5x</t>
  </si>
  <si>
    <t xml:space="preserve">4.0x</t>
  </si>
  <si>
    <t xml:space="preserve">4.5x</t>
  </si>
  <si>
    <t xml:space="preserve">5.0x</t>
  </si>
  <si>
    <t xml:space="preserve">5.5x</t>
  </si>
  <si>
    <t xml:space="preserve">6.0x</t>
  </si>
  <si>
    <t xml:space="preserve">Exit multiple needed for full repayment, in default</t>
  </si>
  <si>
    <t xml:space="preserve">Leverage at which the loan was written (lender's EBITDA)</t>
  </si>
  <si>
    <t xml:space="preserve">The gap, in turns</t>
  </si>
  <si>
    <t xml:space="preserve">Leverage at which it was written on management's EBITDA</t>
  </si>
  <si>
    <t xml:space="preserve">The mechanism, the curve, the lines held still, and what moves recovery</t>
  </si>
  <si>
    <t xml:space="preserve">Chapters 12, 13, 14 and 16. Amber cells on this sheet are scenario settings, not facts of the case.</t>
  </si>
  <si>
    <t xml:space="preserve">The mechanism (Chapter 12)</t>
  </si>
  <si>
    <t xml:space="preserve">Revenue in the downside</t>
  </si>
  <si>
    <t xml:space="preserve">  revenue lost</t>
  </si>
  <si>
    <t xml:space="preserve">Contribution: operating leverage times EBITDA</t>
  </si>
  <si>
    <t xml:space="preserve">Contribution margin</t>
  </si>
  <si>
    <t xml:space="preserve">Variable costs, share of revenue</t>
  </si>
  <si>
    <t xml:space="preserve">Fixed operating costs</t>
  </si>
  <si>
    <t xml:space="preserve">Fixed block, including the three deductions</t>
  </si>
  <si>
    <t xml:space="preserve">Contribution in the downside</t>
  </si>
  <si>
    <t xml:space="preserve">  less the fixed block: cash available in the downside</t>
  </si>
  <si>
    <t xml:space="preserve">Second stage: EBITDA over cash available</t>
  </si>
  <si>
    <t xml:space="preserve">Revenue fall</t>
  </si>
  <si>
    <t xml:space="preserve">EBITDA</t>
  </si>
  <si>
    <t xml:space="preserve">Cash available</t>
  </si>
  <si>
    <t xml:space="preserve">Revenue fall at which cash covers debt service exactly once</t>
  </si>
  <si>
    <t xml:space="preserve">Revenue fall that breaks leverage</t>
  </si>
  <si>
    <t xml:space="preserve">  in money</t>
  </si>
  <si>
    <t xml:space="preserve">Revised: Chapter 13 prints 1,022,865, from the rounded percentage</t>
  </si>
  <si>
    <t xml:space="preserve">  in days of revenue</t>
  </si>
  <si>
    <t xml:space="preserve">Revenue fall that breaks cover</t>
  </si>
  <si>
    <t xml:space="preserve">Revised: Chapter 13 prints 3,204,540</t>
  </si>
  <si>
    <t xml:space="preserve">  the same through the amplification</t>
  </si>
  <si>
    <t xml:space="preserve">A day of revenue</t>
  </si>
  <si>
    <t xml:space="preserve">What would soften each stage (Chapter 12)</t>
  </si>
  <si>
    <t xml:space="preserve">Operating leverage tested</t>
  </si>
  <si>
    <t xml:space="preserve">  cash available</t>
  </si>
  <si>
    <t xml:space="preserve">  fall in cash</t>
  </si>
  <si>
    <t xml:space="preserve">  amplification</t>
  </si>
  <si>
    <t xml:space="preserve">Maintenance spend deferred in the downside</t>
  </si>
  <si>
    <t xml:space="preserve">Cash tax falling with EBITDA</t>
  </si>
  <si>
    <t xml:space="preserve">Working capital released instead of absorbed: cash available</t>
  </si>
  <si>
    <t xml:space="preserve">  cover</t>
  </si>
  <si>
    <t xml:space="preserve">The downside, run properly (Chapter 13)</t>
  </si>
  <si>
    <t xml:space="preserve">Shortfall against debt service</t>
  </si>
  <si>
    <t xml:space="preserve">  a month</t>
  </si>
  <si>
    <t xml:space="preserve">  the short way, from the cover printed to four decimals</t>
  </si>
  <si>
    <t xml:space="preserve">  difference</t>
  </si>
  <si>
    <t xml:space="preserve">Cure of cover, in cash</t>
  </si>
  <si>
    <t xml:space="preserve">Cure of leverage, credited to EBITDA</t>
  </si>
  <si>
    <t xml:space="preserve">Cure of leverage, as prepayment</t>
  </si>
  <si>
    <t xml:space="preserve">  ratio</t>
  </si>
  <si>
    <t xml:space="preserve">Cover after the EBITDA cure</t>
  </si>
  <si>
    <t xml:space="preserve">Year-two debt service on the amortised balance</t>
  </si>
  <si>
    <t xml:space="preserve">Maintenance deferred in year one: half the budget</t>
  </si>
  <si>
    <t xml:space="preserve">  year-one cover</t>
  </si>
  <si>
    <t xml:space="preserve">  turns bought in year one</t>
  </si>
  <si>
    <t xml:space="preserve">Year-two cover, nothing deferred</t>
  </si>
  <si>
    <t xml:space="preserve">Year-two cover, the deferred spend returning</t>
  </si>
  <si>
    <t xml:space="preserve">  what the returning spend costs in year two, turns</t>
  </si>
  <si>
    <t xml:space="preserve">  what the lower debt service gives back, turns</t>
  </si>
  <si>
    <t xml:space="preserve">Revised: Chapter 13 prints 0.0298, the fall in debt service as a share</t>
  </si>
  <si>
    <t xml:space="preserve">  year two against year one, net, turns</t>
  </si>
  <si>
    <t xml:space="preserve">Revised: Chapter 13 prints 0.1785</t>
  </si>
  <si>
    <t xml:space="preserve">Largest customer, share of revenue</t>
  </si>
  <si>
    <t xml:space="preserve">  share of its volume moved at the tender</t>
  </si>
  <si>
    <t xml:space="preserve">Second customer, share of revenue</t>
  </si>
  <si>
    <t xml:space="preserve">  months of volume lost</t>
  </si>
  <si>
    <t xml:space="preserve">The two events, as a share of revenue</t>
  </si>
  <si>
    <t xml:space="preserve">Receivable written off: a quarter's billings of the second customer</t>
  </si>
  <si>
    <t xml:space="preserve">Resin price lag, lost margin</t>
  </si>
  <si>
    <t xml:space="preserve">  as a share of the lender's EBITDA</t>
  </si>
  <si>
    <t xml:space="preserve">Revised: Chapter 13 prints 7.0275</t>
  </si>
  <si>
    <t xml:space="preserve">  equivalent fall in revenue</t>
  </si>
  <si>
    <t xml:space="preserve">One variable at a time (Chapter 16)</t>
  </si>
  <si>
    <t xml:space="preserve">EBITDA with the revenue fall passed straight through</t>
  </si>
  <si>
    <t xml:space="preserve">  leverage</t>
  </si>
  <si>
    <t xml:space="preserve">Revised: Chapter 16 prints 4.5830</t>
  </si>
  <si>
    <t xml:space="preserve">  cover, the three deductions held as the book holds them</t>
  </si>
  <si>
    <t xml:space="preserve">Revised: Chapter 16 prints 1.1475</t>
  </si>
  <si>
    <t xml:space="preserve">  cover only if cash itself falls eight per cent (what 1.1475 assumes)</t>
  </si>
  <si>
    <t xml:space="preserve">Operating leverage carried through is worse by, leverage</t>
  </si>
  <si>
    <t xml:space="preserve">Revised: Chapter 16 prints 0.2368</t>
  </si>
  <si>
    <t xml:space="preserve">What moves recovery (Chapter 14)</t>
  </si>
  <si>
    <t xml:space="preserve">Usual method, at 4.0x on the lender's EBITDA: enterprise value</t>
  </si>
  <si>
    <t xml:space="preserve">  net of enforcement</t>
  </si>
  <si>
    <t xml:space="preserve">  recovery</t>
  </si>
  <si>
    <t xml:space="preserve">On management's EBITDA: net of enforcement</t>
  </si>
  <si>
    <t xml:space="preserve">  as a share of the debt</t>
  </si>
  <si>
    <t xml:space="preserve">Multiple needed for par, on management's EBITDA</t>
  </si>
  <si>
    <t xml:space="preserve">  on the lender's</t>
  </si>
  <si>
    <t xml:space="preserve">  on the downside</t>
  </si>
  <si>
    <t xml:space="preserve">  downside less lender's</t>
  </si>
  <si>
    <t xml:space="preserve">  downside less management's</t>
  </si>
  <si>
    <t xml:space="preserve">Downside EBITDA below management's</t>
  </si>
  <si>
    <t xml:space="preserve">Revised: Chapter 14 prints 37.6303</t>
  </si>
  <si>
    <t xml:space="preserve">Half a turn of exit multiple, in points of recovery</t>
  </si>
  <si>
    <t xml:space="preserve">  a full turn</t>
  </si>
  <si>
    <t xml:space="preserve">Running recovery on the lender's EBITDA overstates it by</t>
  </si>
  <si>
    <t xml:space="preserve">Revised: Chapter 14 prints 15.6948</t>
  </si>
  <si>
    <t xml:space="preserve">  in turns of exit multiple</t>
  </si>
  <si>
    <t xml:space="preserve">Revised: Chapter 14 says "more than a full turn"</t>
  </si>
  <si>
    <t xml:space="preserve">Twelve months of delay at the downside rate: EBITDA at sale</t>
  </si>
  <si>
    <t xml:space="preserve">  net at 4.0x</t>
  </si>
  <si>
    <t xml:space="preserve">  cost in points</t>
  </si>
  <si>
    <t xml:space="preserve">Revised: Chapter 14 prints 12.9324</t>
  </si>
  <si>
    <t xml:space="preserve">  the delay, in turns of exit multiple</t>
  </si>
  <si>
    <t xml:space="preserve">One more point of enforcement cost at 4.0x</t>
  </si>
  <si>
    <t xml:space="preserve">  in points of recovery</t>
  </si>
  <si>
    <t xml:space="preserve">Claims ranking ahead</t>
  </si>
  <si>
    <t xml:space="preserve">  recovery at 4.0x</t>
  </si>
  <si>
    <t xml:space="preserve">  fall in points</t>
  </si>
  <si>
    <t xml:space="preserve">Checks</t>
  </si>
  <si>
    <t xml:space="preserve">Each row sets a figure printed in the book beside the figure this workbook computes.</t>
  </si>
  <si>
    <t xml:space="preserve">Ch.</t>
  </si>
  <si>
    <t xml:space="preserve">Figure</t>
  </si>
  <si>
    <t xml:space="preserve">Printed</t>
  </si>
  <si>
    <t xml:space="preserve">Workbook</t>
  </si>
  <si>
    <t xml:space="preserve">Difference</t>
  </si>
  <si>
    <t xml:space="preserve">Result</t>
  </si>
  <si>
    <t xml:space="preserve">Note</t>
  </si>
  <si>
    <t xml:space="preserve">12</t>
  </si>
  <si>
    <t xml:space="preserve">EBITDA in the downside</t>
  </si>
  <si>
    <t xml:space="preserve">Cash available in the downside</t>
  </si>
  <si>
    <t xml:space="preserve">Amplification, revenue to cash</t>
  </si>
  <si>
    <t xml:space="preserve">13</t>
  </si>
  <si>
    <t xml:space="preserve">Leverage in the downside</t>
  </si>
  <si>
    <t xml:space="preserve">Cover in the downside</t>
  </si>
  <si>
    <t xml:space="preserve">14</t>
  </si>
  <si>
    <t xml:space="preserve">Enterprise value at 4.0x</t>
  </si>
  <si>
    <t xml:space="preserve">Net of enforcement at 4.0x</t>
  </si>
  <si>
    <t xml:space="preserve">Recovery at 4.0x</t>
  </si>
  <si>
    <t xml:space="preserve">Recovery at 3.0x</t>
  </si>
  <si>
    <t xml:space="preserve">Recovery at 5.0x</t>
  </si>
  <si>
    <t xml:space="preserve">Exit multiple needed in default</t>
  </si>
  <si>
    <t xml:space="preserve">Leverage written on management's EBITDA</t>
  </si>
  <si>
    <t xml:space="preserve">Revenue lost</t>
  </si>
  <si>
    <t xml:space="preserve">Contribution</t>
  </si>
  <si>
    <t xml:space="preserve">Variable costs</t>
  </si>
  <si>
    <t xml:space="preserve">Fixed block</t>
  </si>
  <si>
    <t xml:space="preserve">Cash through the fixed block</t>
  </si>
  <si>
    <t xml:space="preserve">Second stage</t>
  </si>
  <si>
    <t xml:space="preserve">Curve, 2 per cent: EBITDA</t>
  </si>
  <si>
    <t xml:space="preserve">  cash</t>
  </si>
  <si>
    <t xml:space="preserve">Curve, 4 per cent: EBITDA</t>
  </si>
  <si>
    <t xml:space="preserve">Curve, 6 per cent: EBITDA</t>
  </si>
  <si>
    <t xml:space="preserve">Curve, 10 per cent: EBITDA</t>
  </si>
  <si>
    <t xml:space="preserve">Revenue fall at which cover is 1.00x</t>
  </si>
  <si>
    <t xml:space="preserve">revised: Chapter 13 prints 1,022,865.00</t>
  </si>
  <si>
    <t xml:space="preserve">revised: Chapter 13 prints 3,204,540.00</t>
  </si>
  <si>
    <t xml:space="preserve">Operating leverage 1.5: fall in cash</t>
  </si>
  <si>
    <t xml:space="preserve">Deferral: cash</t>
  </si>
  <si>
    <t xml:space="preserve">Tax falling with EBITDA</t>
  </si>
  <si>
    <t xml:space="preserve">7</t>
  </si>
  <si>
    <t xml:space="preserve">Working capital released: cash</t>
  </si>
  <si>
    <t xml:space="preserve">  the short way</t>
  </si>
  <si>
    <t xml:space="preserve">Cure of cover</t>
  </si>
  <si>
    <t xml:space="preserve">Cure of leverage as EBITDA</t>
  </si>
  <si>
    <t xml:space="preserve">Cure of leverage as prepayment</t>
  </si>
  <si>
    <t xml:space="preserve">Year-two debt service</t>
  </si>
  <si>
    <t xml:space="preserve">Half the budget deferred: year-one cover</t>
  </si>
  <si>
    <t xml:space="preserve">  turns bought</t>
  </si>
  <si>
    <t xml:space="preserve">Year-two cover, deferred spend returning</t>
  </si>
  <si>
    <t xml:space="preserve">new</t>
  </si>
  <si>
    <t xml:space="preserve">  cost of the returning spend</t>
  </si>
  <si>
    <t xml:space="preserve">  given back by the lower debt service</t>
  </si>
  <si>
    <t xml:space="preserve">revised: Chapter 13 prints 0.0298</t>
  </si>
  <si>
    <t xml:space="preserve">  net against year one</t>
  </si>
  <si>
    <t xml:space="preserve">revised: Chapter 13 prints 0.1785</t>
  </si>
  <si>
    <t xml:space="preserve">Largest customer: revenue lost</t>
  </si>
  <si>
    <t xml:space="preserve">Second customer: revenue lost</t>
  </si>
  <si>
    <t xml:space="preserve">The two together</t>
  </si>
  <si>
    <t xml:space="preserve">Receivable written off</t>
  </si>
  <si>
    <t xml:space="preserve">Resin lag over EBITDA</t>
  </si>
  <si>
    <t xml:space="preserve">revised: Chapter 13 prints 7.0275</t>
  </si>
  <si>
    <t xml:space="preserve">  equivalent revenue fall</t>
  </si>
  <si>
    <t xml:space="preserve">16</t>
  </si>
  <si>
    <t xml:space="preserve">One variable at a time: EBITDA</t>
  </si>
  <si>
    <t xml:space="preserve">revised: Chapter 16 prints 4.5830</t>
  </si>
  <si>
    <t xml:space="preserve">  cover, deductions held</t>
  </si>
  <si>
    <t xml:space="preserve">revised: Chapter 16 prints 1.1475</t>
  </si>
  <si>
    <t xml:space="preserve">  cover if cash itself fell 8 per cent</t>
  </si>
  <si>
    <t xml:space="preserve">Worse by, leverage</t>
  </si>
  <si>
    <t xml:space="preserve">Worse by, cover</t>
  </si>
  <si>
    <t xml:space="preserve">revised: Chapter 16 prints 0.2368</t>
  </si>
  <si>
    <t xml:space="preserve">Usual method: enterprise value</t>
  </si>
  <si>
    <t xml:space="preserve">  net</t>
  </si>
  <si>
    <t xml:space="preserve">Management's: net</t>
  </si>
  <si>
    <t xml:space="preserve">  share of debt</t>
  </si>
  <si>
    <t xml:space="preserve">Par multiple on management's</t>
  </si>
  <si>
    <t xml:space="preserve">Par multiple on the lender's</t>
  </si>
  <si>
    <t xml:space="preserve">Downside below management's EBITDA</t>
  </si>
  <si>
    <t xml:space="preserve">revised: Chapter 14 prints 37.6303</t>
  </si>
  <si>
    <t xml:space="preserve">Half a turn of multiple</t>
  </si>
  <si>
    <t xml:space="preserve">Overstatement of the usual method</t>
  </si>
  <si>
    <t xml:space="preserve">revised: Chapter 14 prints 15.6948</t>
  </si>
  <si>
    <t xml:space="preserve">  in turns of multiple</t>
  </si>
  <si>
    <t xml:space="preserve">revised: Chapter 14 says more than a full turn</t>
  </si>
  <si>
    <t xml:space="preserve">Delay: EBITDA at sale</t>
  </si>
  <si>
    <t xml:space="preserve">  cost</t>
  </si>
  <si>
    <t xml:space="preserve">revised: Chapter 14 prints 12.9324</t>
  </si>
  <si>
    <t xml:space="preserve">One point of enforcement cost</t>
  </si>
  <si>
    <t xml:space="preserve">  in points</t>
  </si>
  <si>
    <t xml:space="preserve">Prior claims: recovery</t>
  </si>
  <si>
    <t xml:space="preserve">  fall</t>
  </si>
  <si>
    <t xml:space="preserve">Identity, any inputs: contribution less the fixed block is the downside cash</t>
  </si>
  <si>
    <t xml:space="preserve">holds for any inputs</t>
  </si>
  <si>
    <t xml:space="preserve">Identity, any inputs: the leverage cure as prepayment is the level times the cure as EBITDA</t>
  </si>
  <si>
    <t xml:space="preserve">Checks that pass</t>
  </si>
  <si>
    <t xml:space="preserve">Checks that fail</t>
  </si>
  <si>
    <t xml:space="preserve">All checks</t>
  </si>
</sst>
</file>

<file path=xl/styles.xml><?xml version="1.0" encoding="utf-8"?>
<styleSheet xmlns="http://schemas.openxmlformats.org/spreadsheetml/2006/main">
  <numFmts count="11">
    <numFmt numFmtId="164" formatCode="General"/>
    <numFmt numFmtId="165" formatCode="#,##0.00;\-#,##0.00"/>
    <numFmt numFmtId="166" formatCode="0"/>
    <numFmt numFmtId="167" formatCode="0.0000%"/>
    <numFmt numFmtId="168" formatCode="0.0000\x"/>
    <numFmt numFmtId="169" formatCode="0.00"/>
    <numFmt numFmtId="170" formatCode="0.0000"/>
    <numFmt numFmtId="171" formatCode="0%"/>
    <numFmt numFmtId="172" formatCode="0.0"/>
    <numFmt numFmtId="173" formatCode="0.000000"/>
    <numFmt numFmtId="174"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sz val="10"/>
      <color rgb="FF5A6A70"/>
      <name val="Calibri"/>
      <family val="0"/>
      <charset val="1"/>
    </font>
    <font>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2" fontId="8" fillId="2"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4" fontId="10"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6" customFormat="false" ht="30" hidden="false" customHeight="true" outlineLevel="0" collapsed="false">
      <c r="A16" s="5" t="s">
        <v>8</v>
      </c>
    </row>
    <row r="18" customFormat="false" ht="15" hidden="false" customHeight="false" outlineLevel="0" collapsed="false">
      <c r="A18" s="6" t="s">
        <v>9</v>
      </c>
    </row>
    <row r="20" customFormat="false" ht="135" hidden="false" customHeight="true" outlineLevel="0" collapsed="false">
      <c r="A20"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10"/>
    <col collapsed="false" customWidth="true" hidden="false" outlineLevel="0" max="4" min="4" style="0" width="40"/>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row>
    <row r="5" customFormat="false" ht="15" hidden="false" customHeight="false" outlineLevel="0" collapsed="false">
      <c r="A5" s="4" t="s">
        <v>13</v>
      </c>
      <c r="B5" s="7"/>
      <c r="C5" s="7"/>
      <c r="D5" s="7"/>
    </row>
    <row r="7" customFormat="false" ht="15" hidden="false" customHeight="false" outlineLevel="0" collapsed="false">
      <c r="A7" s="8" t="s">
        <v>14</v>
      </c>
      <c r="B7" s="9" t="n">
        <v>285000000</v>
      </c>
    </row>
    <row r="8" customFormat="false" ht="15" hidden="false" customHeight="false" outlineLevel="0" collapsed="false">
      <c r="A8" s="8" t="s">
        <v>15</v>
      </c>
      <c r="B8" s="9" t="n">
        <v>24600000</v>
      </c>
    </row>
    <row r="10" customFormat="false" ht="15" hidden="false" customHeight="false" outlineLevel="0" collapsed="false">
      <c r="A10" s="4" t="s">
        <v>16</v>
      </c>
      <c r="B10" s="7"/>
      <c r="C10" s="7"/>
      <c r="D10" s="7"/>
    </row>
    <row r="12" customFormat="false" ht="30" hidden="false" customHeight="true" outlineLevel="0" collapsed="false">
      <c r="A12" s="10" t="s">
        <v>17</v>
      </c>
      <c r="B12" s="11" t="s">
        <v>18</v>
      </c>
      <c r="C12" s="11" t="s">
        <v>19</v>
      </c>
      <c r="D12" s="11"/>
    </row>
    <row r="13" customFormat="false" ht="15" hidden="false" customHeight="false" outlineLevel="0" collapsed="false">
      <c r="A13" s="8" t="s">
        <v>20</v>
      </c>
      <c r="B13" s="9" t="n">
        <v>3400000</v>
      </c>
      <c r="C13" s="12" t="n">
        <v>1</v>
      </c>
    </row>
    <row r="14" customFormat="false" ht="15" hidden="false" customHeight="false" outlineLevel="0" collapsed="false">
      <c r="A14" s="8" t="s">
        <v>21</v>
      </c>
      <c r="B14" s="9" t="n">
        <v>2900000</v>
      </c>
      <c r="C14" s="12" t="n">
        <v>1</v>
      </c>
    </row>
    <row r="15" customFormat="false" ht="15" hidden="false" customHeight="false" outlineLevel="0" collapsed="false">
      <c r="A15" s="8" t="s">
        <v>22</v>
      </c>
      <c r="B15" s="9" t="n">
        <v>4200000</v>
      </c>
      <c r="C15" s="12" t="n">
        <v>1</v>
      </c>
    </row>
    <row r="16" customFormat="false" ht="15" hidden="false" customHeight="false" outlineLevel="0" collapsed="false">
      <c r="A16" s="8" t="s">
        <v>23</v>
      </c>
      <c r="B16" s="9" t="n">
        <v>1100000</v>
      </c>
      <c r="C16" s="12" t="n">
        <v>1</v>
      </c>
    </row>
    <row r="17" customFormat="false" ht="15" hidden="false" customHeight="false" outlineLevel="0" collapsed="false">
      <c r="A17" s="8" t="s">
        <v>24</v>
      </c>
      <c r="B17" s="9" t="n">
        <v>800000</v>
      </c>
      <c r="C17" s="12" t="n">
        <v>1</v>
      </c>
    </row>
    <row r="18" customFormat="false" ht="15" hidden="false" customHeight="false" outlineLevel="0" collapsed="false">
      <c r="A18" s="8" t="s">
        <v>25</v>
      </c>
      <c r="B18" s="9" t="n">
        <v>600000</v>
      </c>
      <c r="C18" s="12" t="n">
        <v>1</v>
      </c>
    </row>
    <row r="19" customFormat="false" ht="15" hidden="false" customHeight="false" outlineLevel="0" collapsed="false">
      <c r="A19" s="13" t="s">
        <v>26</v>
      </c>
      <c r="B19" s="14" t="n">
        <f aca="false">SUMPRODUCT(B13:B18,C13:C18)</f>
        <v>13000000</v>
      </c>
    </row>
    <row r="21" customFormat="false" ht="15" hidden="false" customHeight="false" outlineLevel="0" collapsed="false">
      <c r="A21" s="4" t="s">
        <v>27</v>
      </c>
      <c r="B21" s="7"/>
      <c r="C21" s="7"/>
      <c r="D21" s="7"/>
    </row>
    <row r="23" customFormat="false" ht="30" hidden="false" customHeight="true" outlineLevel="0" collapsed="false">
      <c r="A23" s="10" t="s">
        <v>28</v>
      </c>
      <c r="B23" s="11" t="s">
        <v>18</v>
      </c>
      <c r="C23" s="11" t="s">
        <v>19</v>
      </c>
      <c r="D23" s="11"/>
    </row>
    <row r="24" customFormat="false" ht="15" hidden="false" customHeight="false" outlineLevel="0" collapsed="false">
      <c r="A24" s="8" t="s">
        <v>29</v>
      </c>
      <c r="B24" s="9" t="n">
        <v>1740000</v>
      </c>
      <c r="C24" s="12" t="n">
        <v>1</v>
      </c>
    </row>
    <row r="25" customFormat="false" ht="15" hidden="false" customHeight="false" outlineLevel="0" collapsed="false">
      <c r="A25" s="8" t="s">
        <v>30</v>
      </c>
      <c r="B25" s="9" t="n">
        <v>1800000</v>
      </c>
      <c r="C25" s="12" t="n">
        <v>1</v>
      </c>
    </row>
    <row r="26" customFormat="false" ht="15" hidden="false" customHeight="false" outlineLevel="0" collapsed="false">
      <c r="A26" s="8" t="s">
        <v>31</v>
      </c>
      <c r="B26" s="9" t="n">
        <v>3400000</v>
      </c>
      <c r="C26" s="12" t="n">
        <v>1</v>
      </c>
    </row>
    <row r="27" customFormat="false" ht="15" hidden="false" customHeight="false" outlineLevel="0" collapsed="false">
      <c r="A27" s="8" t="s">
        <v>32</v>
      </c>
      <c r="B27" s="9" t="n">
        <v>2200000</v>
      </c>
      <c r="C27" s="12" t="n">
        <v>1</v>
      </c>
    </row>
    <row r="28" customFormat="false" ht="15" hidden="false" customHeight="false" outlineLevel="0" collapsed="false">
      <c r="A28" s="13" t="s">
        <v>33</v>
      </c>
      <c r="B28" s="14" t="n">
        <f aca="false">SUMPRODUCT(B24:B27,C24:C27)</f>
        <v>9140000</v>
      </c>
    </row>
    <row r="30" customFormat="false" ht="15" hidden="false" customHeight="false" outlineLevel="0" collapsed="false">
      <c r="A30" s="4" t="s">
        <v>34</v>
      </c>
      <c r="B30" s="7"/>
      <c r="C30" s="7"/>
      <c r="D30" s="7"/>
    </row>
    <row r="32" customFormat="false" ht="15" hidden="false" customHeight="false" outlineLevel="0" collapsed="false">
      <c r="A32" s="8" t="s">
        <v>35</v>
      </c>
      <c r="B32" s="9" t="n">
        <v>6200000</v>
      </c>
    </row>
    <row r="33" customFormat="false" ht="15" hidden="false" customHeight="false" outlineLevel="0" collapsed="false">
      <c r="A33" s="8" t="s">
        <v>36</v>
      </c>
      <c r="B33" s="9" t="n">
        <v>1600000</v>
      </c>
    </row>
    <row r="34" customFormat="false" ht="15" hidden="false" customHeight="false" outlineLevel="0" collapsed="false">
      <c r="A34" s="8" t="s">
        <v>37</v>
      </c>
      <c r="B34" s="9" t="n">
        <v>2100000</v>
      </c>
    </row>
    <row r="36" customFormat="false" ht="15" hidden="false" customHeight="false" outlineLevel="0" collapsed="false">
      <c r="A36" s="4" t="s">
        <v>38</v>
      </c>
      <c r="B36" s="7"/>
      <c r="C36" s="7"/>
      <c r="D36" s="7"/>
    </row>
    <row r="38" customFormat="false" ht="15" hidden="false" customHeight="false" outlineLevel="0" collapsed="false">
      <c r="A38" s="8" t="s">
        <v>39</v>
      </c>
      <c r="B38" s="9" t="n">
        <v>120000000</v>
      </c>
    </row>
    <row r="39" customFormat="false" ht="15" hidden="false" customHeight="false" outlineLevel="0" collapsed="false">
      <c r="A39" s="8" t="s">
        <v>40</v>
      </c>
      <c r="B39" s="15" t="n">
        <v>0.074</v>
      </c>
    </row>
    <row r="40" customFormat="false" ht="15" hidden="false" customHeight="false" outlineLevel="0" collapsed="false">
      <c r="A40" s="8" t="s">
        <v>41</v>
      </c>
      <c r="B40" s="15" t="n">
        <v>0.034</v>
      </c>
    </row>
    <row r="41" customFormat="false" ht="15" hidden="false" customHeight="false" outlineLevel="0" collapsed="false">
      <c r="A41" s="8" t="s">
        <v>42</v>
      </c>
      <c r="B41" s="15" t="n">
        <v>0.05</v>
      </c>
    </row>
    <row r="42" customFormat="false" ht="15" hidden="false" customHeight="false" outlineLevel="0" collapsed="false">
      <c r="A42" s="8" t="s">
        <v>43</v>
      </c>
      <c r="B42" s="16" t="n">
        <v>4.25</v>
      </c>
    </row>
    <row r="43" customFormat="false" ht="15" hidden="false" customHeight="false" outlineLevel="0" collapsed="false">
      <c r="A43" s="8" t="s">
        <v>44</v>
      </c>
      <c r="B43" s="16" t="n">
        <v>1.2</v>
      </c>
    </row>
    <row r="45" customFormat="false" ht="15" hidden="false" customHeight="false" outlineLevel="0" collapsed="false">
      <c r="A45" s="4" t="s">
        <v>45</v>
      </c>
      <c r="B45" s="7"/>
      <c r="C45" s="7"/>
      <c r="D45" s="7"/>
    </row>
    <row r="47" customFormat="false" ht="15" hidden="false" customHeight="false" outlineLevel="0" collapsed="false">
      <c r="A47" s="8" t="s">
        <v>46</v>
      </c>
      <c r="B47" s="17" t="n">
        <v>2.2</v>
      </c>
    </row>
    <row r="48" customFormat="false" ht="15" hidden="false" customHeight="false" outlineLevel="0" collapsed="false">
      <c r="A48" s="8" t="s">
        <v>47</v>
      </c>
      <c r="B48" s="15" t="n">
        <v>-0.08</v>
      </c>
    </row>
    <row r="49" customFormat="false" ht="15" hidden="false" customHeight="false" outlineLevel="0" collapsed="false">
      <c r="A49" s="8" t="s">
        <v>48</v>
      </c>
      <c r="B49" s="15" t="n">
        <v>0.06</v>
      </c>
    </row>
    <row r="50" customFormat="false" ht="15" hidden="false" customHeight="false" outlineLevel="0" collapsed="false">
      <c r="A50" s="8" t="s">
        <v>49</v>
      </c>
      <c r="B50" s="15" t="n">
        <v>0.04</v>
      </c>
    </row>
    <row r="51" customFormat="false" ht="15" hidden="false" customHeight="false" outlineLevel="0" collapsed="false">
      <c r="A51" s="8" t="s">
        <v>50</v>
      </c>
      <c r="B51" s="16" t="n">
        <v>5.25</v>
      </c>
    </row>
    <row r="52" customFormat="false" ht="15" hidden="false" customHeight="false" outlineLevel="0" collapsed="false">
      <c r="A52" s="8" t="s">
        <v>51</v>
      </c>
      <c r="B52" s="15" t="n">
        <v>0.01</v>
      </c>
    </row>
    <row r="53" customFormat="false" ht="15" hidden="false" customHeight="false" outlineLevel="0" collapsed="false">
      <c r="A53" s="8" t="s">
        <v>52</v>
      </c>
      <c r="B53" s="15" t="n">
        <v>0.005</v>
      </c>
    </row>
  </sheetData>
  <dataValidations count="10">
    <dataValidation allowBlank="false" errorStyle="stop" operator="between" showDropDown="false" showErrorMessage="false" showInputMessage="false" sqref="C13" type="list">
      <formula1>"1,0"</formula1>
      <formula2>0</formula2>
    </dataValidation>
    <dataValidation allowBlank="false" errorStyle="stop" operator="between" showDropDown="false" showErrorMessage="false" showInputMessage="false" sqref="C14" type="list">
      <formula1>"1,0"</formula1>
      <formula2>0</formula2>
    </dataValidation>
    <dataValidation allowBlank="false" errorStyle="stop" operator="between" showDropDown="false" showErrorMessage="false" showInputMessage="false" sqref="C15" type="list">
      <formula1>"1,0"</formula1>
      <formula2>0</formula2>
    </dataValidation>
    <dataValidation allowBlank="false" errorStyle="stop" operator="between" showDropDown="false" showErrorMessage="false" showInputMessage="false" sqref="C16" type="list">
      <formula1>"1,0"</formula1>
      <formula2>0</formula2>
    </dataValidation>
    <dataValidation allowBlank="false" errorStyle="stop" operator="between" showDropDown="false" showErrorMessage="false" showInputMessage="false" sqref="C17" type="list">
      <formula1>"1,0"</formula1>
      <formula2>0</formula2>
    </dataValidation>
    <dataValidation allowBlank="false" errorStyle="stop" operator="between" showDropDown="false" showErrorMessage="false" showInputMessage="false" sqref="C18" type="list">
      <formula1>"1,0"</formula1>
      <formula2>0</formula2>
    </dataValidation>
    <dataValidation allowBlank="false" errorStyle="stop" operator="between" showDropDown="false" showErrorMessage="false" showInputMessage="false" sqref="C24" type="list">
      <formula1>"1,0"</formula1>
      <formula2>0</formula2>
    </dataValidation>
    <dataValidation allowBlank="false" errorStyle="stop" operator="between" showDropDown="false" showErrorMessage="false" showInputMessage="false" sqref="C25" type="list">
      <formula1>"1,0"</formula1>
      <formula2>0</formula2>
    </dataValidation>
    <dataValidation allowBlank="false" errorStyle="stop" operator="between" showDropDown="false" showErrorMessage="false" showInputMessage="false" sqref="C26" type="list">
      <formula1>"1,0"</formula1>
      <formula2>0</formula2>
    </dataValidation>
    <dataValidation allowBlank="false" errorStyle="stop" operator="between" showDropDown="false" showErrorMessage="false" showInputMessage="false" sqref="C27"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0"/>
  </cols>
  <sheetData>
    <row r="1" customFormat="false" ht="24" hidden="false" customHeight="true" outlineLevel="0" collapsed="false">
      <c r="A1" s="1" t="s">
        <v>53</v>
      </c>
    </row>
    <row r="2" customFormat="false" ht="15" hidden="false" customHeight="false" outlineLevel="0" collapsed="false">
      <c r="A2" s="2" t="s">
        <v>54</v>
      </c>
    </row>
    <row r="3" customFormat="false" ht="15" hidden="false" customHeight="false" outlineLevel="0" collapsed="false">
      <c r="A3" s="3"/>
      <c r="B3" s="3"/>
      <c r="C3" s="3"/>
    </row>
    <row r="5" customFormat="false" ht="30" hidden="false" customHeight="true" outlineLevel="0" collapsed="false">
      <c r="A5" s="10"/>
      <c r="B5" s="11" t="s">
        <v>18</v>
      </c>
      <c r="C5" s="11" t="s">
        <v>55</v>
      </c>
    </row>
    <row r="6" customFormat="false" ht="15" hidden="false" customHeight="false" outlineLevel="0" collapsed="false">
      <c r="A6" s="13" t="s">
        <v>15</v>
      </c>
      <c r="B6" s="14" t="n">
        <f aca="false">Inputs!B8</f>
        <v>24600000</v>
      </c>
      <c r="C6" s="14" t="n">
        <f aca="false">B6</f>
        <v>24600000</v>
      </c>
    </row>
    <row r="7" customFormat="false" ht="15" hidden="false" customHeight="false" outlineLevel="0" collapsed="false">
      <c r="A7" s="8" t="s">
        <v>56</v>
      </c>
      <c r="B7" s="18" t="n">
        <f aca="false">Inputs!B13*Inputs!C13</f>
        <v>3400000</v>
      </c>
      <c r="C7" s="18" t="n">
        <f aca="false">C6+B7</f>
        <v>28000000</v>
      </c>
    </row>
    <row r="8" customFormat="false" ht="15" hidden="false" customHeight="false" outlineLevel="0" collapsed="false">
      <c r="A8" s="8" t="s">
        <v>57</v>
      </c>
      <c r="B8" s="18" t="n">
        <f aca="false">Inputs!B14*Inputs!C14</f>
        <v>2900000</v>
      </c>
      <c r="C8" s="18" t="n">
        <f aca="false">C7+B8</f>
        <v>30900000</v>
      </c>
    </row>
    <row r="9" customFormat="false" ht="15" hidden="false" customHeight="false" outlineLevel="0" collapsed="false">
      <c r="A9" s="8" t="s">
        <v>58</v>
      </c>
      <c r="B9" s="18" t="n">
        <f aca="false">Inputs!B15*Inputs!C15</f>
        <v>4200000</v>
      </c>
      <c r="C9" s="18" t="n">
        <f aca="false">C8+B9</f>
        <v>35100000</v>
      </c>
    </row>
    <row r="10" customFormat="false" ht="15" hidden="false" customHeight="false" outlineLevel="0" collapsed="false">
      <c r="A10" s="8" t="s">
        <v>59</v>
      </c>
      <c r="B10" s="18" t="n">
        <f aca="false">Inputs!B16*Inputs!C16</f>
        <v>1100000</v>
      </c>
      <c r="C10" s="18" t="n">
        <f aca="false">C9+B10</f>
        <v>36200000</v>
      </c>
    </row>
    <row r="11" customFormat="false" ht="15" hidden="false" customHeight="false" outlineLevel="0" collapsed="false">
      <c r="A11" s="8" t="s">
        <v>60</v>
      </c>
      <c r="B11" s="18" t="n">
        <f aca="false">Inputs!B17*Inputs!C17</f>
        <v>800000</v>
      </c>
      <c r="C11" s="18" t="n">
        <f aca="false">C10+B11</f>
        <v>37000000</v>
      </c>
    </row>
    <row r="12" customFormat="false" ht="15" hidden="false" customHeight="false" outlineLevel="0" collapsed="false">
      <c r="A12" s="8" t="s">
        <v>61</v>
      </c>
      <c r="B12" s="18" t="n">
        <f aca="false">Inputs!B18*Inputs!C18</f>
        <v>600000</v>
      </c>
      <c r="C12" s="18" t="n">
        <f aca="false">C11+B12</f>
        <v>37600000</v>
      </c>
    </row>
    <row r="13" customFormat="false" ht="15" hidden="false" customHeight="false" outlineLevel="0" collapsed="false">
      <c r="A13" s="13" t="s">
        <v>62</v>
      </c>
      <c r="B13" s="14" t="n">
        <f aca="false">C12</f>
        <v>37600000</v>
      </c>
      <c r="C13" s="14" t="n">
        <f aca="false">B13</f>
        <v>37600000</v>
      </c>
    </row>
    <row r="14" customFormat="false" ht="15" hidden="false" customHeight="false" outlineLevel="0" collapsed="false">
      <c r="A14" s="8" t="s">
        <v>63</v>
      </c>
      <c r="B14" s="18" t="n">
        <f aca="false">-Inputs!B24*Inputs!C24</f>
        <v>-1740000</v>
      </c>
      <c r="C14" s="18" t="n">
        <f aca="false">C13+B14</f>
        <v>35860000</v>
      </c>
    </row>
    <row r="15" customFormat="false" ht="15" hidden="false" customHeight="false" outlineLevel="0" collapsed="false">
      <c r="A15" s="8" t="s">
        <v>64</v>
      </c>
      <c r="B15" s="18" t="n">
        <f aca="false">-Inputs!B25*Inputs!C25</f>
        <v>-1800000</v>
      </c>
      <c r="C15" s="18" t="n">
        <f aca="false">C14+B15</f>
        <v>34060000</v>
      </c>
    </row>
    <row r="16" customFormat="false" ht="15" hidden="false" customHeight="false" outlineLevel="0" collapsed="false">
      <c r="A16" s="8" t="s">
        <v>65</v>
      </c>
      <c r="B16" s="18" t="n">
        <f aca="false">-Inputs!B26*Inputs!C26</f>
        <v>-3400000</v>
      </c>
      <c r="C16" s="18" t="n">
        <f aca="false">C15+B16</f>
        <v>30660000</v>
      </c>
    </row>
    <row r="17" customFormat="false" ht="15" hidden="false" customHeight="false" outlineLevel="0" collapsed="false">
      <c r="A17" s="8" t="s">
        <v>66</v>
      </c>
      <c r="B17" s="18" t="n">
        <f aca="false">-Inputs!B27*Inputs!C27</f>
        <v>-2200000</v>
      </c>
      <c r="C17" s="18" t="n">
        <f aca="false">C16+B17</f>
        <v>28460000</v>
      </c>
    </row>
    <row r="18" customFormat="false" ht="15" hidden="false" customHeight="false" outlineLevel="0" collapsed="false">
      <c r="A18" s="13" t="s">
        <v>67</v>
      </c>
      <c r="B18" s="14" t="n">
        <f aca="false">C17</f>
        <v>28460000</v>
      </c>
      <c r="C18" s="14" t="n">
        <f aca="false">B18</f>
        <v>28460000</v>
      </c>
    </row>
    <row r="19" customFormat="false" ht="15" hidden="false" customHeight="false" outlineLevel="0" collapsed="false">
      <c r="A19" s="8" t="s">
        <v>68</v>
      </c>
      <c r="B19" s="18" t="n">
        <f aca="false">-Inputs!B32</f>
        <v>-6200000</v>
      </c>
      <c r="C19" s="18" t="n">
        <f aca="false">C18+B19</f>
        <v>22260000</v>
      </c>
    </row>
    <row r="20" customFormat="false" ht="15" hidden="false" customHeight="false" outlineLevel="0" collapsed="false">
      <c r="A20" s="8" t="s">
        <v>69</v>
      </c>
      <c r="B20" s="18" t="n">
        <f aca="false">-Inputs!B33</f>
        <v>-1600000</v>
      </c>
      <c r="C20" s="18" t="n">
        <f aca="false">C19+B20</f>
        <v>20660000</v>
      </c>
    </row>
    <row r="21" customFormat="false" ht="15" hidden="false" customHeight="false" outlineLevel="0" collapsed="false">
      <c r="A21" s="8" t="s">
        <v>70</v>
      </c>
      <c r="B21" s="18" t="n">
        <f aca="false">-Inputs!B34</f>
        <v>-2100000</v>
      </c>
      <c r="C21" s="18" t="n">
        <f aca="false">C20+B21</f>
        <v>18560000</v>
      </c>
    </row>
    <row r="22" customFormat="false" ht="15" hidden="false" customHeight="false" outlineLevel="0" collapsed="false">
      <c r="A22" s="13" t="s">
        <v>71</v>
      </c>
      <c r="B22" s="14" t="n">
        <f aca="false">C21</f>
        <v>18560000</v>
      </c>
      <c r="C22" s="14" t="n">
        <f aca="false">B22</f>
        <v>18560000</v>
      </c>
    </row>
    <row r="24" customFormat="false" ht="15" hidden="false" customHeight="false" outlineLevel="0" collapsed="false">
      <c r="A24" s="4" t="s">
        <v>72</v>
      </c>
      <c r="B24" s="7"/>
      <c r="C24" s="7"/>
    </row>
    <row r="26" customFormat="false" ht="15" hidden="false" customHeight="false" outlineLevel="0" collapsed="false">
      <c r="A26" s="13" t="s">
        <v>73</v>
      </c>
      <c r="B26" s="19" t="n">
        <f aca="false">Inputs!B19/B6</f>
        <v>0.528455284552846</v>
      </c>
    </row>
    <row r="27" customFormat="false" ht="15" hidden="false" customHeight="false" outlineLevel="0" collapsed="false">
      <c r="A27" s="13" t="s">
        <v>74</v>
      </c>
      <c r="B27" s="19" t="n">
        <f aca="false">Inputs!B19/B13</f>
        <v>0.345744680851064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20"/>
    <col collapsed="false" customWidth="true" hidden="false" outlineLevel="0" max="4" min="4" style="0" width="18"/>
  </cols>
  <sheetData>
    <row r="1" customFormat="false" ht="24" hidden="false" customHeight="true" outlineLevel="0" collapsed="false">
      <c r="A1" s="1" t="s">
        <v>75</v>
      </c>
    </row>
    <row r="2" customFormat="false" ht="15" hidden="false" customHeight="false" outlineLevel="0" collapsed="false">
      <c r="A2" s="2" t="s">
        <v>76</v>
      </c>
    </row>
    <row r="3" customFormat="false" ht="15" hidden="false" customHeight="false" outlineLevel="0" collapsed="false">
      <c r="A3" s="3"/>
      <c r="B3" s="3"/>
      <c r="C3" s="3"/>
      <c r="D3" s="3"/>
    </row>
    <row r="5" customFormat="false" ht="30" hidden="false" customHeight="true" outlineLevel="0" collapsed="false">
      <c r="A5" s="10"/>
      <c r="B5" s="11" t="s">
        <v>77</v>
      </c>
      <c r="C5" s="11" t="s">
        <v>78</v>
      </c>
      <c r="D5" s="11" t="s">
        <v>79</v>
      </c>
    </row>
    <row r="6" customFormat="false" ht="15" hidden="false" customHeight="false" outlineLevel="0" collapsed="false">
      <c r="A6" s="8" t="s">
        <v>14</v>
      </c>
      <c r="B6" s="18" t="n">
        <f aca="false">Inputs!B7</f>
        <v>285000000</v>
      </c>
      <c r="C6" s="18" t="n">
        <f aca="false">B6*(1+Inputs!B48)</f>
        <v>262200000</v>
      </c>
      <c r="D6" s="20" t="n">
        <f aca="false">C6/B6-1</f>
        <v>-0.08</v>
      </c>
    </row>
    <row r="7" customFormat="false" ht="15" hidden="false" customHeight="false" outlineLevel="0" collapsed="false">
      <c r="A7" s="13" t="s">
        <v>80</v>
      </c>
      <c r="B7" s="14" t="n">
        <f aca="false">Bridge!B18</f>
        <v>28460000</v>
      </c>
      <c r="C7" s="14" t="n">
        <f aca="false">B7*(1+Inputs!B48*Inputs!B47)</f>
        <v>23451040</v>
      </c>
      <c r="D7" s="19" t="n">
        <f aca="false">C7/B7-1</f>
        <v>-0.176</v>
      </c>
    </row>
    <row r="8" customFormat="false" ht="15" hidden="false" customHeight="false" outlineLevel="0" collapsed="false">
      <c r="A8" s="13" t="s">
        <v>81</v>
      </c>
      <c r="B8" s="14" t="n">
        <f aca="false">Bridge!B22</f>
        <v>18560000</v>
      </c>
      <c r="C8" s="14" t="n">
        <f aca="false">C7-Inputs!B32-Inputs!B33-Inputs!B34</f>
        <v>13551040</v>
      </c>
      <c r="D8" s="19" t="n">
        <f aca="false">C8/B8-1</f>
        <v>-0.269879310344828</v>
      </c>
    </row>
    <row r="9" customFormat="false" ht="15" hidden="false" customHeight="false" outlineLevel="0" collapsed="false">
      <c r="A9" s="8" t="s">
        <v>82</v>
      </c>
      <c r="B9" s="21" t="n">
        <f aca="false">Inputs!$B$38/B7</f>
        <v>4.21644413211525</v>
      </c>
      <c r="C9" s="21" t="n">
        <f aca="false">Inputs!$B$38/C7</f>
        <v>5.11704384965443</v>
      </c>
    </row>
    <row r="10" customFormat="false" ht="15" hidden="false" customHeight="false" outlineLevel="0" collapsed="false">
      <c r="A10" s="8" t="s">
        <v>83</v>
      </c>
      <c r="B10" s="21" t="n">
        <f aca="false">B8/(Inputs!$B$38*Inputs!$B$39+Inputs!$B$38*Inputs!$B$41)</f>
        <v>1.24731182795699</v>
      </c>
      <c r="C10" s="21" t="n">
        <f aca="false">C8/(Inputs!$B$38*Inputs!$B$39+Inputs!$B$38*Inputs!$B$41)</f>
        <v>0.910688172043011</v>
      </c>
    </row>
    <row r="12" customFormat="false" ht="15" hidden="false" customHeight="false" outlineLevel="0" collapsed="false">
      <c r="A12" s="4" t="s">
        <v>84</v>
      </c>
      <c r="B12" s="7"/>
      <c r="C12" s="7"/>
      <c r="D12" s="7"/>
    </row>
    <row r="14" customFormat="false" ht="15" hidden="false" customHeight="false" outlineLevel="0" collapsed="false">
      <c r="A14" s="8" t="s">
        <v>85</v>
      </c>
      <c r="B14" s="22" t="n">
        <f aca="false">D7/D6</f>
        <v>2.2</v>
      </c>
    </row>
    <row r="15" customFormat="false" ht="15" hidden="false" customHeight="false" outlineLevel="0" collapsed="false">
      <c r="A15" s="13" t="s">
        <v>86</v>
      </c>
      <c r="B15" s="23" t="n">
        <f aca="false">D8/D6</f>
        <v>3.37349137931035</v>
      </c>
    </row>
    <row r="16" customFormat="false" ht="15" hidden="false" customHeight="false" outlineLevel="0" collapsed="false">
      <c r="A16" s="13" t="s">
        <v>87</v>
      </c>
      <c r="B16" s="19" t="n">
        <f aca="false">D8</f>
        <v>-0.269879310344828</v>
      </c>
    </row>
    <row r="17" customFormat="false" ht="15" hidden="false" customHeight="false" outlineLevel="0" collapsed="false">
      <c r="A17" s="8" t="s">
        <v>88</v>
      </c>
      <c r="B17" s="18" t="n">
        <f aca="false">C8-(Inputs!$B$38*Inputs!$B$39+Inputs!$B$38*Inputs!$B$41)</f>
        <v>-1328960</v>
      </c>
    </row>
    <row r="19" customFormat="false" ht="15" hidden="false" customHeight="false" outlineLevel="0" collapsed="false">
      <c r="A19" s="4" t="s">
        <v>89</v>
      </c>
      <c r="B19" s="7"/>
      <c r="C19" s="7"/>
      <c r="D19" s="7"/>
    </row>
    <row r="21" customFormat="false" ht="30" hidden="false" customHeight="true" outlineLevel="0" collapsed="false">
      <c r="A21" s="10" t="s">
        <v>90</v>
      </c>
      <c r="B21" s="11" t="s">
        <v>91</v>
      </c>
      <c r="C21" s="11" t="s">
        <v>92</v>
      </c>
      <c r="D21" s="11" t="s">
        <v>93</v>
      </c>
    </row>
    <row r="22" customFormat="false" ht="15" hidden="false" customHeight="false" outlineLevel="0" collapsed="false">
      <c r="A22" s="8" t="s">
        <v>94</v>
      </c>
      <c r="B22" s="18" t="n">
        <f aca="false">3*C7</f>
        <v>70353120</v>
      </c>
      <c r="C22" s="18" t="n">
        <f aca="false">B22*(1-Inputs!$B$49)</f>
        <v>66131932.8</v>
      </c>
      <c r="D22" s="20" t="n">
        <f aca="false">MIN(Inputs!$B$38,C22)/Inputs!$B$38</f>
        <v>0.55109944</v>
      </c>
    </row>
    <row r="23" customFormat="false" ht="15" hidden="false" customHeight="false" outlineLevel="0" collapsed="false">
      <c r="A23" s="8" t="s">
        <v>95</v>
      </c>
      <c r="B23" s="18" t="n">
        <f aca="false">3.5*C7</f>
        <v>82078640</v>
      </c>
      <c r="C23" s="18" t="n">
        <f aca="false">B23*(1-Inputs!$B$49)</f>
        <v>77153921.6</v>
      </c>
      <c r="D23" s="20" t="n">
        <f aca="false">MIN(Inputs!$B$38,C23)/Inputs!$B$38</f>
        <v>0.642949346666667</v>
      </c>
    </row>
    <row r="24" customFormat="false" ht="15" hidden="false" customHeight="false" outlineLevel="0" collapsed="false">
      <c r="A24" s="8" t="s">
        <v>96</v>
      </c>
      <c r="B24" s="18" t="n">
        <f aca="false">4*C7</f>
        <v>93804160</v>
      </c>
      <c r="C24" s="18" t="n">
        <f aca="false">B24*(1-Inputs!$B$49)</f>
        <v>88175910.4</v>
      </c>
      <c r="D24" s="19" t="n">
        <f aca="false">MIN(Inputs!$B$38,C24)/Inputs!$B$38</f>
        <v>0.734799253333333</v>
      </c>
    </row>
    <row r="25" customFormat="false" ht="15" hidden="false" customHeight="false" outlineLevel="0" collapsed="false">
      <c r="A25" s="8" t="s">
        <v>97</v>
      </c>
      <c r="B25" s="18" t="n">
        <f aca="false">4.5*C7</f>
        <v>105529680</v>
      </c>
      <c r="C25" s="18" t="n">
        <f aca="false">B25*(1-Inputs!$B$49)</f>
        <v>99197899.2</v>
      </c>
      <c r="D25" s="20" t="n">
        <f aca="false">MIN(Inputs!$B$38,C25)/Inputs!$B$38</f>
        <v>0.82664916</v>
      </c>
    </row>
    <row r="26" customFormat="false" ht="15" hidden="false" customHeight="false" outlineLevel="0" collapsed="false">
      <c r="A26" s="8" t="s">
        <v>98</v>
      </c>
      <c r="B26" s="18" t="n">
        <f aca="false">5*C7</f>
        <v>117255200</v>
      </c>
      <c r="C26" s="18" t="n">
        <f aca="false">B26*(1-Inputs!$B$49)</f>
        <v>110219888</v>
      </c>
      <c r="D26" s="20" t="n">
        <f aca="false">MIN(Inputs!$B$38,C26)/Inputs!$B$38</f>
        <v>0.918499066666667</v>
      </c>
    </row>
    <row r="27" customFormat="false" ht="15" hidden="false" customHeight="false" outlineLevel="0" collapsed="false">
      <c r="A27" s="8" t="s">
        <v>99</v>
      </c>
      <c r="B27" s="18" t="n">
        <f aca="false">5.5*C7</f>
        <v>128980720</v>
      </c>
      <c r="C27" s="18" t="n">
        <f aca="false">B27*(1-Inputs!$B$49)</f>
        <v>121241876.8</v>
      </c>
      <c r="D27" s="20" t="n">
        <f aca="false">MIN(Inputs!$B$38,C27)/Inputs!$B$38</f>
        <v>1</v>
      </c>
    </row>
    <row r="28" customFormat="false" ht="15" hidden="false" customHeight="false" outlineLevel="0" collapsed="false">
      <c r="A28" s="8" t="s">
        <v>100</v>
      </c>
      <c r="B28" s="18" t="n">
        <f aca="false">6*C7</f>
        <v>140706240</v>
      </c>
      <c r="C28" s="18" t="n">
        <f aca="false">B28*(1-Inputs!$B$49)</f>
        <v>132263865.6</v>
      </c>
      <c r="D28" s="20" t="n">
        <f aca="false">MIN(Inputs!$B$38,C28)/Inputs!$B$38</f>
        <v>1</v>
      </c>
    </row>
    <row r="30" customFormat="false" ht="15" hidden="false" customHeight="false" outlineLevel="0" collapsed="false">
      <c r="A30" s="13" t="s">
        <v>101</v>
      </c>
      <c r="B30" s="24" t="n">
        <f aca="false">Inputs!B38/(C7*(1-Inputs!B49))</f>
        <v>5.44366366984514</v>
      </c>
    </row>
    <row r="31" customFormat="false" ht="15" hidden="false" customHeight="false" outlineLevel="0" collapsed="false">
      <c r="A31" s="8" t="s">
        <v>102</v>
      </c>
      <c r="B31" s="21" t="n">
        <f aca="false">B9</f>
        <v>4.21644413211525</v>
      </c>
    </row>
    <row r="32" customFormat="false" ht="15" hidden="false" customHeight="false" outlineLevel="0" collapsed="false">
      <c r="A32" s="13" t="s">
        <v>103</v>
      </c>
      <c r="B32" s="24" t="n">
        <f aca="false">B30-B31</f>
        <v>1.22721953772989</v>
      </c>
    </row>
    <row r="33" customFormat="false" ht="15" hidden="false" customHeight="false" outlineLevel="0" collapsed="false">
      <c r="A33" s="8" t="s">
        <v>104</v>
      </c>
      <c r="B33" s="21" t="n">
        <f aca="false">Inputs!B38/Bridge!B13</f>
        <v>3.19148936170213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5" min="2" style="0" width="20"/>
    <col collapsed="false" customWidth="true" hidden="false" outlineLevel="0" max="6" min="6" style="0" width="44"/>
  </cols>
  <sheetData>
    <row r="1" customFormat="false" ht="19.7" hidden="false" customHeight="false" outlineLevel="0" collapsed="false">
      <c r="A1" s="25" t="s">
        <v>105</v>
      </c>
    </row>
    <row r="2" customFormat="false" ht="15" hidden="false" customHeight="false" outlineLevel="0" collapsed="false">
      <c r="A2" s="26" t="s">
        <v>106</v>
      </c>
    </row>
    <row r="5" customFormat="false" ht="15" hidden="false" customHeight="false" outlineLevel="0" collapsed="false">
      <c r="A5" s="6" t="s">
        <v>107</v>
      </c>
    </row>
    <row r="7" customFormat="false" ht="15" hidden="false" customHeight="false" outlineLevel="0" collapsed="false">
      <c r="A7" s="8" t="s">
        <v>108</v>
      </c>
      <c r="B7" s="18" t="n">
        <f aca="false">Inputs!$B$7*(1+Inputs!$B$48)</f>
        <v>262200000</v>
      </c>
    </row>
    <row r="8" customFormat="false" ht="15" hidden="false" customHeight="false" outlineLevel="0" collapsed="false">
      <c r="A8" s="8" t="s">
        <v>109</v>
      </c>
      <c r="B8" s="18" t="n">
        <f aca="false">-Inputs!$B$7*Inputs!$B$48</f>
        <v>22800000</v>
      </c>
    </row>
    <row r="9" customFormat="false" ht="15" hidden="false" customHeight="false" outlineLevel="0" collapsed="false">
      <c r="A9" s="8" t="s">
        <v>110</v>
      </c>
      <c r="B9" s="18" t="n">
        <f aca="false">Inputs!$B$47*Bridge!$B$18</f>
        <v>62612000</v>
      </c>
    </row>
    <row r="10" customFormat="false" ht="15" hidden="false" customHeight="false" outlineLevel="0" collapsed="false">
      <c r="A10" s="8" t="s">
        <v>111</v>
      </c>
      <c r="B10" s="20" t="n">
        <f aca="false">'Curve and Levers'!$B$9/Inputs!$B$7</f>
        <v>0.219691228070175</v>
      </c>
    </row>
    <row r="11" customFormat="false" ht="15" hidden="false" customHeight="false" outlineLevel="0" collapsed="false">
      <c r="A11" s="8" t="s">
        <v>112</v>
      </c>
      <c r="B11" s="20" t="n">
        <f aca="false">1-'Curve and Levers'!$B$10</f>
        <v>0.780308771929825</v>
      </c>
    </row>
    <row r="12" customFormat="false" ht="15" hidden="false" customHeight="false" outlineLevel="0" collapsed="false">
      <c r="A12" s="8" t="s">
        <v>113</v>
      </c>
      <c r="B12" s="18" t="n">
        <f aca="false">'Curve and Levers'!$B$9-Bridge!$B$18</f>
        <v>34152000</v>
      </c>
    </row>
    <row r="13" customFormat="false" ht="15" hidden="false" customHeight="false" outlineLevel="0" collapsed="false">
      <c r="A13" s="8" t="s">
        <v>114</v>
      </c>
      <c r="B13" s="18" t="n">
        <f aca="false">'Curve and Levers'!$B$12+(Inputs!$B$32+Inputs!$B$33+Inputs!$B$34)</f>
        <v>44052000</v>
      </c>
    </row>
    <row r="14" customFormat="false" ht="15" hidden="false" customHeight="false" outlineLevel="0" collapsed="false">
      <c r="A14" s="8" t="s">
        <v>115</v>
      </c>
      <c r="B14" s="18" t="n">
        <f aca="false">'Curve and Levers'!$B$9*(1+Inputs!$B$48)</f>
        <v>57603040</v>
      </c>
    </row>
    <row r="15" customFormat="false" ht="15" hidden="false" customHeight="false" outlineLevel="0" collapsed="false">
      <c r="A15" s="8" t="s">
        <v>116</v>
      </c>
      <c r="B15" s="18" t="n">
        <f aca="false">'Curve and Levers'!$B$14-'Curve and Levers'!$B$13</f>
        <v>13551040</v>
      </c>
    </row>
    <row r="16" customFormat="false" ht="15" hidden="false" customHeight="false" outlineLevel="0" collapsed="false">
      <c r="A16" s="8" t="s">
        <v>117</v>
      </c>
      <c r="B16" s="22" t="n">
        <f aca="false">Bridge!$B$18/Bridge!$B$22</f>
        <v>1.53340517241379</v>
      </c>
    </row>
    <row r="17" customFormat="false" ht="15" hidden="false" customHeight="false" outlineLevel="0" collapsed="false">
      <c r="A17" s="27" t="s">
        <v>118</v>
      </c>
      <c r="B17" s="27" t="s">
        <v>119</v>
      </c>
      <c r="C17" s="27" t="s">
        <v>120</v>
      </c>
      <c r="D17" s="27" t="s">
        <v>82</v>
      </c>
      <c r="E17" s="27" t="s">
        <v>83</v>
      </c>
    </row>
    <row r="18" customFormat="false" ht="15" hidden="false" customHeight="false" outlineLevel="0" collapsed="false">
      <c r="A18" s="28" t="n">
        <v>0.02</v>
      </c>
      <c r="B18" s="18" t="n">
        <f aca="false">Bridge!$B$18*(1-A18*Inputs!$B$47)</f>
        <v>27207760</v>
      </c>
      <c r="C18" s="18" t="n">
        <f aca="false">B18-(Inputs!$B$32+Inputs!$B$33+Inputs!$B$34)</f>
        <v>17307760</v>
      </c>
      <c r="D18" s="21" t="n">
        <f aca="false">Inputs!$B$38/B18</f>
        <v>4.4105064143465</v>
      </c>
      <c r="E18" s="21" t="n">
        <f aca="false">C18/(Inputs!$B$38*Inputs!$B$39+Inputs!$B$38*Inputs!$B$41)</f>
        <v>1.16315591397849</v>
      </c>
    </row>
    <row r="19" customFormat="false" ht="15" hidden="false" customHeight="false" outlineLevel="0" collapsed="false">
      <c r="A19" s="28" t="n">
        <v>0.04</v>
      </c>
      <c r="B19" s="18" t="n">
        <f aca="false">Bridge!$B$18*(1-A19*Inputs!$B$47)</f>
        <v>25955520</v>
      </c>
      <c r="C19" s="18" t="n">
        <f aca="false">B19-(Inputs!$B$32+Inputs!$B$33+Inputs!$B$34)</f>
        <v>16055520</v>
      </c>
      <c r="D19" s="21" t="n">
        <f aca="false">Inputs!$B$38/B19</f>
        <v>4.62329400451234</v>
      </c>
      <c r="E19" s="21" t="n">
        <f aca="false">C19/(Inputs!$B$38*Inputs!$B$39+Inputs!$B$38*Inputs!$B$41)</f>
        <v>1.079</v>
      </c>
    </row>
    <row r="20" customFormat="false" ht="15" hidden="false" customHeight="false" outlineLevel="0" collapsed="false">
      <c r="A20" s="28" t="n">
        <v>0.06</v>
      </c>
      <c r="B20" s="18" t="n">
        <f aca="false">Bridge!$B$18*(1-A20*Inputs!$B$47)</f>
        <v>24703280</v>
      </c>
      <c r="C20" s="18" t="n">
        <f aca="false">B20-(Inputs!$B$32+Inputs!$B$33+Inputs!$B$34)</f>
        <v>14803280</v>
      </c>
      <c r="D20" s="21" t="n">
        <f aca="false">Inputs!$B$38/B20</f>
        <v>4.85765453008669</v>
      </c>
      <c r="E20" s="21" t="n">
        <f aca="false">C20/(Inputs!$B$38*Inputs!$B$39+Inputs!$B$38*Inputs!$B$41)</f>
        <v>0.994844086021505</v>
      </c>
    </row>
    <row r="21" customFormat="false" ht="15" hidden="false" customHeight="false" outlineLevel="0" collapsed="false">
      <c r="A21" s="28" t="n">
        <v>0.08</v>
      </c>
      <c r="B21" s="18" t="n">
        <f aca="false">Bridge!$B$18*(1-A21*Inputs!$B$47)</f>
        <v>23451040</v>
      </c>
      <c r="C21" s="18" t="n">
        <f aca="false">B21-(Inputs!$B$32+Inputs!$B$33+Inputs!$B$34)</f>
        <v>13551040</v>
      </c>
      <c r="D21" s="21" t="n">
        <f aca="false">Inputs!$B$38/B21</f>
        <v>5.11704384965443</v>
      </c>
      <c r="E21" s="21" t="n">
        <f aca="false">C21/(Inputs!$B$38*Inputs!$B$39+Inputs!$B$38*Inputs!$B$41)</f>
        <v>0.910688172043011</v>
      </c>
    </row>
    <row r="22" customFormat="false" ht="15" hidden="false" customHeight="false" outlineLevel="0" collapsed="false">
      <c r="A22" s="28" t="n">
        <v>0.1</v>
      </c>
      <c r="B22" s="18" t="n">
        <f aca="false">Bridge!$B$18*(1-A22*Inputs!$B$47)</f>
        <v>22198800</v>
      </c>
      <c r="C22" s="18" t="n">
        <f aca="false">B22-(Inputs!$B$32+Inputs!$B$33+Inputs!$B$34)</f>
        <v>12298800</v>
      </c>
      <c r="D22" s="21" t="n">
        <f aca="false">Inputs!$B$38/B22</f>
        <v>5.40569760527596</v>
      </c>
      <c r="E22" s="21" t="n">
        <f aca="false">C22/(Inputs!$B$38*Inputs!$B$39+Inputs!$B$38*Inputs!$B$41)</f>
        <v>0.826532258064516</v>
      </c>
    </row>
    <row r="23" customFormat="false" ht="15" hidden="false" customHeight="false" outlineLevel="0" collapsed="false">
      <c r="A23" s="8" t="s">
        <v>121</v>
      </c>
      <c r="B23" s="19" t="n">
        <f aca="false">1-((Inputs!$B$38*Inputs!$B$39+Inputs!$B$38*Inputs!$B$41)+'Curve and Levers'!$B$13)/'Curve and Levers'!$B$9</f>
        <v>0.0587746757810005</v>
      </c>
    </row>
    <row r="24" customFormat="false" ht="15" hidden="false" customHeight="false" outlineLevel="0" collapsed="false">
      <c r="A24" s="8" t="s">
        <v>122</v>
      </c>
      <c r="B24" s="20" t="n">
        <f aca="false">(1-Inputs!$B$38/Inputs!$B$42/Bridge!$B$18)/Inputs!$B$47</f>
        <v>0.00358886287537436</v>
      </c>
    </row>
    <row r="25" customFormat="false" ht="15" hidden="false" customHeight="false" outlineLevel="0" collapsed="false">
      <c r="A25" s="8" t="s">
        <v>123</v>
      </c>
      <c r="B25" s="18" t="n">
        <f aca="false">'Curve and Levers'!$B$24*Inputs!$B$7</f>
        <v>1022825.91948169</v>
      </c>
      <c r="C25" s="29" t="s">
        <v>124</v>
      </c>
    </row>
    <row r="26" customFormat="false" ht="15" hidden="false" customHeight="false" outlineLevel="0" collapsed="false">
      <c r="A26" s="8" t="s">
        <v>125</v>
      </c>
      <c r="B26" s="22" t="n">
        <f aca="false">'Curve and Levers'!$B$25/(Inputs!$B$7/365)</f>
        <v>1.30993494951164</v>
      </c>
    </row>
    <row r="27" customFormat="false" ht="15" hidden="false" customHeight="false" outlineLevel="0" collapsed="false">
      <c r="A27" s="8" t="s">
        <v>126</v>
      </c>
      <c r="B27" s="20" t="n">
        <f aca="false">((Bridge!$B$22-Inputs!$B$43*(Inputs!$B$38*Inputs!$B$39+Inputs!$B$38*Inputs!$B$41))/Bridge!$B$18)/Inputs!$B$47</f>
        <v>0.011243851018974</v>
      </c>
    </row>
    <row r="28" customFormat="false" ht="15" hidden="false" customHeight="false" outlineLevel="0" collapsed="false">
      <c r="A28" s="8" t="s">
        <v>123</v>
      </c>
      <c r="B28" s="18" t="n">
        <f aca="false">'Curve and Levers'!$B$27*Inputs!$B$7</f>
        <v>3204497.54040759</v>
      </c>
      <c r="C28" s="29" t="s">
        <v>127</v>
      </c>
    </row>
    <row r="29" customFormat="false" ht="15" hidden="false" customHeight="false" outlineLevel="0" collapsed="false">
      <c r="A29" s="8" t="s">
        <v>125</v>
      </c>
      <c r="B29" s="22" t="n">
        <f aca="false">'Curve and Levers'!$B$28/(Inputs!$B$7/365)</f>
        <v>4.10400562192551</v>
      </c>
    </row>
    <row r="30" customFormat="false" ht="15" hidden="false" customHeight="false" outlineLevel="0" collapsed="false">
      <c r="A30" s="8" t="s">
        <v>128</v>
      </c>
      <c r="B30" s="20" t="n">
        <f aca="false">((Bridge!$B$22-Inputs!$B$43*(Inputs!$B$38*Inputs!$B$39+Inputs!$B$38*Inputs!$B$41))/Bridge!$B$22)/Downside!$B$15</f>
        <v>0.011243851018974</v>
      </c>
    </row>
    <row r="31" customFormat="false" ht="15" hidden="false" customHeight="false" outlineLevel="0" collapsed="false">
      <c r="A31" s="8" t="s">
        <v>129</v>
      </c>
      <c r="B31" s="18" t="n">
        <f aca="false">Inputs!$B$7/365</f>
        <v>780821.917808219</v>
      </c>
    </row>
    <row r="32" customFormat="false" ht="15" hidden="false" customHeight="false" outlineLevel="0" collapsed="false">
      <c r="A32" s="6" t="s">
        <v>130</v>
      </c>
    </row>
    <row r="34" customFormat="false" ht="15" hidden="false" customHeight="false" outlineLevel="0" collapsed="false">
      <c r="A34" s="8" t="s">
        <v>131</v>
      </c>
      <c r="B34" s="30" t="n">
        <v>1.5</v>
      </c>
    </row>
    <row r="35" customFormat="false" ht="15" hidden="false" customHeight="false" outlineLevel="0" collapsed="false">
      <c r="A35" s="8" t="s">
        <v>132</v>
      </c>
      <c r="B35" s="18" t="n">
        <f aca="false">Bridge!$B$18*(1+Inputs!$B$48*'Curve and Levers'!$B$34)-(Inputs!$B$32+Inputs!$B$33+Inputs!$B$34)</f>
        <v>15144800</v>
      </c>
    </row>
    <row r="36" customFormat="false" ht="15" hidden="false" customHeight="false" outlineLevel="0" collapsed="false">
      <c r="A36" s="8" t="s">
        <v>133</v>
      </c>
      <c r="B36" s="20" t="n">
        <f aca="false">1-'Curve and Levers'!$B$35/Bridge!$B$22</f>
        <v>0.184008620689655</v>
      </c>
    </row>
    <row r="37" customFormat="false" ht="15" hidden="false" customHeight="false" outlineLevel="0" collapsed="false">
      <c r="A37" s="8" t="s">
        <v>134</v>
      </c>
      <c r="B37" s="22" t="n">
        <f aca="false">'Curve and Levers'!$B$36/-Inputs!$B$48</f>
        <v>2.30010775862069</v>
      </c>
    </row>
    <row r="38" customFormat="false" ht="15" hidden="false" customHeight="false" outlineLevel="0" collapsed="false">
      <c r="A38" s="8" t="s">
        <v>135</v>
      </c>
      <c r="B38" s="31" t="n">
        <v>2000000</v>
      </c>
    </row>
    <row r="39" customFormat="false" ht="15" hidden="false" customHeight="false" outlineLevel="0" collapsed="false">
      <c r="A39" s="8" t="s">
        <v>132</v>
      </c>
      <c r="B39" s="18" t="n">
        <f aca="false">((Bridge!$B$18*(1+Inputs!$B$48*Inputs!$B$47))-(Inputs!$B$32+Inputs!$B$33+Inputs!$B$34))+'Curve and Levers'!$B$38</f>
        <v>15551040</v>
      </c>
    </row>
    <row r="40" customFormat="false" ht="15" hidden="false" customHeight="false" outlineLevel="0" collapsed="false">
      <c r="A40" s="8" t="s">
        <v>133</v>
      </c>
      <c r="B40" s="20" t="n">
        <f aca="false">1-'Curve and Levers'!$B$39/Bridge!$B$22</f>
        <v>0.162120689655172</v>
      </c>
    </row>
    <row r="41" customFormat="false" ht="15" hidden="false" customHeight="false" outlineLevel="0" collapsed="false">
      <c r="A41" s="8" t="s">
        <v>134</v>
      </c>
      <c r="B41" s="22" t="n">
        <f aca="false">'Curve and Levers'!$B$40/-Inputs!$B$48</f>
        <v>2.02650862068966</v>
      </c>
    </row>
    <row r="42" customFormat="false" ht="15" hidden="false" customHeight="false" outlineLevel="0" collapsed="false">
      <c r="A42" s="8" t="s">
        <v>136</v>
      </c>
      <c r="B42" s="18" t="n">
        <f aca="false">Inputs!$B$34*(1+Inputs!$B$48*Inputs!$B$47)</f>
        <v>1730400</v>
      </c>
    </row>
    <row r="43" customFormat="false" ht="15" hidden="false" customHeight="false" outlineLevel="0" collapsed="false">
      <c r="A43" s="8" t="s">
        <v>132</v>
      </c>
      <c r="B43" s="18" t="n">
        <f aca="false">(Bridge!$B$18*(1+Inputs!$B$48*Inputs!$B$47))-Inputs!$B$32-Inputs!$B$33-'Curve and Levers'!$B$42</f>
        <v>13920640</v>
      </c>
    </row>
    <row r="44" customFormat="false" ht="15" hidden="false" customHeight="false" outlineLevel="0" collapsed="false">
      <c r="A44" s="8" t="s">
        <v>133</v>
      </c>
      <c r="B44" s="20" t="n">
        <f aca="false">1-'Curve and Levers'!$B$43/Bridge!$B$22</f>
        <v>0.249965517241379</v>
      </c>
    </row>
    <row r="45" customFormat="false" ht="15" hidden="false" customHeight="false" outlineLevel="0" collapsed="false">
      <c r="A45" s="8" t="s">
        <v>134</v>
      </c>
      <c r="B45" s="22" t="n">
        <f aca="false">'Curve and Levers'!$B$44/-Inputs!$B$48</f>
        <v>3.12456896551724</v>
      </c>
    </row>
    <row r="46" customFormat="false" ht="15" hidden="false" customHeight="false" outlineLevel="0" collapsed="false">
      <c r="A46" s="8" t="s">
        <v>137</v>
      </c>
      <c r="B46" s="18" t="n">
        <f aca="false">((Bridge!$B$18*(1+Inputs!$B$48*Inputs!$B$47))-(Inputs!$B$32+Inputs!$B$33+Inputs!$B$34))+2*Inputs!$B$33</f>
        <v>16751040</v>
      </c>
    </row>
    <row r="47" customFormat="false" ht="15" hidden="false" customHeight="false" outlineLevel="0" collapsed="false">
      <c r="A47" s="8" t="s">
        <v>138</v>
      </c>
      <c r="B47" s="21" t="n">
        <f aca="false">'Curve and Levers'!$B$46/(Inputs!$B$38*Inputs!$B$39+Inputs!$B$38*Inputs!$B$41)</f>
        <v>1.12574193548387</v>
      </c>
    </row>
    <row r="48" customFormat="false" ht="15" hidden="false" customHeight="false" outlineLevel="0" collapsed="false">
      <c r="A48" s="6" t="s">
        <v>139</v>
      </c>
    </row>
    <row r="50" customFormat="false" ht="15" hidden="false" customHeight="false" outlineLevel="0" collapsed="false">
      <c r="A50" s="8" t="s">
        <v>140</v>
      </c>
      <c r="B50" s="14" t="n">
        <f aca="false">(Inputs!$B$38*Inputs!$B$39+Inputs!$B$38*Inputs!$B$41)-((Bridge!$B$18*(1+Inputs!$B$48*Inputs!$B$47))-(Inputs!$B$32+Inputs!$B$33+Inputs!$B$34))</f>
        <v>1328960</v>
      </c>
    </row>
    <row r="51" customFormat="false" ht="15" hidden="false" customHeight="false" outlineLevel="0" collapsed="false">
      <c r="A51" s="8" t="s">
        <v>141</v>
      </c>
      <c r="B51" s="18" t="n">
        <f aca="false">'Curve and Levers'!$B$50/12</f>
        <v>110746.666666667</v>
      </c>
    </row>
    <row r="52" customFormat="false" ht="15" hidden="false" customHeight="false" outlineLevel="0" collapsed="false">
      <c r="A52" s="8" t="s">
        <v>142</v>
      </c>
      <c r="B52" s="18" t="n">
        <f aca="false">(1-ROUND(((Bridge!$B$18*(1+Inputs!$B$48*Inputs!$B$47))-(Inputs!$B$32+Inputs!$B$33+Inputs!$B$34))/(Inputs!$B$38*Inputs!$B$39+Inputs!$B$38*Inputs!$B$41),4))*(Inputs!$B$38*Inputs!$B$39+Inputs!$B$38*Inputs!$B$41)</f>
        <v>1328784</v>
      </c>
    </row>
    <row r="53" customFormat="false" ht="15" hidden="false" customHeight="false" outlineLevel="0" collapsed="false">
      <c r="A53" s="8" t="s">
        <v>143</v>
      </c>
      <c r="B53" s="18" t="n">
        <f aca="false">'Curve and Levers'!$B$50-'Curve and Levers'!$B$52</f>
        <v>175.999999999302</v>
      </c>
    </row>
    <row r="54" customFormat="false" ht="15" hidden="false" customHeight="false" outlineLevel="0" collapsed="false">
      <c r="A54" s="8" t="s">
        <v>144</v>
      </c>
      <c r="B54" s="18" t="n">
        <f aca="false">Inputs!$B$43*(Inputs!$B$38*Inputs!$B$39+Inputs!$B$38*Inputs!$B$41)-((Bridge!$B$18*(1+Inputs!$B$48*Inputs!$B$47))-(Inputs!$B$32+Inputs!$B$33+Inputs!$B$34))</f>
        <v>4304960</v>
      </c>
    </row>
    <row r="55" customFormat="false" ht="15" hidden="false" customHeight="false" outlineLevel="0" collapsed="false">
      <c r="A55" s="8" t="s">
        <v>145</v>
      </c>
      <c r="B55" s="18" t="n">
        <f aca="false">Inputs!$B$38/Inputs!$B$42-(Bridge!$B$18*(1+Inputs!$B$48*Inputs!$B$47))</f>
        <v>4784254.11764706</v>
      </c>
    </row>
    <row r="56" customFormat="false" ht="15" hidden="false" customHeight="false" outlineLevel="0" collapsed="false">
      <c r="A56" s="8" t="s">
        <v>146</v>
      </c>
      <c r="B56" s="18" t="n">
        <f aca="false">Inputs!$B$38-Inputs!$B$42*(Bridge!$B$18*(1+Inputs!$B$48*Inputs!$B$47))</f>
        <v>20333080</v>
      </c>
    </row>
    <row r="57" customFormat="false" ht="15" hidden="false" customHeight="false" outlineLevel="0" collapsed="false">
      <c r="A57" s="8" t="s">
        <v>147</v>
      </c>
      <c r="B57" s="22" t="n">
        <f aca="false">'Curve and Levers'!$B$56/'Curve and Levers'!$B$55</f>
        <v>4.25</v>
      </c>
    </row>
    <row r="58" customFormat="false" ht="15" hidden="false" customHeight="false" outlineLevel="0" collapsed="false">
      <c r="A58" s="8" t="s">
        <v>148</v>
      </c>
      <c r="B58" s="21" t="n">
        <f aca="false">(((Bridge!$B$18*(1+Inputs!$B$48*Inputs!$B$47))-(Inputs!$B$32+Inputs!$B$33+Inputs!$B$34))+'Curve and Levers'!$B$55)/(Inputs!$B$38*Inputs!$B$39+Inputs!$B$38*Inputs!$B$41)</f>
        <v>1.23221062618596</v>
      </c>
    </row>
    <row r="59" customFormat="false" ht="15" hidden="false" customHeight="false" outlineLevel="0" collapsed="false">
      <c r="A59" s="8" t="s">
        <v>149</v>
      </c>
      <c r="B59" s="18" t="n">
        <f aca="false">Inputs!$B$38*(1-Inputs!$B$41)*Inputs!$B$39+Inputs!$B$38*Inputs!$B$41</f>
        <v>14436000</v>
      </c>
    </row>
    <row r="60" customFormat="false" ht="15" hidden="false" customHeight="false" outlineLevel="0" collapsed="false">
      <c r="A60" s="8" t="s">
        <v>150</v>
      </c>
      <c r="B60" s="18" t="n">
        <f aca="false">Inputs!$B$32/2</f>
        <v>3100000</v>
      </c>
    </row>
    <row r="61" customFormat="false" ht="15" hidden="false" customHeight="false" outlineLevel="0" collapsed="false">
      <c r="A61" s="8" t="s">
        <v>151</v>
      </c>
      <c r="B61" s="21" t="n">
        <f aca="false">(((Bridge!$B$18*(1+Inputs!$B$48*Inputs!$B$47))-(Inputs!$B$32+Inputs!$B$33+Inputs!$B$34))+'Curve and Levers'!$B$60)/(Inputs!$B$38*Inputs!$B$39+Inputs!$B$38*Inputs!$B$41)</f>
        <v>1.11902150537634</v>
      </c>
    </row>
    <row r="62" customFormat="false" ht="15" hidden="false" customHeight="false" outlineLevel="0" collapsed="false">
      <c r="A62" s="8" t="s">
        <v>152</v>
      </c>
      <c r="B62" s="22" t="n">
        <f aca="false">'Curve and Levers'!$B$60/(Inputs!$B$38*Inputs!$B$39+Inputs!$B$38*Inputs!$B$41)</f>
        <v>0.208333333333333</v>
      </c>
    </row>
    <row r="63" customFormat="false" ht="15" hidden="false" customHeight="false" outlineLevel="0" collapsed="false">
      <c r="A63" s="8" t="s">
        <v>153</v>
      </c>
      <c r="B63" s="21" t="n">
        <f aca="false">((Bridge!$B$18*(1+Inputs!$B$48*Inputs!$B$47))-(Inputs!$B$32+Inputs!$B$33+Inputs!$B$34))/'Curve and Levers'!$B$59</f>
        <v>0.93869770019396</v>
      </c>
    </row>
    <row r="64" customFormat="false" ht="15" hidden="false" customHeight="false" outlineLevel="0" collapsed="false">
      <c r="A64" s="8" t="s">
        <v>154</v>
      </c>
      <c r="B64" s="21" t="n">
        <f aca="false">(((Bridge!$B$18*(1+Inputs!$B$48*Inputs!$B$47))-(Inputs!$B$32+Inputs!$B$33+Inputs!$B$34))-'Curve and Levers'!$B$60)/'Curve and Levers'!$B$59</f>
        <v>0.723956774729842</v>
      </c>
    </row>
    <row r="65" customFormat="false" ht="15" hidden="false" customHeight="false" outlineLevel="0" collapsed="false">
      <c r="A65" s="8" t="s">
        <v>155</v>
      </c>
      <c r="B65" s="22" t="n">
        <f aca="false">'Curve and Levers'!$B$63-'Curve and Levers'!$B$64</f>
        <v>0.214740925464118</v>
      </c>
    </row>
    <row r="66" customFormat="false" ht="15" hidden="false" customHeight="false" outlineLevel="0" collapsed="false">
      <c r="A66" s="8" t="s">
        <v>156</v>
      </c>
      <c r="B66" s="22" t="n">
        <f aca="false">'Curve and Levers'!$B$63-((Bridge!$B$18*(1+Inputs!$B$48*Inputs!$B$47))-(Inputs!$B$32+Inputs!$B$33+Inputs!$B$34))/(Inputs!$B$38*Inputs!$B$39+Inputs!$B$38*Inputs!$B$41)</f>
        <v>0.0280095281509488</v>
      </c>
      <c r="C66" s="29" t="s">
        <v>157</v>
      </c>
    </row>
    <row r="67" customFormat="false" ht="15" hidden="false" customHeight="false" outlineLevel="0" collapsed="false">
      <c r="A67" s="8" t="s">
        <v>158</v>
      </c>
      <c r="B67" s="23" t="n">
        <f aca="false">((Bridge!$B$18*(1+Inputs!$B$48*Inputs!$B$47))-(Inputs!$B$32+Inputs!$B$33+Inputs!$B$34))/(Inputs!$B$38*Inputs!$B$39+Inputs!$B$38*Inputs!$B$41)-'Curve and Levers'!$B$64</f>
        <v>0.186731397313169</v>
      </c>
      <c r="C67" s="29" t="s">
        <v>159</v>
      </c>
    </row>
    <row r="68" customFormat="false" ht="15" hidden="false" customHeight="false" outlineLevel="0" collapsed="false">
      <c r="A68" s="8" t="s">
        <v>160</v>
      </c>
      <c r="B68" s="28" t="n">
        <v>0.09</v>
      </c>
    </row>
    <row r="69" customFormat="false" ht="15" hidden="false" customHeight="false" outlineLevel="0" collapsed="false">
      <c r="A69" s="8" t="s">
        <v>161</v>
      </c>
      <c r="B69" s="28" t="n">
        <v>0.5</v>
      </c>
    </row>
    <row r="70" customFormat="false" ht="15" hidden="false" customHeight="false" outlineLevel="0" collapsed="false">
      <c r="A70" s="8" t="s">
        <v>109</v>
      </c>
      <c r="B70" s="18" t="n">
        <f aca="false">Inputs!$B$7*'Curve and Levers'!$B$68*'Curve and Levers'!$B$69</f>
        <v>12825000</v>
      </c>
    </row>
    <row r="71" customFormat="false" ht="15" hidden="false" customHeight="false" outlineLevel="0" collapsed="false">
      <c r="A71" s="8" t="s">
        <v>162</v>
      </c>
      <c r="B71" s="28" t="n">
        <v>0.06</v>
      </c>
    </row>
    <row r="72" customFormat="false" ht="15" hidden="false" customHeight="false" outlineLevel="0" collapsed="false">
      <c r="A72" s="8" t="s">
        <v>163</v>
      </c>
      <c r="B72" s="32" t="n">
        <v>7</v>
      </c>
    </row>
    <row r="73" customFormat="false" ht="15" hidden="false" customHeight="false" outlineLevel="0" collapsed="false">
      <c r="A73" s="8" t="s">
        <v>109</v>
      </c>
      <c r="B73" s="18" t="n">
        <f aca="false">Inputs!$B$7*'Curve and Levers'!$B$71*'Curve and Levers'!$B$72/12</f>
        <v>9975000</v>
      </c>
    </row>
    <row r="74" customFormat="false" ht="15" hidden="false" customHeight="false" outlineLevel="0" collapsed="false">
      <c r="A74" s="8" t="s">
        <v>164</v>
      </c>
      <c r="B74" s="20" t="n">
        <f aca="false">('Curve and Levers'!$B$70+'Curve and Levers'!$B$73)/Inputs!$B$7</f>
        <v>0.08</v>
      </c>
    </row>
    <row r="75" customFormat="false" ht="15" hidden="false" customHeight="false" outlineLevel="0" collapsed="false">
      <c r="A75" s="8" t="s">
        <v>165</v>
      </c>
      <c r="B75" s="18" t="n">
        <f aca="false">Inputs!$B$7*'Curve and Levers'!$B$71/4</f>
        <v>4275000</v>
      </c>
    </row>
    <row r="76" customFormat="false" ht="15" hidden="false" customHeight="false" outlineLevel="0" collapsed="false">
      <c r="A76" s="8" t="s">
        <v>166</v>
      </c>
      <c r="B76" s="31" t="n">
        <v>2000000</v>
      </c>
    </row>
    <row r="77" customFormat="false" ht="15" hidden="false" customHeight="false" outlineLevel="0" collapsed="false">
      <c r="A77" s="8" t="s">
        <v>167</v>
      </c>
      <c r="B77" s="20" t="n">
        <f aca="false">'Curve and Levers'!$B$76/Bridge!$B$18</f>
        <v>0.0702740688685875</v>
      </c>
      <c r="C77" s="29" t="s">
        <v>168</v>
      </c>
    </row>
    <row r="78" customFormat="false" ht="15" hidden="false" customHeight="false" outlineLevel="0" collapsed="false">
      <c r="A78" s="8" t="s">
        <v>169</v>
      </c>
      <c r="B78" s="20" t="n">
        <f aca="false">'Curve and Levers'!$B$77/Inputs!$B$47</f>
        <v>0.0319427585766307</v>
      </c>
    </row>
    <row r="79" customFormat="false" ht="15" hidden="false" customHeight="false" outlineLevel="0" collapsed="false">
      <c r="A79" s="6" t="s">
        <v>170</v>
      </c>
    </row>
    <row r="81" customFormat="false" ht="15" hidden="false" customHeight="false" outlineLevel="0" collapsed="false">
      <c r="A81" s="8" t="s">
        <v>171</v>
      </c>
      <c r="B81" s="18" t="n">
        <f aca="false">Bridge!$B$18*(1+Inputs!$B$48)</f>
        <v>26183200</v>
      </c>
    </row>
    <row r="82" customFormat="false" ht="15" hidden="false" customHeight="false" outlineLevel="0" collapsed="false">
      <c r="A82" s="8" t="s">
        <v>172</v>
      </c>
      <c r="B82" s="21" t="n">
        <f aca="false">Inputs!$B$38/'Curve and Levers'!$B$81</f>
        <v>4.58309144795136</v>
      </c>
      <c r="C82" s="29" t="s">
        <v>173</v>
      </c>
    </row>
    <row r="83" customFormat="false" ht="15" hidden="false" customHeight="false" outlineLevel="0" collapsed="false">
      <c r="A83" s="8" t="s">
        <v>174</v>
      </c>
      <c r="B83" s="24" t="n">
        <f aca="false">('Curve and Levers'!$B$81-(Inputs!$B$32+Inputs!$B$33+Inputs!$B$34))/(Inputs!$B$38*Inputs!$B$39+Inputs!$B$38*Inputs!$B$41)</f>
        <v>1.09430107526882</v>
      </c>
      <c r="C83" s="29" t="s">
        <v>175</v>
      </c>
    </row>
    <row r="84" customFormat="false" ht="15" hidden="false" customHeight="false" outlineLevel="0" collapsed="false">
      <c r="A84" s="8" t="s">
        <v>176</v>
      </c>
      <c r="B84" s="21" t="n">
        <f aca="false">Bridge!$B$22*(1+Inputs!$B$48)/(Inputs!$B$38*Inputs!$B$39+Inputs!$B$38*Inputs!$B$41)</f>
        <v>1.14752688172043</v>
      </c>
    </row>
    <row r="85" customFormat="false" ht="15" hidden="false" customHeight="false" outlineLevel="0" collapsed="false">
      <c r="A85" s="8" t="s">
        <v>177</v>
      </c>
      <c r="B85" s="22" t="n">
        <f aca="false">Downside!$C$9-'Curve and Levers'!$B$82</f>
        <v>0.533952401703071</v>
      </c>
    </row>
    <row r="86" customFormat="false" ht="15" hidden="false" customHeight="false" outlineLevel="0" collapsed="false">
      <c r="A86" s="8" t="s">
        <v>138</v>
      </c>
      <c r="B86" s="22" t="n">
        <f aca="false">'Curve and Levers'!$B$83-Downside!$C$10</f>
        <v>0.183612903225806</v>
      </c>
      <c r="C86" s="29" t="s">
        <v>178</v>
      </c>
    </row>
    <row r="87" customFormat="false" ht="15" hidden="false" customHeight="false" outlineLevel="0" collapsed="false">
      <c r="A87" s="6" t="s">
        <v>179</v>
      </c>
    </row>
    <row r="89" customFormat="false" ht="15" hidden="false" customHeight="false" outlineLevel="0" collapsed="false">
      <c r="A89" s="8" t="s">
        <v>180</v>
      </c>
      <c r="B89" s="18" t="n">
        <f aca="false">4*Bridge!$B$18</f>
        <v>113840000</v>
      </c>
    </row>
    <row r="90" customFormat="false" ht="15" hidden="false" customHeight="false" outlineLevel="0" collapsed="false">
      <c r="A90" s="8" t="s">
        <v>181</v>
      </c>
      <c r="B90" s="18" t="n">
        <f aca="false">'Curve and Levers'!$B$89*(1-Inputs!$B$49)</f>
        <v>107009600</v>
      </c>
    </row>
    <row r="91" customFormat="false" ht="15" hidden="false" customHeight="false" outlineLevel="0" collapsed="false">
      <c r="A91" s="8" t="s">
        <v>182</v>
      </c>
      <c r="B91" s="20" t="n">
        <f aca="false">MIN(Inputs!$B$38,'Curve and Levers'!$B$90)/Inputs!$B$38</f>
        <v>0.891746666666667</v>
      </c>
    </row>
    <row r="92" customFormat="false" ht="15" hidden="false" customHeight="false" outlineLevel="0" collapsed="false">
      <c r="A92" s="8" t="s">
        <v>183</v>
      </c>
      <c r="B92" s="18" t="n">
        <f aca="false">4*Bridge!$B$13*(1-Inputs!$B$49)</f>
        <v>141376000</v>
      </c>
    </row>
    <row r="93" customFormat="false" ht="15" hidden="false" customHeight="false" outlineLevel="0" collapsed="false">
      <c r="A93" s="8" t="s">
        <v>184</v>
      </c>
      <c r="B93" s="20" t="n">
        <f aca="false">'Curve and Levers'!$B$92/Inputs!$B$38</f>
        <v>1.17813333333333</v>
      </c>
    </row>
    <row r="94" customFormat="false" ht="15" hidden="false" customHeight="false" outlineLevel="0" collapsed="false">
      <c r="A94" s="8" t="s">
        <v>185</v>
      </c>
      <c r="B94" s="21" t="n">
        <f aca="false">Inputs!$B$38/(Bridge!$B$13*(1-Inputs!$B$49))</f>
        <v>3.39520144861928</v>
      </c>
    </row>
    <row r="95" customFormat="false" ht="15" hidden="false" customHeight="false" outlineLevel="0" collapsed="false">
      <c r="A95" s="8" t="s">
        <v>186</v>
      </c>
      <c r="B95" s="21" t="n">
        <f aca="false">Inputs!$B$38/(Bridge!$B$18*(1-Inputs!$B$49))</f>
        <v>4.48557886395239</v>
      </c>
    </row>
    <row r="96" customFormat="false" ht="15" hidden="false" customHeight="false" outlineLevel="0" collapsed="false">
      <c r="A96" s="8" t="s">
        <v>187</v>
      </c>
      <c r="B96" s="21" t="n">
        <f aca="false">Downside!$B$30</f>
        <v>5.44366366984514</v>
      </c>
    </row>
    <row r="97" customFormat="false" ht="15" hidden="false" customHeight="false" outlineLevel="0" collapsed="false">
      <c r="A97" s="8" t="s">
        <v>188</v>
      </c>
      <c r="B97" s="22" t="n">
        <f aca="false">'Curve and Levers'!$B$96-'Curve and Levers'!$B$95</f>
        <v>0.958084805892744</v>
      </c>
    </row>
    <row r="98" customFormat="false" ht="15" hidden="false" customHeight="false" outlineLevel="0" collapsed="false">
      <c r="A98" s="8" t="s">
        <v>189</v>
      </c>
      <c r="B98" s="22" t="n">
        <f aca="false">'Curve and Levers'!$B$96-'Curve and Levers'!$B$94</f>
        <v>2.04846222122585</v>
      </c>
    </row>
    <row r="99" customFormat="false" ht="15" hidden="false" customHeight="false" outlineLevel="0" collapsed="false">
      <c r="A99" s="8" t="s">
        <v>190</v>
      </c>
      <c r="B99" s="20" t="n">
        <f aca="false">1-(Bridge!$B$18*(1+Inputs!$B$48*Inputs!$B$47))/Bridge!$B$13</f>
        <v>0.376302127659575</v>
      </c>
      <c r="C99" s="29" t="s">
        <v>191</v>
      </c>
    </row>
    <row r="100" customFormat="false" ht="15" hidden="false" customHeight="false" outlineLevel="0" collapsed="false">
      <c r="A100" s="8" t="s">
        <v>192</v>
      </c>
      <c r="B100" s="20" t="n">
        <f aca="false">0.5*(Bridge!$B$18*(1+Inputs!$B$48*Inputs!$B$47))*(1-Inputs!$B$49)/Inputs!$B$38</f>
        <v>0.0918499066666667</v>
      </c>
    </row>
    <row r="101" customFormat="false" ht="15" hidden="false" customHeight="false" outlineLevel="0" collapsed="false">
      <c r="A101" s="8" t="s">
        <v>193</v>
      </c>
      <c r="B101" s="20" t="n">
        <f aca="false">2*'Curve and Levers'!$B$100</f>
        <v>0.183699813333333</v>
      </c>
    </row>
    <row r="102" customFormat="false" ht="15" hidden="false" customHeight="false" outlineLevel="0" collapsed="false">
      <c r="A102" s="8" t="s">
        <v>194</v>
      </c>
      <c r="B102" s="20" t="n">
        <f aca="false">'Curve and Levers'!$B$91-Downside!$D$24</f>
        <v>0.156947413333333</v>
      </c>
      <c r="C102" s="29" t="s">
        <v>195</v>
      </c>
    </row>
    <row r="103" customFormat="false" ht="15" hidden="false" customHeight="false" outlineLevel="0" collapsed="false">
      <c r="A103" s="8" t="s">
        <v>196</v>
      </c>
      <c r="B103" s="23" t="n">
        <f aca="false">'Curve and Levers'!$B$102/'Curve and Levers'!$B$101</f>
        <v>0.854368932038835</v>
      </c>
      <c r="C103" s="29" t="s">
        <v>197</v>
      </c>
    </row>
    <row r="104" customFormat="false" ht="15" hidden="false" customHeight="false" outlineLevel="0" collapsed="false">
      <c r="A104" s="8" t="s">
        <v>198</v>
      </c>
      <c r="B104" s="18" t="n">
        <f aca="false">(Bridge!$B$18*(1+Inputs!$B$48*Inputs!$B$47))*(1+Inputs!$B$48*Inputs!$B$47)</f>
        <v>19323656.96</v>
      </c>
    </row>
    <row r="105" customFormat="false" ht="15" hidden="false" customHeight="false" outlineLevel="0" collapsed="false">
      <c r="A105" s="8" t="s">
        <v>199</v>
      </c>
      <c r="B105" s="18" t="n">
        <f aca="false">4*'Curve and Levers'!$B$104*(1-Inputs!$B$49)</f>
        <v>72656950.1696</v>
      </c>
    </row>
    <row r="106" customFormat="false" ht="15" hidden="false" customHeight="false" outlineLevel="0" collapsed="false">
      <c r="A106" s="8" t="s">
        <v>182</v>
      </c>
      <c r="B106" s="20" t="n">
        <f aca="false">'Curve and Levers'!$B$105/Inputs!$B$38</f>
        <v>0.605474584746667</v>
      </c>
    </row>
    <row r="107" customFormat="false" ht="15" hidden="false" customHeight="false" outlineLevel="0" collapsed="false">
      <c r="A107" s="8" t="s">
        <v>200</v>
      </c>
      <c r="B107" s="20" t="n">
        <f aca="false">Downside!$D$24-'Curve and Levers'!$B$106</f>
        <v>0.129324668586667</v>
      </c>
      <c r="C107" s="29" t="s">
        <v>201</v>
      </c>
    </row>
    <row r="108" customFormat="false" ht="15" hidden="false" customHeight="false" outlineLevel="0" collapsed="false">
      <c r="A108" s="8" t="s">
        <v>202</v>
      </c>
      <c r="B108" s="22" t="n">
        <f aca="false">'Curve and Levers'!$B$107/'Curve and Levers'!$B$101</f>
        <v>0.704000000000001</v>
      </c>
    </row>
    <row r="109" customFormat="false" ht="15" hidden="false" customHeight="false" outlineLevel="0" collapsed="false">
      <c r="A109" s="8" t="s">
        <v>203</v>
      </c>
      <c r="B109" s="18" t="n">
        <f aca="false">4*(Bridge!$B$18*(1+Inputs!$B$48*Inputs!$B$47))*0.01</f>
        <v>938041.6</v>
      </c>
    </row>
    <row r="110" customFormat="false" ht="15" hidden="false" customHeight="false" outlineLevel="0" collapsed="false">
      <c r="A110" s="8" t="s">
        <v>204</v>
      </c>
      <c r="B110" s="20" t="n">
        <f aca="false">'Curve and Levers'!$B$109/Inputs!$B$38</f>
        <v>0.00781701333333333</v>
      </c>
    </row>
    <row r="111" customFormat="false" ht="15" hidden="false" customHeight="false" outlineLevel="0" collapsed="false">
      <c r="A111" s="8" t="s">
        <v>205</v>
      </c>
      <c r="B111" s="31" t="n">
        <v>10000000</v>
      </c>
    </row>
    <row r="112" customFormat="false" ht="15" hidden="false" customHeight="false" outlineLevel="0" collapsed="false">
      <c r="A112" s="8" t="s">
        <v>206</v>
      </c>
      <c r="B112" s="20" t="n">
        <f aca="false">MAX(0,Downside!$C$24-'Curve and Levers'!$B$111)/Inputs!$B$38</f>
        <v>0.65146592</v>
      </c>
    </row>
    <row r="113" customFormat="false" ht="15" hidden="false" customHeight="false" outlineLevel="0" collapsed="false">
      <c r="A113" s="8" t="s">
        <v>207</v>
      </c>
      <c r="B113" s="20" t="n">
        <f aca="false">Downside!$D$24-'Curve and Levers'!$B$112</f>
        <v>0.0833333333333334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58"/>
  </cols>
  <sheetData>
    <row r="1" customFormat="false" ht="24" hidden="false" customHeight="true" outlineLevel="0" collapsed="false">
      <c r="A1" s="1" t="s">
        <v>208</v>
      </c>
    </row>
    <row r="2" customFormat="false" ht="15" hidden="false" customHeight="false" outlineLevel="0" collapsed="false">
      <c r="A2" s="2" t="s">
        <v>209</v>
      </c>
    </row>
    <row r="3" customFormat="false" ht="15" hidden="false" customHeight="false" outlineLevel="0" collapsed="false">
      <c r="A3" s="3"/>
      <c r="B3" s="3"/>
      <c r="C3" s="3"/>
      <c r="D3" s="3"/>
      <c r="E3" s="3"/>
      <c r="F3" s="3"/>
    </row>
    <row r="5" customFormat="false" ht="30" hidden="false" customHeight="true" outlineLevel="0" collapsed="false">
      <c r="A5" s="10" t="s">
        <v>210</v>
      </c>
      <c r="B5" s="11" t="s">
        <v>211</v>
      </c>
      <c r="C5" s="11" t="s">
        <v>212</v>
      </c>
      <c r="D5" s="11" t="s">
        <v>213</v>
      </c>
      <c r="E5" s="11" t="s">
        <v>214</v>
      </c>
      <c r="F5" s="11" t="s">
        <v>215</v>
      </c>
      <c r="G5" s="33" t="s">
        <v>216</v>
      </c>
    </row>
    <row r="6" customFormat="false" ht="15" hidden="false" customHeight="false" outlineLevel="0" collapsed="false">
      <c r="A6" s="8" t="s">
        <v>217</v>
      </c>
      <c r="B6" s="8" t="s">
        <v>218</v>
      </c>
      <c r="C6" s="18" t="n">
        <v>23451040</v>
      </c>
      <c r="D6" s="18" t="n">
        <f aca="false">Downside!C7</f>
        <v>23451040</v>
      </c>
      <c r="E6" s="34" t="n">
        <f aca="false">D6-C6</f>
        <v>0</v>
      </c>
      <c r="F6" s="35" t="str">
        <f aca="false">IF(ABS(E6)&lt;=0.005,"PASS","FAIL")</f>
        <v>PASS</v>
      </c>
    </row>
    <row r="7" customFormat="false" ht="15" hidden="false" customHeight="false" outlineLevel="0" collapsed="false">
      <c r="A7" s="36" t="s">
        <v>217</v>
      </c>
      <c r="B7" s="36" t="s">
        <v>219</v>
      </c>
      <c r="C7" s="37" t="n">
        <v>13551040</v>
      </c>
      <c r="D7" s="37" t="n">
        <f aca="false">Downside!C8</f>
        <v>13551040</v>
      </c>
      <c r="E7" s="38" t="n">
        <f aca="false">D7-C7</f>
        <v>0</v>
      </c>
      <c r="F7" s="39" t="str">
        <f aca="false">IF(ABS(E7)&lt;=0.005,"PASS","FAIL")</f>
        <v>PASS</v>
      </c>
    </row>
    <row r="8" customFormat="false" ht="15" hidden="false" customHeight="false" outlineLevel="0" collapsed="false">
      <c r="A8" s="8" t="s">
        <v>217</v>
      </c>
      <c r="B8" s="8" t="s">
        <v>87</v>
      </c>
      <c r="C8" s="20" t="n">
        <v>-0.269879</v>
      </c>
      <c r="D8" s="20" t="n">
        <f aca="false">Downside!B16</f>
        <v>-0.269879310344828</v>
      </c>
      <c r="E8" s="34" t="n">
        <f aca="false">D8-C8</f>
        <v>-3.10344827614273E-007</v>
      </c>
      <c r="F8" s="35" t="str">
        <f aca="false">IF(ABS(E8)&lt;=0.0000005,"PASS","FAIL")</f>
        <v>PASS</v>
      </c>
    </row>
    <row r="9" customFormat="false" ht="15" hidden="false" customHeight="false" outlineLevel="0" collapsed="false">
      <c r="A9" s="36" t="s">
        <v>217</v>
      </c>
      <c r="B9" s="36" t="s">
        <v>220</v>
      </c>
      <c r="C9" s="40" t="n">
        <v>3.3735</v>
      </c>
      <c r="D9" s="40" t="n">
        <f aca="false">Downside!B15</f>
        <v>3.37349137931035</v>
      </c>
      <c r="E9" s="38" t="n">
        <f aca="false">D9-C9</f>
        <v>-8.62068965323815E-006</v>
      </c>
      <c r="F9" s="39" t="str">
        <f aca="false">IF(ABS(E9)&lt;=0.00005,"PASS","FAIL")</f>
        <v>PASS</v>
      </c>
    </row>
    <row r="10" customFormat="false" ht="15" hidden="false" customHeight="false" outlineLevel="0" collapsed="false">
      <c r="A10" s="8" t="s">
        <v>221</v>
      </c>
      <c r="B10" s="8" t="s">
        <v>222</v>
      </c>
      <c r="C10" s="21" t="n">
        <v>5.117</v>
      </c>
      <c r="D10" s="21" t="n">
        <f aca="false">Downside!C9</f>
        <v>5.11704384965443</v>
      </c>
      <c r="E10" s="34" t="n">
        <f aca="false">D10-C10</f>
        <v>4.38496544292732E-005</v>
      </c>
      <c r="F10" s="35" t="str">
        <f aca="false">IF(ABS(E10)&lt;=0.00005,"PASS","FAIL")</f>
        <v>PASS</v>
      </c>
    </row>
    <row r="11" customFormat="false" ht="15" hidden="false" customHeight="false" outlineLevel="0" collapsed="false">
      <c r="A11" s="36" t="s">
        <v>221</v>
      </c>
      <c r="B11" s="36" t="s">
        <v>223</v>
      </c>
      <c r="C11" s="41" t="n">
        <v>0.9107</v>
      </c>
      <c r="D11" s="41" t="n">
        <f aca="false">Downside!C10</f>
        <v>0.910688172043011</v>
      </c>
      <c r="E11" s="38" t="n">
        <f aca="false">D11-C11</f>
        <v>-1.18279569891744E-005</v>
      </c>
      <c r="F11" s="39" t="str">
        <f aca="false">IF(ABS(E11)&lt;=0.00005,"PASS","FAIL")</f>
        <v>PASS</v>
      </c>
    </row>
    <row r="12" customFormat="false" ht="15" hidden="false" customHeight="false" outlineLevel="0" collapsed="false">
      <c r="A12" s="8" t="s">
        <v>224</v>
      </c>
      <c r="B12" s="8" t="s">
        <v>225</v>
      </c>
      <c r="C12" s="18" t="n">
        <v>93804160</v>
      </c>
      <c r="D12" s="18" t="n">
        <f aca="false">Downside!B24</f>
        <v>93804160</v>
      </c>
      <c r="E12" s="34" t="n">
        <f aca="false">D12-C12</f>
        <v>0</v>
      </c>
      <c r="F12" s="35" t="str">
        <f aca="false">IF(ABS(E12)&lt;=0.005,"PASS","FAIL")</f>
        <v>PASS</v>
      </c>
    </row>
    <row r="13" customFormat="false" ht="15" hidden="false" customHeight="false" outlineLevel="0" collapsed="false">
      <c r="A13" s="36" t="s">
        <v>224</v>
      </c>
      <c r="B13" s="36" t="s">
        <v>226</v>
      </c>
      <c r="C13" s="37" t="n">
        <v>88175910.4</v>
      </c>
      <c r="D13" s="37" t="n">
        <f aca="false">Downside!C24</f>
        <v>88175910.4</v>
      </c>
      <c r="E13" s="38" t="n">
        <f aca="false">D13-C13</f>
        <v>0</v>
      </c>
      <c r="F13" s="39" t="str">
        <f aca="false">IF(ABS(E13)&lt;=0.005,"PASS","FAIL")</f>
        <v>PASS</v>
      </c>
    </row>
    <row r="14" customFormat="false" ht="15" hidden="false" customHeight="false" outlineLevel="0" collapsed="false">
      <c r="A14" s="8" t="s">
        <v>224</v>
      </c>
      <c r="B14" s="8" t="s">
        <v>227</v>
      </c>
      <c r="C14" s="20" t="n">
        <v>0.734799</v>
      </c>
      <c r="D14" s="20" t="n">
        <f aca="false">Downside!D24</f>
        <v>0.734799253333333</v>
      </c>
      <c r="E14" s="34" t="n">
        <f aca="false">D14-C14</f>
        <v>2.53333333311012E-007</v>
      </c>
      <c r="F14" s="35" t="str">
        <f aca="false">IF(ABS(E14)&lt;=0.0000005,"PASS","FAIL")</f>
        <v>PASS</v>
      </c>
    </row>
    <row r="15" customFormat="false" ht="15" hidden="false" customHeight="false" outlineLevel="0" collapsed="false">
      <c r="A15" s="36" t="s">
        <v>224</v>
      </c>
      <c r="B15" s="36" t="s">
        <v>228</v>
      </c>
      <c r="C15" s="42" t="n">
        <v>0.551099</v>
      </c>
      <c r="D15" s="42" t="n">
        <f aca="false">Downside!D22</f>
        <v>0.55109944</v>
      </c>
      <c r="E15" s="38" t="n">
        <f aca="false">D15-C15</f>
        <v>4.39999999990448E-007</v>
      </c>
      <c r="F15" s="39" t="str">
        <f aca="false">IF(ABS(E15)&lt;=0.0000005,"PASS","FAIL")</f>
        <v>PASS</v>
      </c>
    </row>
    <row r="16" customFormat="false" ht="15" hidden="false" customHeight="false" outlineLevel="0" collapsed="false">
      <c r="A16" s="8" t="s">
        <v>224</v>
      </c>
      <c r="B16" s="8" t="s">
        <v>229</v>
      </c>
      <c r="C16" s="20" t="n">
        <v>0.918499</v>
      </c>
      <c r="D16" s="20" t="n">
        <f aca="false">Downside!D26</f>
        <v>0.918499066666667</v>
      </c>
      <c r="E16" s="34" t="n">
        <f aca="false">D16-C16</f>
        <v>6.66666667425986E-008</v>
      </c>
      <c r="F16" s="35" t="str">
        <f aca="false">IF(ABS(E16)&lt;=0.0000005,"PASS","FAIL")</f>
        <v>PASS</v>
      </c>
    </row>
    <row r="17" customFormat="false" ht="15" hidden="false" customHeight="false" outlineLevel="0" collapsed="false">
      <c r="A17" s="36" t="s">
        <v>224</v>
      </c>
      <c r="B17" s="36" t="s">
        <v>230</v>
      </c>
      <c r="C17" s="41" t="n">
        <v>5.4437</v>
      </c>
      <c r="D17" s="41" t="n">
        <f aca="false">Downside!B30</f>
        <v>5.44366366984514</v>
      </c>
      <c r="E17" s="38" t="n">
        <f aca="false">D17-C17</f>
        <v>-3.6330154862263E-005</v>
      </c>
      <c r="F17" s="39" t="str">
        <f aca="false">IF(ABS(E17)&lt;=0.00005,"PASS","FAIL")</f>
        <v>PASS</v>
      </c>
    </row>
    <row r="18" customFormat="false" ht="15" hidden="false" customHeight="false" outlineLevel="0" collapsed="false">
      <c r="A18" s="8" t="s">
        <v>224</v>
      </c>
      <c r="B18" s="8" t="s">
        <v>103</v>
      </c>
      <c r="C18" s="21" t="n">
        <v>1.2272</v>
      </c>
      <c r="D18" s="21" t="n">
        <f aca="false">Downside!B32</f>
        <v>1.22721953772989</v>
      </c>
      <c r="E18" s="34" t="n">
        <f aca="false">D18-C18</f>
        <v>1.95377298879418E-005</v>
      </c>
      <c r="F18" s="35" t="str">
        <f aca="false">IF(ABS(E18)&lt;=0.00005,"PASS","FAIL")</f>
        <v>PASS</v>
      </c>
    </row>
    <row r="19" customFormat="false" ht="15" hidden="false" customHeight="false" outlineLevel="0" collapsed="false">
      <c r="A19" s="36" t="s">
        <v>224</v>
      </c>
      <c r="B19" s="36" t="s">
        <v>231</v>
      </c>
      <c r="C19" s="41" t="n">
        <v>3.1915</v>
      </c>
      <c r="D19" s="41" t="n">
        <f aca="false">Downside!B33</f>
        <v>3.19148936170213</v>
      </c>
      <c r="E19" s="38" t="n">
        <f aca="false">D19-C19</f>
        <v>-1.06382978724007E-005</v>
      </c>
      <c r="F19" s="39" t="str">
        <f aca="false">IF(ABS(E19)&lt;=0.00005,"PASS","FAIL")</f>
        <v>PASS</v>
      </c>
    </row>
    <row r="20" customFormat="false" ht="15" hidden="false" customHeight="false" outlineLevel="0" collapsed="false">
      <c r="A20" s="8" t="s">
        <v>217</v>
      </c>
      <c r="B20" s="8" t="s">
        <v>108</v>
      </c>
      <c r="C20" s="18" t="n">
        <v>262200000</v>
      </c>
      <c r="D20" s="18" t="n">
        <f aca="false">'Curve and Levers'!B7</f>
        <v>262200000</v>
      </c>
      <c r="E20" s="34" t="n">
        <f aca="false">D20-C20</f>
        <v>0</v>
      </c>
      <c r="F20" s="13" t="str">
        <f aca="false">IF(ABS(E20)&lt;=0.005,"PASS","FAIL")</f>
        <v>PASS</v>
      </c>
      <c r="G20" s="29"/>
    </row>
    <row r="21" customFormat="false" ht="15" hidden="false" customHeight="false" outlineLevel="0" collapsed="false">
      <c r="A21" s="36" t="s">
        <v>217</v>
      </c>
      <c r="B21" s="36" t="s">
        <v>232</v>
      </c>
      <c r="C21" s="37" t="n">
        <v>22800000</v>
      </c>
      <c r="D21" s="37" t="n">
        <f aca="false">'Curve and Levers'!B8</f>
        <v>22800000</v>
      </c>
      <c r="E21" s="38" t="n">
        <f aca="false">D21-C21</f>
        <v>0</v>
      </c>
      <c r="F21" s="43" t="str">
        <f aca="false">IF(ABS(E21)&lt;=0.005,"PASS","FAIL")</f>
        <v>PASS</v>
      </c>
      <c r="G21" s="29"/>
    </row>
    <row r="22" customFormat="false" ht="15" hidden="false" customHeight="false" outlineLevel="0" collapsed="false">
      <c r="A22" s="8" t="s">
        <v>217</v>
      </c>
      <c r="B22" s="8" t="s">
        <v>233</v>
      </c>
      <c r="C22" s="18" t="n">
        <v>62612000</v>
      </c>
      <c r="D22" s="18" t="n">
        <f aca="false">'Curve and Levers'!B9</f>
        <v>62612000</v>
      </c>
      <c r="E22" s="34" t="n">
        <f aca="false">D22-C22</f>
        <v>0</v>
      </c>
      <c r="F22" s="13" t="str">
        <f aca="false">IF(ABS(E22)&lt;=0.005,"PASS","FAIL")</f>
        <v>PASS</v>
      </c>
      <c r="G22" s="29"/>
    </row>
    <row r="23" customFormat="false" ht="15" hidden="false" customHeight="false" outlineLevel="0" collapsed="false">
      <c r="A23" s="36" t="s">
        <v>217</v>
      </c>
      <c r="B23" s="36" t="s">
        <v>111</v>
      </c>
      <c r="C23" s="42" t="n">
        <v>0.219691</v>
      </c>
      <c r="D23" s="42" t="n">
        <f aca="false">'Curve and Levers'!B10</f>
        <v>0.219691228070175</v>
      </c>
      <c r="E23" s="38" t="n">
        <f aca="false">D23-C23</f>
        <v>2.28070175467554E-007</v>
      </c>
      <c r="F23" s="43" t="str">
        <f aca="false">IF(ABS(E23)&lt;=0.0000005,"PASS","FAIL")</f>
        <v>PASS</v>
      </c>
      <c r="G23" s="29"/>
    </row>
    <row r="24" customFormat="false" ht="15" hidden="false" customHeight="false" outlineLevel="0" collapsed="false">
      <c r="A24" s="8" t="s">
        <v>217</v>
      </c>
      <c r="B24" s="8" t="s">
        <v>234</v>
      </c>
      <c r="C24" s="20" t="n">
        <v>0.780309</v>
      </c>
      <c r="D24" s="20" t="n">
        <f aca="false">'Curve and Levers'!B11</f>
        <v>0.780308771929825</v>
      </c>
      <c r="E24" s="34" t="n">
        <f aca="false">D24-C24</f>
        <v>-2.28070175523065E-007</v>
      </c>
      <c r="F24" s="13" t="str">
        <f aca="false">IF(ABS(E24)&lt;=0.0000005,"PASS","FAIL")</f>
        <v>PASS</v>
      </c>
      <c r="G24" s="29"/>
    </row>
    <row r="25" customFormat="false" ht="15" hidden="false" customHeight="false" outlineLevel="0" collapsed="false">
      <c r="A25" s="36" t="s">
        <v>217</v>
      </c>
      <c r="B25" s="36" t="s">
        <v>113</v>
      </c>
      <c r="C25" s="37" t="n">
        <v>34152000</v>
      </c>
      <c r="D25" s="37" t="n">
        <f aca="false">'Curve and Levers'!B12</f>
        <v>34152000</v>
      </c>
      <c r="E25" s="38" t="n">
        <f aca="false">D25-C25</f>
        <v>0</v>
      </c>
      <c r="F25" s="43" t="str">
        <f aca="false">IF(ABS(E25)&lt;=0.005,"PASS","FAIL")</f>
        <v>PASS</v>
      </c>
      <c r="G25" s="29"/>
    </row>
    <row r="26" customFormat="false" ht="15" hidden="false" customHeight="false" outlineLevel="0" collapsed="false">
      <c r="A26" s="8" t="s">
        <v>217</v>
      </c>
      <c r="B26" s="8" t="s">
        <v>235</v>
      </c>
      <c r="C26" s="18" t="n">
        <v>44052000</v>
      </c>
      <c r="D26" s="18" t="n">
        <f aca="false">'Curve and Levers'!B13</f>
        <v>44052000</v>
      </c>
      <c r="E26" s="34" t="n">
        <f aca="false">D26-C26</f>
        <v>0</v>
      </c>
      <c r="F26" s="13" t="str">
        <f aca="false">IF(ABS(E26)&lt;=0.005,"PASS","FAIL")</f>
        <v>PASS</v>
      </c>
      <c r="G26" s="29"/>
    </row>
    <row r="27" customFormat="false" ht="15" hidden="false" customHeight="false" outlineLevel="0" collapsed="false">
      <c r="A27" s="36" t="s">
        <v>217</v>
      </c>
      <c r="B27" s="36" t="s">
        <v>115</v>
      </c>
      <c r="C27" s="37" t="n">
        <v>57603040</v>
      </c>
      <c r="D27" s="37" t="n">
        <f aca="false">'Curve and Levers'!B14</f>
        <v>57603040</v>
      </c>
      <c r="E27" s="38" t="n">
        <f aca="false">D27-C27</f>
        <v>0</v>
      </c>
      <c r="F27" s="43" t="str">
        <f aca="false">IF(ABS(E27)&lt;=0.005,"PASS","FAIL")</f>
        <v>PASS</v>
      </c>
      <c r="G27" s="29"/>
    </row>
    <row r="28" customFormat="false" ht="15" hidden="false" customHeight="false" outlineLevel="0" collapsed="false">
      <c r="A28" s="8" t="s">
        <v>217</v>
      </c>
      <c r="B28" s="8" t="s">
        <v>236</v>
      </c>
      <c r="C28" s="18" t="n">
        <v>13551040</v>
      </c>
      <c r="D28" s="18" t="n">
        <f aca="false">'Curve and Levers'!B15</f>
        <v>13551040</v>
      </c>
      <c r="E28" s="34" t="n">
        <f aca="false">D28-C28</f>
        <v>0</v>
      </c>
      <c r="F28" s="13" t="str">
        <f aca="false">IF(ABS(E28)&lt;=0.005,"PASS","FAIL")</f>
        <v>PASS</v>
      </c>
      <c r="G28" s="29"/>
    </row>
    <row r="29" customFormat="false" ht="15" hidden="false" customHeight="false" outlineLevel="0" collapsed="false">
      <c r="A29" s="36" t="s">
        <v>217</v>
      </c>
      <c r="B29" s="36" t="s">
        <v>237</v>
      </c>
      <c r="C29" s="40" t="n">
        <v>1.5334</v>
      </c>
      <c r="D29" s="40" t="n">
        <f aca="false">'Curve and Levers'!B16</f>
        <v>1.53340517241379</v>
      </c>
      <c r="E29" s="38" t="n">
        <f aca="false">D29-C29</f>
        <v>5.17241379305311E-006</v>
      </c>
      <c r="F29" s="43" t="str">
        <f aca="false">IF(ABS(E29)&lt;=0.00005,"PASS","FAIL")</f>
        <v>PASS</v>
      </c>
      <c r="G29" s="29"/>
    </row>
    <row r="30" customFormat="false" ht="15" hidden="false" customHeight="false" outlineLevel="0" collapsed="false">
      <c r="A30" s="8" t="s">
        <v>217</v>
      </c>
      <c r="B30" s="8" t="s">
        <v>238</v>
      </c>
      <c r="C30" s="18" t="n">
        <v>27207760</v>
      </c>
      <c r="D30" s="18" t="n">
        <f aca="false">'Curve and Levers'!B18</f>
        <v>27207760</v>
      </c>
      <c r="E30" s="34" t="n">
        <f aca="false">D30-C30</f>
        <v>0</v>
      </c>
      <c r="F30" s="13" t="str">
        <f aca="false">IF(ABS(E30)&lt;=0.005,"PASS","FAIL")</f>
        <v>PASS</v>
      </c>
      <c r="G30" s="29"/>
    </row>
    <row r="31" customFormat="false" ht="15" hidden="false" customHeight="false" outlineLevel="0" collapsed="false">
      <c r="A31" s="36" t="s">
        <v>217</v>
      </c>
      <c r="B31" s="36" t="s">
        <v>239</v>
      </c>
      <c r="C31" s="37" t="n">
        <v>17307760</v>
      </c>
      <c r="D31" s="37" t="n">
        <f aca="false">'Curve and Levers'!C18</f>
        <v>17307760</v>
      </c>
      <c r="E31" s="38" t="n">
        <f aca="false">D31-C31</f>
        <v>0</v>
      </c>
      <c r="F31" s="43" t="str">
        <f aca="false">IF(ABS(E31)&lt;=0.005,"PASS","FAIL")</f>
        <v>PASS</v>
      </c>
      <c r="G31" s="29"/>
    </row>
    <row r="32" customFormat="false" ht="15" hidden="false" customHeight="false" outlineLevel="0" collapsed="false">
      <c r="A32" s="8" t="s">
        <v>217</v>
      </c>
      <c r="B32" s="8" t="s">
        <v>172</v>
      </c>
      <c r="C32" s="21" t="n">
        <v>4.4105</v>
      </c>
      <c r="D32" s="21" t="n">
        <f aca="false">'Curve and Levers'!D18</f>
        <v>4.4105064143465</v>
      </c>
      <c r="E32" s="34" t="n">
        <f aca="false">D32-C32</f>
        <v>6.41434649573114E-006</v>
      </c>
      <c r="F32" s="13" t="str">
        <f aca="false">IF(ABS(E32)&lt;=0.00005,"PASS","FAIL")</f>
        <v>PASS</v>
      </c>
      <c r="G32" s="29"/>
    </row>
    <row r="33" customFormat="false" ht="15" hidden="false" customHeight="false" outlineLevel="0" collapsed="false">
      <c r="A33" s="36" t="s">
        <v>217</v>
      </c>
      <c r="B33" s="36" t="s">
        <v>138</v>
      </c>
      <c r="C33" s="41" t="n">
        <v>1.1632</v>
      </c>
      <c r="D33" s="41" t="n">
        <f aca="false">'Curve and Levers'!E18</f>
        <v>1.16315591397849</v>
      </c>
      <c r="E33" s="38" t="n">
        <f aca="false">D33-C33</f>
        <v>-4.40860215054073E-005</v>
      </c>
      <c r="F33" s="43" t="str">
        <f aca="false">IF(ABS(E33)&lt;=0.00005,"PASS","FAIL")</f>
        <v>PASS</v>
      </c>
      <c r="G33" s="29"/>
    </row>
    <row r="34" customFormat="false" ht="15" hidden="false" customHeight="false" outlineLevel="0" collapsed="false">
      <c r="A34" s="8" t="s">
        <v>217</v>
      </c>
      <c r="B34" s="8" t="s">
        <v>240</v>
      </c>
      <c r="C34" s="18" t="n">
        <v>25955520</v>
      </c>
      <c r="D34" s="18" t="n">
        <f aca="false">'Curve and Levers'!B19</f>
        <v>25955520</v>
      </c>
      <c r="E34" s="34" t="n">
        <f aca="false">D34-C34</f>
        <v>0</v>
      </c>
      <c r="F34" s="13" t="str">
        <f aca="false">IF(ABS(E34)&lt;=0.005,"PASS","FAIL")</f>
        <v>PASS</v>
      </c>
      <c r="G34" s="29"/>
    </row>
    <row r="35" customFormat="false" ht="15" hidden="false" customHeight="false" outlineLevel="0" collapsed="false">
      <c r="A35" s="36" t="s">
        <v>217</v>
      </c>
      <c r="B35" s="36" t="s">
        <v>239</v>
      </c>
      <c r="C35" s="37" t="n">
        <v>16055520</v>
      </c>
      <c r="D35" s="37" t="n">
        <f aca="false">'Curve and Levers'!C19</f>
        <v>16055520</v>
      </c>
      <c r="E35" s="38" t="n">
        <f aca="false">D35-C35</f>
        <v>0</v>
      </c>
      <c r="F35" s="43" t="str">
        <f aca="false">IF(ABS(E35)&lt;=0.005,"PASS","FAIL")</f>
        <v>PASS</v>
      </c>
      <c r="G35" s="29"/>
    </row>
    <row r="36" customFormat="false" ht="15" hidden="false" customHeight="false" outlineLevel="0" collapsed="false">
      <c r="A36" s="8" t="s">
        <v>217</v>
      </c>
      <c r="B36" s="8" t="s">
        <v>172</v>
      </c>
      <c r="C36" s="21" t="n">
        <v>4.6233</v>
      </c>
      <c r="D36" s="21" t="n">
        <f aca="false">'Curve and Levers'!D19</f>
        <v>4.62329400451234</v>
      </c>
      <c r="E36" s="34" t="n">
        <f aca="false">D36-C36</f>
        <v>-5.99548766544444E-006</v>
      </c>
      <c r="F36" s="13" t="str">
        <f aca="false">IF(ABS(E36)&lt;=0.00005,"PASS","FAIL")</f>
        <v>PASS</v>
      </c>
      <c r="G36" s="29"/>
    </row>
    <row r="37" customFormat="false" ht="15" hidden="false" customHeight="false" outlineLevel="0" collapsed="false">
      <c r="A37" s="36" t="s">
        <v>217</v>
      </c>
      <c r="B37" s="36" t="s">
        <v>138</v>
      </c>
      <c r="C37" s="41" t="n">
        <v>1.079</v>
      </c>
      <c r="D37" s="41" t="n">
        <f aca="false">'Curve and Levers'!E19</f>
        <v>1.079</v>
      </c>
      <c r="E37" s="38" t="n">
        <f aca="false">D37-C37</f>
        <v>0</v>
      </c>
      <c r="F37" s="43" t="str">
        <f aca="false">IF(ABS(E37)&lt;=0.00005,"PASS","FAIL")</f>
        <v>PASS</v>
      </c>
      <c r="G37" s="29"/>
    </row>
    <row r="38" customFormat="false" ht="15" hidden="false" customHeight="false" outlineLevel="0" collapsed="false">
      <c r="A38" s="8" t="s">
        <v>217</v>
      </c>
      <c r="B38" s="8" t="s">
        <v>241</v>
      </c>
      <c r="C38" s="18" t="n">
        <v>24703280</v>
      </c>
      <c r="D38" s="18" t="n">
        <f aca="false">'Curve and Levers'!B20</f>
        <v>24703280</v>
      </c>
      <c r="E38" s="34" t="n">
        <f aca="false">D38-C38</f>
        <v>0</v>
      </c>
      <c r="F38" s="13" t="str">
        <f aca="false">IF(ABS(E38)&lt;=0.005,"PASS","FAIL")</f>
        <v>PASS</v>
      </c>
      <c r="G38" s="29"/>
    </row>
    <row r="39" customFormat="false" ht="15" hidden="false" customHeight="false" outlineLevel="0" collapsed="false">
      <c r="A39" s="36" t="s">
        <v>217</v>
      </c>
      <c r="B39" s="36" t="s">
        <v>239</v>
      </c>
      <c r="C39" s="37" t="n">
        <v>14803280</v>
      </c>
      <c r="D39" s="37" t="n">
        <f aca="false">'Curve and Levers'!C20</f>
        <v>14803280</v>
      </c>
      <c r="E39" s="38" t="n">
        <f aca="false">D39-C39</f>
        <v>0</v>
      </c>
      <c r="F39" s="43" t="str">
        <f aca="false">IF(ABS(E39)&lt;=0.005,"PASS","FAIL")</f>
        <v>PASS</v>
      </c>
      <c r="G39" s="29"/>
    </row>
    <row r="40" customFormat="false" ht="15" hidden="false" customHeight="false" outlineLevel="0" collapsed="false">
      <c r="A40" s="8" t="s">
        <v>217</v>
      </c>
      <c r="B40" s="8" t="s">
        <v>172</v>
      </c>
      <c r="C40" s="21" t="n">
        <v>4.8577</v>
      </c>
      <c r="D40" s="21" t="n">
        <f aca="false">'Curve and Levers'!D20</f>
        <v>4.85765453008669</v>
      </c>
      <c r="E40" s="34" t="n">
        <f aca="false">D40-C40</f>
        <v>-4.54699133074499E-005</v>
      </c>
      <c r="F40" s="13" t="str">
        <f aca="false">IF(ABS(E40)&lt;=0.00005,"PASS","FAIL")</f>
        <v>PASS</v>
      </c>
      <c r="G40" s="29"/>
    </row>
    <row r="41" customFormat="false" ht="15" hidden="false" customHeight="false" outlineLevel="0" collapsed="false">
      <c r="A41" s="36" t="s">
        <v>217</v>
      </c>
      <c r="B41" s="36" t="s">
        <v>138</v>
      </c>
      <c r="C41" s="41" t="n">
        <v>0.9948</v>
      </c>
      <c r="D41" s="41" t="n">
        <f aca="false">'Curve and Levers'!E20</f>
        <v>0.994844086021505</v>
      </c>
      <c r="E41" s="38" t="n">
        <f aca="false">D41-C41</f>
        <v>4.40860215054073E-005</v>
      </c>
      <c r="F41" s="43" t="str">
        <f aca="false">IF(ABS(E41)&lt;=0.00005,"PASS","FAIL")</f>
        <v>PASS</v>
      </c>
      <c r="G41" s="29"/>
    </row>
    <row r="42" customFormat="false" ht="15" hidden="false" customHeight="false" outlineLevel="0" collapsed="false">
      <c r="A42" s="8" t="s">
        <v>217</v>
      </c>
      <c r="B42" s="8" t="s">
        <v>242</v>
      </c>
      <c r="C42" s="18" t="n">
        <v>22198800</v>
      </c>
      <c r="D42" s="18" t="n">
        <f aca="false">'Curve and Levers'!B22</f>
        <v>22198800</v>
      </c>
      <c r="E42" s="34" t="n">
        <f aca="false">D42-C42</f>
        <v>0</v>
      </c>
      <c r="F42" s="13" t="str">
        <f aca="false">IF(ABS(E42)&lt;=0.005,"PASS","FAIL")</f>
        <v>PASS</v>
      </c>
      <c r="G42" s="29"/>
    </row>
    <row r="43" customFormat="false" ht="15" hidden="false" customHeight="false" outlineLevel="0" collapsed="false">
      <c r="A43" s="36" t="s">
        <v>217</v>
      </c>
      <c r="B43" s="36" t="s">
        <v>239</v>
      </c>
      <c r="C43" s="37" t="n">
        <v>12298800</v>
      </c>
      <c r="D43" s="37" t="n">
        <f aca="false">'Curve and Levers'!C22</f>
        <v>12298800</v>
      </c>
      <c r="E43" s="38" t="n">
        <f aca="false">D43-C43</f>
        <v>0</v>
      </c>
      <c r="F43" s="43" t="str">
        <f aca="false">IF(ABS(E43)&lt;=0.005,"PASS","FAIL")</f>
        <v>PASS</v>
      </c>
      <c r="G43" s="29"/>
    </row>
    <row r="44" customFormat="false" ht="15" hidden="false" customHeight="false" outlineLevel="0" collapsed="false">
      <c r="A44" s="8" t="s">
        <v>217</v>
      </c>
      <c r="B44" s="8" t="s">
        <v>172</v>
      </c>
      <c r="C44" s="21" t="n">
        <v>5.4057</v>
      </c>
      <c r="D44" s="21" t="n">
        <f aca="false">'Curve and Levers'!D22</f>
        <v>5.40569760527596</v>
      </c>
      <c r="E44" s="34" t="n">
        <f aca="false">D44-C44</f>
        <v>-2.39472403951169E-006</v>
      </c>
      <c r="F44" s="13" t="str">
        <f aca="false">IF(ABS(E44)&lt;=0.00005,"PASS","FAIL")</f>
        <v>PASS</v>
      </c>
      <c r="G44" s="29"/>
    </row>
    <row r="45" customFormat="false" ht="15" hidden="false" customHeight="false" outlineLevel="0" collapsed="false">
      <c r="A45" s="36" t="s">
        <v>217</v>
      </c>
      <c r="B45" s="36" t="s">
        <v>138</v>
      </c>
      <c r="C45" s="41" t="n">
        <v>0.8265</v>
      </c>
      <c r="D45" s="41" t="n">
        <f aca="false">'Curve and Levers'!E22</f>
        <v>0.826532258064516</v>
      </c>
      <c r="E45" s="38" t="n">
        <f aca="false">D45-C45</f>
        <v>3.22580645161219E-005</v>
      </c>
      <c r="F45" s="43" t="str">
        <f aca="false">IF(ABS(E45)&lt;=0.00005,"PASS","FAIL")</f>
        <v>PASS</v>
      </c>
      <c r="G45" s="29"/>
    </row>
    <row r="46" customFormat="false" ht="15" hidden="false" customHeight="false" outlineLevel="0" collapsed="false">
      <c r="A46" s="8" t="s">
        <v>217</v>
      </c>
      <c r="B46" s="8" t="s">
        <v>243</v>
      </c>
      <c r="C46" s="20" t="n">
        <v>0.058775</v>
      </c>
      <c r="D46" s="20" t="n">
        <f aca="false">'Curve and Levers'!B23</f>
        <v>0.0587746757810005</v>
      </c>
      <c r="E46" s="34" t="n">
        <f aca="false">D46-C46</f>
        <v>-3.24218999515902E-007</v>
      </c>
      <c r="F46" s="13" t="str">
        <f aca="false">IF(ABS(E46)&lt;=0.0000005,"PASS","FAIL")</f>
        <v>PASS</v>
      </c>
      <c r="G46" s="29"/>
    </row>
    <row r="47" customFormat="false" ht="15" hidden="false" customHeight="false" outlineLevel="0" collapsed="false">
      <c r="A47" s="36" t="s">
        <v>217</v>
      </c>
      <c r="B47" s="36" t="s">
        <v>122</v>
      </c>
      <c r="C47" s="42" t="n">
        <v>0.003589</v>
      </c>
      <c r="D47" s="42" t="n">
        <f aca="false">'Curve and Levers'!B24</f>
        <v>0.00358886287537436</v>
      </c>
      <c r="E47" s="38" t="n">
        <f aca="false">D47-C47</f>
        <v>-1.37124625640851E-007</v>
      </c>
      <c r="F47" s="43" t="str">
        <f aca="false">IF(ABS(E47)&lt;=0.0000005,"PASS","FAIL")</f>
        <v>PASS</v>
      </c>
      <c r="G47" s="29"/>
    </row>
    <row r="48" customFormat="false" ht="15" hidden="false" customHeight="false" outlineLevel="0" collapsed="false">
      <c r="A48" s="8" t="s">
        <v>221</v>
      </c>
      <c r="B48" s="8" t="s">
        <v>123</v>
      </c>
      <c r="C48" s="18" t="n">
        <v>1022825.92</v>
      </c>
      <c r="D48" s="18" t="n">
        <f aca="false">'Curve and Levers'!B25</f>
        <v>1022825.91948169</v>
      </c>
      <c r="E48" s="34" t="n">
        <f aca="false">D48-C48</f>
        <v>-0.000518307671882212</v>
      </c>
      <c r="F48" s="13" t="str">
        <f aca="false">IF(ABS(E48)&lt;=0.005,"PASS","FAIL")</f>
        <v>PASS</v>
      </c>
      <c r="G48" s="29" t="s">
        <v>244</v>
      </c>
    </row>
    <row r="49" customFormat="false" ht="15" hidden="false" customHeight="false" outlineLevel="0" collapsed="false">
      <c r="A49" s="36" t="s">
        <v>217</v>
      </c>
      <c r="B49" s="36" t="s">
        <v>126</v>
      </c>
      <c r="C49" s="42" t="n">
        <v>0.011244</v>
      </c>
      <c r="D49" s="42" t="n">
        <f aca="false">'Curve and Levers'!B27</f>
        <v>0.011243851018974</v>
      </c>
      <c r="E49" s="38" t="n">
        <f aca="false">D49-C49</f>
        <v>-1.48981026001915E-007</v>
      </c>
      <c r="F49" s="43" t="str">
        <f aca="false">IF(ABS(E49)&lt;=0.0000005,"PASS","FAIL")</f>
        <v>PASS</v>
      </c>
      <c r="G49" s="29"/>
    </row>
    <row r="50" customFormat="false" ht="15" hidden="false" customHeight="false" outlineLevel="0" collapsed="false">
      <c r="A50" s="8" t="s">
        <v>221</v>
      </c>
      <c r="B50" s="8" t="s">
        <v>123</v>
      </c>
      <c r="C50" s="18" t="n">
        <v>3204497.54</v>
      </c>
      <c r="D50" s="18" t="n">
        <f aca="false">'Curve and Levers'!B28</f>
        <v>3204497.54040759</v>
      </c>
      <c r="E50" s="34" t="n">
        <f aca="false">D50-C50</f>
        <v>0.000407589599490166</v>
      </c>
      <c r="F50" s="13" t="str">
        <f aca="false">IF(ABS(E50)&lt;=0.005,"PASS","FAIL")</f>
        <v>PASS</v>
      </c>
      <c r="G50" s="29" t="s">
        <v>245</v>
      </c>
    </row>
    <row r="51" customFormat="false" ht="15" hidden="false" customHeight="false" outlineLevel="0" collapsed="false">
      <c r="A51" s="36" t="s">
        <v>221</v>
      </c>
      <c r="B51" s="36" t="s">
        <v>128</v>
      </c>
      <c r="C51" s="42" t="n">
        <v>0.011244</v>
      </c>
      <c r="D51" s="42" t="n">
        <f aca="false">'Curve and Levers'!B30</f>
        <v>0.011243851018974</v>
      </c>
      <c r="E51" s="38" t="n">
        <f aca="false">D51-C51</f>
        <v>-1.48981026008854E-007</v>
      </c>
      <c r="F51" s="43" t="str">
        <f aca="false">IF(ABS(E51)&lt;=0.0000005,"PASS","FAIL")</f>
        <v>PASS</v>
      </c>
      <c r="G51" s="29"/>
    </row>
    <row r="52" customFormat="false" ht="15" hidden="false" customHeight="false" outlineLevel="0" collapsed="false">
      <c r="A52" s="8" t="s">
        <v>221</v>
      </c>
      <c r="B52" s="8" t="s">
        <v>129</v>
      </c>
      <c r="C52" s="18" t="n">
        <v>780821.92</v>
      </c>
      <c r="D52" s="18" t="n">
        <f aca="false">'Curve and Levers'!B31</f>
        <v>780821.917808219</v>
      </c>
      <c r="E52" s="34" t="n">
        <f aca="false">D52-C52</f>
        <v>-0.00219178083352745</v>
      </c>
      <c r="F52" s="13" t="str">
        <f aca="false">IF(ABS(E52)&lt;=0.005,"PASS","FAIL")</f>
        <v>PASS</v>
      </c>
      <c r="G52" s="29"/>
    </row>
    <row r="53" customFormat="false" ht="15" hidden="false" customHeight="false" outlineLevel="0" collapsed="false">
      <c r="A53" s="36" t="s">
        <v>217</v>
      </c>
      <c r="B53" s="36" t="s">
        <v>246</v>
      </c>
      <c r="C53" s="42" t="n">
        <v>0.184009</v>
      </c>
      <c r="D53" s="42" t="n">
        <f aca="false">'Curve and Levers'!B36</f>
        <v>0.184008620689655</v>
      </c>
      <c r="E53" s="38" t="n">
        <f aca="false">D53-C53</f>
        <v>-3.79310344827966E-007</v>
      </c>
      <c r="F53" s="43" t="str">
        <f aca="false">IF(ABS(E53)&lt;=0.0000005,"PASS","FAIL")</f>
        <v>PASS</v>
      </c>
      <c r="G53" s="29"/>
    </row>
    <row r="54" customFormat="false" ht="15" hidden="false" customHeight="false" outlineLevel="0" collapsed="false">
      <c r="A54" s="8" t="s">
        <v>217</v>
      </c>
      <c r="B54" s="8" t="s">
        <v>134</v>
      </c>
      <c r="C54" s="22" t="n">
        <v>2.3001</v>
      </c>
      <c r="D54" s="22" t="n">
        <f aca="false">'Curve and Levers'!B37</f>
        <v>2.30010775862069</v>
      </c>
      <c r="E54" s="34" t="n">
        <f aca="false">D54-C54</f>
        <v>7.75862068946864E-006</v>
      </c>
      <c r="F54" s="13" t="str">
        <f aca="false">IF(ABS(E54)&lt;=0.00005,"PASS","FAIL")</f>
        <v>PASS</v>
      </c>
      <c r="G54" s="29"/>
    </row>
    <row r="55" customFormat="false" ht="15" hidden="false" customHeight="false" outlineLevel="0" collapsed="false">
      <c r="A55" s="36" t="s">
        <v>217</v>
      </c>
      <c r="B55" s="36" t="s">
        <v>247</v>
      </c>
      <c r="C55" s="37" t="n">
        <v>15551040</v>
      </c>
      <c r="D55" s="37" t="n">
        <f aca="false">'Curve and Levers'!B39</f>
        <v>15551040</v>
      </c>
      <c r="E55" s="38" t="n">
        <f aca="false">D55-C55</f>
        <v>0</v>
      </c>
      <c r="F55" s="43" t="str">
        <f aca="false">IF(ABS(E55)&lt;=0.005,"PASS","FAIL")</f>
        <v>PASS</v>
      </c>
      <c r="G55" s="29"/>
    </row>
    <row r="56" customFormat="false" ht="15" hidden="false" customHeight="false" outlineLevel="0" collapsed="false">
      <c r="A56" s="8" t="s">
        <v>217</v>
      </c>
      <c r="B56" s="8" t="s">
        <v>133</v>
      </c>
      <c r="C56" s="20" t="n">
        <v>0.162121</v>
      </c>
      <c r="D56" s="20" t="n">
        <f aca="false">'Curve and Levers'!B40</f>
        <v>0.162120689655172</v>
      </c>
      <c r="E56" s="34" t="n">
        <f aca="false">D56-C56</f>
        <v>-3.10344827531006E-007</v>
      </c>
      <c r="F56" s="13" t="str">
        <f aca="false">IF(ABS(E56)&lt;=0.0000005,"PASS","FAIL")</f>
        <v>PASS</v>
      </c>
      <c r="G56" s="29"/>
    </row>
    <row r="57" customFormat="false" ht="15" hidden="false" customHeight="false" outlineLevel="0" collapsed="false">
      <c r="A57" s="36" t="s">
        <v>217</v>
      </c>
      <c r="B57" s="36" t="s">
        <v>134</v>
      </c>
      <c r="C57" s="40" t="n">
        <v>2.0265</v>
      </c>
      <c r="D57" s="40" t="n">
        <f aca="false">'Curve and Levers'!B41</f>
        <v>2.02650862068966</v>
      </c>
      <c r="E57" s="38" t="n">
        <f aca="false">D57-C57</f>
        <v>8.62068965590268E-006</v>
      </c>
      <c r="F57" s="43" t="str">
        <f aca="false">IF(ABS(E57)&lt;=0.00005,"PASS","FAIL")</f>
        <v>PASS</v>
      </c>
      <c r="G57" s="29"/>
    </row>
    <row r="58" customFormat="false" ht="15" hidden="false" customHeight="false" outlineLevel="0" collapsed="false">
      <c r="A58" s="8" t="s">
        <v>217</v>
      </c>
      <c r="B58" s="8" t="s">
        <v>248</v>
      </c>
      <c r="C58" s="18" t="n">
        <v>1730400</v>
      </c>
      <c r="D58" s="18" t="n">
        <f aca="false">'Curve and Levers'!B42</f>
        <v>1730400</v>
      </c>
      <c r="E58" s="34" t="n">
        <f aca="false">D58-C58</f>
        <v>0</v>
      </c>
      <c r="F58" s="13" t="str">
        <f aca="false">IF(ABS(E58)&lt;=0.005,"PASS","FAIL")</f>
        <v>PASS</v>
      </c>
      <c r="G58" s="29"/>
    </row>
    <row r="59" customFormat="false" ht="15" hidden="false" customHeight="false" outlineLevel="0" collapsed="false">
      <c r="A59" s="36" t="s">
        <v>217</v>
      </c>
      <c r="B59" s="36" t="s">
        <v>239</v>
      </c>
      <c r="C59" s="37" t="n">
        <v>13920640</v>
      </c>
      <c r="D59" s="37" t="n">
        <f aca="false">'Curve and Levers'!B43</f>
        <v>13920640</v>
      </c>
      <c r="E59" s="38" t="n">
        <f aca="false">D59-C59</f>
        <v>0</v>
      </c>
      <c r="F59" s="43" t="str">
        <f aca="false">IF(ABS(E59)&lt;=0.005,"PASS","FAIL")</f>
        <v>PASS</v>
      </c>
      <c r="G59" s="29"/>
    </row>
    <row r="60" customFormat="false" ht="15" hidden="false" customHeight="false" outlineLevel="0" collapsed="false">
      <c r="A60" s="8" t="s">
        <v>217</v>
      </c>
      <c r="B60" s="8" t="s">
        <v>133</v>
      </c>
      <c r="C60" s="20" t="n">
        <v>0.249966</v>
      </c>
      <c r="D60" s="20" t="n">
        <f aca="false">'Curve and Levers'!B44</f>
        <v>0.249965517241379</v>
      </c>
      <c r="E60" s="34" t="n">
        <f aca="false">D60-C60</f>
        <v>-4.82758620717894E-007</v>
      </c>
      <c r="F60" s="13" t="str">
        <f aca="false">IF(ABS(E60)&lt;=0.0000005,"PASS","FAIL")</f>
        <v>PASS</v>
      </c>
      <c r="G60" s="29"/>
    </row>
    <row r="61" customFormat="false" ht="15" hidden="false" customHeight="false" outlineLevel="0" collapsed="false">
      <c r="A61" s="36" t="s">
        <v>217</v>
      </c>
      <c r="B61" s="36" t="s">
        <v>134</v>
      </c>
      <c r="C61" s="40" t="n">
        <v>3.1246</v>
      </c>
      <c r="D61" s="40" t="n">
        <f aca="false">'Curve and Levers'!B45</f>
        <v>3.12456896551724</v>
      </c>
      <c r="E61" s="38" t="n">
        <f aca="false">D61-C61</f>
        <v>-3.10344827592068E-005</v>
      </c>
      <c r="F61" s="43" t="str">
        <f aca="false">IF(ABS(E61)&lt;=0.00005,"PASS","FAIL")</f>
        <v>PASS</v>
      </c>
      <c r="G61" s="29"/>
    </row>
    <row r="62" customFormat="false" ht="15" hidden="false" customHeight="false" outlineLevel="0" collapsed="false">
      <c r="A62" s="8" t="s">
        <v>249</v>
      </c>
      <c r="B62" s="8" t="s">
        <v>250</v>
      </c>
      <c r="C62" s="18" t="n">
        <v>16751040</v>
      </c>
      <c r="D62" s="18" t="n">
        <f aca="false">'Curve and Levers'!B46</f>
        <v>16751040</v>
      </c>
      <c r="E62" s="34" t="n">
        <f aca="false">D62-C62</f>
        <v>0</v>
      </c>
      <c r="F62" s="13" t="str">
        <f aca="false">IF(ABS(E62)&lt;=0.005,"PASS","FAIL")</f>
        <v>PASS</v>
      </c>
      <c r="G62" s="29"/>
    </row>
    <row r="63" customFormat="false" ht="15" hidden="false" customHeight="false" outlineLevel="0" collapsed="false">
      <c r="A63" s="36" t="s">
        <v>249</v>
      </c>
      <c r="B63" s="36" t="s">
        <v>138</v>
      </c>
      <c r="C63" s="41" t="n">
        <v>1.1257</v>
      </c>
      <c r="D63" s="41" t="n">
        <f aca="false">'Curve and Levers'!B47</f>
        <v>1.12574193548387</v>
      </c>
      <c r="E63" s="38" t="n">
        <f aca="false">D63-C63</f>
        <v>4.19354838709918E-005</v>
      </c>
      <c r="F63" s="43" t="str">
        <f aca="false">IF(ABS(E63)&lt;=0.00005,"PASS","FAIL")</f>
        <v>PASS</v>
      </c>
      <c r="G63" s="29"/>
    </row>
    <row r="64" customFormat="false" ht="15" hidden="false" customHeight="false" outlineLevel="0" collapsed="false">
      <c r="A64" s="8" t="s">
        <v>221</v>
      </c>
      <c r="B64" s="8" t="s">
        <v>140</v>
      </c>
      <c r="C64" s="18" t="n">
        <v>1328960</v>
      </c>
      <c r="D64" s="18" t="n">
        <f aca="false">'Curve and Levers'!B50</f>
        <v>1328960</v>
      </c>
      <c r="E64" s="34" t="n">
        <f aca="false">D64-C64</f>
        <v>0</v>
      </c>
      <c r="F64" s="13" t="str">
        <f aca="false">IF(ABS(E64)&lt;=0.005,"PASS","FAIL")</f>
        <v>PASS</v>
      </c>
      <c r="G64" s="29"/>
    </row>
    <row r="65" customFormat="false" ht="15" hidden="false" customHeight="false" outlineLevel="0" collapsed="false">
      <c r="A65" s="36" t="s">
        <v>221</v>
      </c>
      <c r="B65" s="36" t="s">
        <v>141</v>
      </c>
      <c r="C65" s="37" t="n">
        <v>110746.67</v>
      </c>
      <c r="D65" s="37" t="n">
        <f aca="false">'Curve and Levers'!B51</f>
        <v>110746.666666667</v>
      </c>
      <c r="E65" s="38" t="n">
        <f aca="false">D65-C65</f>
        <v>-0.00333333332673647</v>
      </c>
      <c r="F65" s="43" t="str">
        <f aca="false">IF(ABS(E65)&lt;=0.005,"PASS","FAIL")</f>
        <v>PASS</v>
      </c>
      <c r="G65" s="29"/>
    </row>
    <row r="66" customFormat="false" ht="15" hidden="false" customHeight="false" outlineLevel="0" collapsed="false">
      <c r="A66" s="8" t="s">
        <v>221</v>
      </c>
      <c r="B66" s="8" t="s">
        <v>251</v>
      </c>
      <c r="C66" s="18" t="n">
        <v>1328784</v>
      </c>
      <c r="D66" s="18" t="n">
        <f aca="false">'Curve and Levers'!B52</f>
        <v>1328784</v>
      </c>
      <c r="E66" s="34" t="n">
        <f aca="false">D66-C66</f>
        <v>0</v>
      </c>
      <c r="F66" s="13" t="str">
        <f aca="false">IF(ABS(E66)&lt;=0.005,"PASS","FAIL")</f>
        <v>PASS</v>
      </c>
      <c r="G66" s="29"/>
    </row>
    <row r="67" customFormat="false" ht="15" hidden="false" customHeight="false" outlineLevel="0" collapsed="false">
      <c r="A67" s="36" t="s">
        <v>221</v>
      </c>
      <c r="B67" s="36" t="s">
        <v>143</v>
      </c>
      <c r="C67" s="37" t="n">
        <v>176</v>
      </c>
      <c r="D67" s="37" t="n">
        <f aca="false">'Curve and Levers'!B53</f>
        <v>175.999999999302</v>
      </c>
      <c r="E67" s="38" t="n">
        <f aca="false">D67-C67</f>
        <v>-6.98491930961609E-010</v>
      </c>
      <c r="F67" s="43" t="str">
        <f aca="false">IF(ABS(E67)&lt;=0.005,"PASS","FAIL")</f>
        <v>PASS</v>
      </c>
      <c r="G67" s="29"/>
    </row>
    <row r="68" customFormat="false" ht="15" hidden="false" customHeight="false" outlineLevel="0" collapsed="false">
      <c r="A68" s="8" t="s">
        <v>221</v>
      </c>
      <c r="B68" s="8" t="s">
        <v>252</v>
      </c>
      <c r="C68" s="18" t="n">
        <v>4304960</v>
      </c>
      <c r="D68" s="18" t="n">
        <f aca="false">'Curve and Levers'!B54</f>
        <v>4304960</v>
      </c>
      <c r="E68" s="34" t="n">
        <f aca="false">D68-C68</f>
        <v>0</v>
      </c>
      <c r="F68" s="13" t="str">
        <f aca="false">IF(ABS(E68)&lt;=0.005,"PASS","FAIL")</f>
        <v>PASS</v>
      </c>
      <c r="G68" s="29"/>
    </row>
    <row r="69" customFormat="false" ht="15" hidden="false" customHeight="false" outlineLevel="0" collapsed="false">
      <c r="A69" s="36" t="s">
        <v>221</v>
      </c>
      <c r="B69" s="36" t="s">
        <v>253</v>
      </c>
      <c r="C69" s="37" t="n">
        <v>4784254.12</v>
      </c>
      <c r="D69" s="37" t="n">
        <f aca="false">'Curve and Levers'!B55</f>
        <v>4784254.11764706</v>
      </c>
      <c r="E69" s="38" t="n">
        <f aca="false">D69-C69</f>
        <v>-0.00235294084995985</v>
      </c>
      <c r="F69" s="43" t="str">
        <f aca="false">IF(ABS(E69)&lt;=0.005,"PASS","FAIL")</f>
        <v>PASS</v>
      </c>
      <c r="G69" s="29"/>
    </row>
    <row r="70" customFormat="false" ht="15" hidden="false" customHeight="false" outlineLevel="0" collapsed="false">
      <c r="A70" s="8" t="s">
        <v>221</v>
      </c>
      <c r="B70" s="8" t="s">
        <v>254</v>
      </c>
      <c r="C70" s="18" t="n">
        <v>20333080</v>
      </c>
      <c r="D70" s="18" t="n">
        <f aca="false">'Curve and Levers'!B56</f>
        <v>20333080</v>
      </c>
      <c r="E70" s="34" t="n">
        <f aca="false">D70-C70</f>
        <v>0</v>
      </c>
      <c r="F70" s="13" t="str">
        <f aca="false">IF(ABS(E70)&lt;=0.005,"PASS","FAIL")</f>
        <v>PASS</v>
      </c>
      <c r="G70" s="29"/>
    </row>
    <row r="71" customFormat="false" ht="15" hidden="false" customHeight="false" outlineLevel="0" collapsed="false">
      <c r="A71" s="36" t="s">
        <v>221</v>
      </c>
      <c r="B71" s="36" t="s">
        <v>147</v>
      </c>
      <c r="C71" s="40" t="n">
        <v>4.25</v>
      </c>
      <c r="D71" s="40" t="n">
        <f aca="false">'Curve and Levers'!B57</f>
        <v>4.25</v>
      </c>
      <c r="E71" s="38" t="n">
        <f aca="false">D71-C71</f>
        <v>0</v>
      </c>
      <c r="F71" s="43" t="str">
        <f aca="false">IF(ABS(E71)&lt;=0.00005,"PASS","FAIL")</f>
        <v>PASS</v>
      </c>
      <c r="G71" s="29"/>
    </row>
    <row r="72" customFormat="false" ht="15" hidden="false" customHeight="false" outlineLevel="0" collapsed="false">
      <c r="A72" s="8" t="s">
        <v>221</v>
      </c>
      <c r="B72" s="8" t="s">
        <v>148</v>
      </c>
      <c r="C72" s="21" t="n">
        <v>1.2322</v>
      </c>
      <c r="D72" s="21" t="n">
        <f aca="false">'Curve and Levers'!B58</f>
        <v>1.23221062618596</v>
      </c>
      <c r="E72" s="34" t="n">
        <f aca="false">D72-C72</f>
        <v>1.06261859582624E-005</v>
      </c>
      <c r="F72" s="13" t="str">
        <f aca="false">IF(ABS(E72)&lt;=0.00005,"PASS","FAIL")</f>
        <v>PASS</v>
      </c>
      <c r="G72" s="29"/>
    </row>
    <row r="73" customFormat="false" ht="15" hidden="false" customHeight="false" outlineLevel="0" collapsed="false">
      <c r="A73" s="36" t="s">
        <v>221</v>
      </c>
      <c r="B73" s="36" t="s">
        <v>255</v>
      </c>
      <c r="C73" s="37" t="n">
        <v>14436000</v>
      </c>
      <c r="D73" s="37" t="n">
        <f aca="false">'Curve and Levers'!B59</f>
        <v>14436000</v>
      </c>
      <c r="E73" s="38" t="n">
        <f aca="false">D73-C73</f>
        <v>0</v>
      </c>
      <c r="F73" s="43" t="str">
        <f aca="false">IF(ABS(E73)&lt;=0.005,"PASS","FAIL")</f>
        <v>PASS</v>
      </c>
      <c r="G73" s="29"/>
    </row>
    <row r="74" customFormat="false" ht="15" hidden="false" customHeight="false" outlineLevel="0" collapsed="false">
      <c r="A74" s="8" t="s">
        <v>221</v>
      </c>
      <c r="B74" s="8" t="s">
        <v>256</v>
      </c>
      <c r="C74" s="21" t="n">
        <v>1.119</v>
      </c>
      <c r="D74" s="21" t="n">
        <f aca="false">'Curve and Levers'!B61</f>
        <v>1.11902150537634</v>
      </c>
      <c r="E74" s="34" t="n">
        <f aca="false">D74-C74</f>
        <v>2.15053763441553E-005</v>
      </c>
      <c r="F74" s="13" t="str">
        <f aca="false">IF(ABS(E74)&lt;=0.00005,"PASS","FAIL")</f>
        <v>PASS</v>
      </c>
      <c r="G74" s="29"/>
    </row>
    <row r="75" customFormat="false" ht="15" hidden="false" customHeight="false" outlineLevel="0" collapsed="false">
      <c r="A75" s="36" t="s">
        <v>221</v>
      </c>
      <c r="B75" s="36" t="s">
        <v>257</v>
      </c>
      <c r="C75" s="40" t="n">
        <v>0.2083</v>
      </c>
      <c r="D75" s="40" t="n">
        <f aca="false">'Curve and Levers'!B62</f>
        <v>0.208333333333333</v>
      </c>
      <c r="E75" s="38" t="n">
        <f aca="false">D75-C75</f>
        <v>3.33333333333297E-005</v>
      </c>
      <c r="F75" s="43" t="str">
        <f aca="false">IF(ABS(E75)&lt;=0.00005,"PASS","FAIL")</f>
        <v>PASS</v>
      </c>
      <c r="G75" s="29"/>
    </row>
    <row r="76" customFormat="false" ht="15" hidden="false" customHeight="false" outlineLevel="0" collapsed="false">
      <c r="A76" s="8" t="s">
        <v>221</v>
      </c>
      <c r="B76" s="8" t="s">
        <v>258</v>
      </c>
      <c r="C76" s="21" t="n">
        <v>0.724</v>
      </c>
      <c r="D76" s="21" t="n">
        <f aca="false">'Curve and Levers'!B64</f>
        <v>0.723956774729842</v>
      </c>
      <c r="E76" s="34" t="n">
        <f aca="false">D76-C76</f>
        <v>-4.32252701578761E-005</v>
      </c>
      <c r="F76" s="13" t="str">
        <f aca="false">IF(ABS(E76)&lt;=0.00005,"PASS","FAIL")</f>
        <v>PASS</v>
      </c>
      <c r="G76" s="29" t="s">
        <v>259</v>
      </c>
    </row>
    <row r="77" customFormat="false" ht="15" hidden="false" customHeight="false" outlineLevel="0" collapsed="false">
      <c r="A77" s="36" t="s">
        <v>221</v>
      </c>
      <c r="B77" s="36" t="s">
        <v>260</v>
      </c>
      <c r="C77" s="40" t="n">
        <v>0.2147</v>
      </c>
      <c r="D77" s="40" t="n">
        <f aca="false">'Curve and Levers'!B65</f>
        <v>0.214740925464118</v>
      </c>
      <c r="E77" s="38" t="n">
        <f aca="false">D77-C77</f>
        <v>4.09254641174917E-005</v>
      </c>
      <c r="F77" s="43" t="str">
        <f aca="false">IF(ABS(E77)&lt;=0.00005,"PASS","FAIL")</f>
        <v>PASS</v>
      </c>
      <c r="G77" s="29" t="s">
        <v>259</v>
      </c>
    </row>
    <row r="78" customFormat="false" ht="15" hidden="false" customHeight="false" outlineLevel="0" collapsed="false">
      <c r="A78" s="8" t="s">
        <v>221</v>
      </c>
      <c r="B78" s="8" t="s">
        <v>261</v>
      </c>
      <c r="C78" s="22" t="n">
        <v>0.028</v>
      </c>
      <c r="D78" s="22" t="n">
        <f aca="false">'Curve and Levers'!B66</f>
        <v>0.0280095281509488</v>
      </c>
      <c r="E78" s="34" t="n">
        <f aca="false">D78-C78</f>
        <v>9.52815094881418E-006</v>
      </c>
      <c r="F78" s="13" t="str">
        <f aca="false">IF(ABS(E78)&lt;=0.00005,"PASS","FAIL")</f>
        <v>PASS</v>
      </c>
      <c r="G78" s="29" t="s">
        <v>262</v>
      </c>
    </row>
    <row r="79" customFormat="false" ht="15" hidden="false" customHeight="false" outlineLevel="0" collapsed="false">
      <c r="A79" s="36" t="s">
        <v>221</v>
      </c>
      <c r="B79" s="36" t="s">
        <v>263</v>
      </c>
      <c r="C79" s="40" t="n">
        <v>0.1867</v>
      </c>
      <c r="D79" s="40" t="n">
        <f aca="false">'Curve and Levers'!B67</f>
        <v>0.186731397313169</v>
      </c>
      <c r="E79" s="38" t="n">
        <f aca="false">D79-C79</f>
        <v>3.1397313168674E-005</v>
      </c>
      <c r="F79" s="43" t="str">
        <f aca="false">IF(ABS(E79)&lt;=0.00005,"PASS","FAIL")</f>
        <v>PASS</v>
      </c>
      <c r="G79" s="29" t="s">
        <v>264</v>
      </c>
    </row>
    <row r="80" customFormat="false" ht="15" hidden="false" customHeight="false" outlineLevel="0" collapsed="false">
      <c r="A80" s="8" t="s">
        <v>221</v>
      </c>
      <c r="B80" s="8" t="s">
        <v>265</v>
      </c>
      <c r="C80" s="18" t="n">
        <v>12825000</v>
      </c>
      <c r="D80" s="18" t="n">
        <f aca="false">'Curve and Levers'!B70</f>
        <v>12825000</v>
      </c>
      <c r="E80" s="34" t="n">
        <f aca="false">D80-C80</f>
        <v>0</v>
      </c>
      <c r="F80" s="13" t="str">
        <f aca="false">IF(ABS(E80)&lt;=0.005,"PASS","FAIL")</f>
        <v>PASS</v>
      </c>
      <c r="G80" s="29"/>
    </row>
    <row r="81" customFormat="false" ht="15" hidden="false" customHeight="false" outlineLevel="0" collapsed="false">
      <c r="A81" s="36" t="s">
        <v>221</v>
      </c>
      <c r="B81" s="36" t="s">
        <v>266</v>
      </c>
      <c r="C81" s="37" t="n">
        <v>9975000</v>
      </c>
      <c r="D81" s="37" t="n">
        <f aca="false">'Curve and Levers'!B73</f>
        <v>9975000</v>
      </c>
      <c r="E81" s="38" t="n">
        <f aca="false">D81-C81</f>
        <v>0</v>
      </c>
      <c r="F81" s="43" t="str">
        <f aca="false">IF(ABS(E81)&lt;=0.005,"PASS","FAIL")</f>
        <v>PASS</v>
      </c>
      <c r="G81" s="29"/>
    </row>
    <row r="82" customFormat="false" ht="15" hidden="false" customHeight="false" outlineLevel="0" collapsed="false">
      <c r="A82" s="8" t="s">
        <v>221</v>
      </c>
      <c r="B82" s="8" t="s">
        <v>267</v>
      </c>
      <c r="C82" s="20" t="n">
        <v>0.08</v>
      </c>
      <c r="D82" s="20" t="n">
        <f aca="false">'Curve and Levers'!B74</f>
        <v>0.08</v>
      </c>
      <c r="E82" s="34" t="n">
        <f aca="false">D82-C82</f>
        <v>0</v>
      </c>
      <c r="F82" s="13" t="str">
        <f aca="false">IF(ABS(E82)&lt;=0.0000005,"PASS","FAIL")</f>
        <v>PASS</v>
      </c>
      <c r="G82" s="29"/>
    </row>
    <row r="83" customFormat="false" ht="15" hidden="false" customHeight="false" outlineLevel="0" collapsed="false">
      <c r="A83" s="36" t="s">
        <v>221</v>
      </c>
      <c r="B83" s="36" t="s">
        <v>268</v>
      </c>
      <c r="C83" s="37" t="n">
        <v>4275000</v>
      </c>
      <c r="D83" s="37" t="n">
        <f aca="false">'Curve and Levers'!B75</f>
        <v>4275000</v>
      </c>
      <c r="E83" s="38" t="n">
        <f aca="false">D83-C83</f>
        <v>0</v>
      </c>
      <c r="F83" s="43" t="str">
        <f aca="false">IF(ABS(E83)&lt;=0.005,"PASS","FAIL")</f>
        <v>PASS</v>
      </c>
      <c r="G83" s="29"/>
    </row>
    <row r="84" customFormat="false" ht="15" hidden="false" customHeight="false" outlineLevel="0" collapsed="false">
      <c r="A84" s="8" t="s">
        <v>221</v>
      </c>
      <c r="B84" s="8" t="s">
        <v>269</v>
      </c>
      <c r="C84" s="20" t="n">
        <v>0.070274</v>
      </c>
      <c r="D84" s="20" t="n">
        <f aca="false">'Curve and Levers'!B77</f>
        <v>0.0702740688685875</v>
      </c>
      <c r="E84" s="34" t="n">
        <f aca="false">D84-C84</f>
        <v>6.88685874855599E-008</v>
      </c>
      <c r="F84" s="13" t="str">
        <f aca="false">IF(ABS(E84)&lt;=0.0000005,"PASS","FAIL")</f>
        <v>PASS</v>
      </c>
      <c r="G84" s="29" t="s">
        <v>270</v>
      </c>
    </row>
    <row r="85" customFormat="false" ht="15" hidden="false" customHeight="false" outlineLevel="0" collapsed="false">
      <c r="A85" s="36" t="s">
        <v>221</v>
      </c>
      <c r="B85" s="36" t="s">
        <v>271</v>
      </c>
      <c r="C85" s="42" t="n">
        <v>0.031943</v>
      </c>
      <c r="D85" s="42" t="n">
        <f aca="false">'Curve and Levers'!B78</f>
        <v>0.0319427585766307</v>
      </c>
      <c r="E85" s="38" t="n">
        <f aca="false">D85-C85</f>
        <v>-2.41423369323757E-007</v>
      </c>
      <c r="F85" s="43" t="str">
        <f aca="false">IF(ABS(E85)&lt;=0.0000005,"PASS","FAIL")</f>
        <v>PASS</v>
      </c>
      <c r="G85" s="29"/>
    </row>
    <row r="86" customFormat="false" ht="15" hidden="false" customHeight="false" outlineLevel="0" collapsed="false">
      <c r="A86" s="8" t="s">
        <v>272</v>
      </c>
      <c r="B86" s="8" t="s">
        <v>273</v>
      </c>
      <c r="C86" s="18" t="n">
        <v>26183200</v>
      </c>
      <c r="D86" s="18" t="n">
        <f aca="false">'Curve and Levers'!B81</f>
        <v>26183200</v>
      </c>
      <c r="E86" s="34" t="n">
        <f aca="false">D86-C86</f>
        <v>0</v>
      </c>
      <c r="F86" s="13" t="str">
        <f aca="false">IF(ABS(E86)&lt;=0.005,"PASS","FAIL")</f>
        <v>PASS</v>
      </c>
      <c r="G86" s="29"/>
    </row>
    <row r="87" customFormat="false" ht="15" hidden="false" customHeight="false" outlineLevel="0" collapsed="false">
      <c r="A87" s="36" t="s">
        <v>272</v>
      </c>
      <c r="B87" s="36" t="s">
        <v>172</v>
      </c>
      <c r="C87" s="41" t="n">
        <v>4.5831</v>
      </c>
      <c r="D87" s="41" t="n">
        <f aca="false">'Curve and Levers'!B82</f>
        <v>4.58309144795136</v>
      </c>
      <c r="E87" s="38" t="n">
        <f aca="false">D87-C87</f>
        <v>-8.55204864169679E-006</v>
      </c>
      <c r="F87" s="43" t="str">
        <f aca="false">IF(ABS(E87)&lt;=0.00005,"PASS","FAIL")</f>
        <v>PASS</v>
      </c>
      <c r="G87" s="29" t="s">
        <v>274</v>
      </c>
    </row>
    <row r="88" customFormat="false" ht="15" hidden="false" customHeight="false" outlineLevel="0" collapsed="false">
      <c r="A88" s="8" t="s">
        <v>272</v>
      </c>
      <c r="B88" s="8" t="s">
        <v>275</v>
      </c>
      <c r="C88" s="21" t="n">
        <v>1.0943</v>
      </c>
      <c r="D88" s="21" t="n">
        <f aca="false">'Curve and Levers'!B83</f>
        <v>1.09430107526882</v>
      </c>
      <c r="E88" s="34" t="n">
        <f aca="false">D88-C88</f>
        <v>1.07526881709674E-006</v>
      </c>
      <c r="F88" s="13" t="str">
        <f aca="false">IF(ABS(E88)&lt;=0.00005,"PASS","FAIL")</f>
        <v>PASS</v>
      </c>
      <c r="G88" s="29" t="s">
        <v>276</v>
      </c>
    </row>
    <row r="89" customFormat="false" ht="15" hidden="false" customHeight="false" outlineLevel="0" collapsed="false">
      <c r="A89" s="36" t="s">
        <v>272</v>
      </c>
      <c r="B89" s="36" t="s">
        <v>277</v>
      </c>
      <c r="C89" s="41" t="n">
        <v>1.1475</v>
      </c>
      <c r="D89" s="41" t="n">
        <f aca="false">'Curve and Levers'!B84</f>
        <v>1.14752688172043</v>
      </c>
      <c r="E89" s="38" t="n">
        <f aca="false">D89-C89</f>
        <v>2.68817204300831E-005</v>
      </c>
      <c r="F89" s="43" t="str">
        <f aca="false">IF(ABS(E89)&lt;=0.00005,"PASS","FAIL")</f>
        <v>PASS</v>
      </c>
      <c r="G89" s="29"/>
    </row>
    <row r="90" customFormat="false" ht="15" hidden="false" customHeight="false" outlineLevel="0" collapsed="false">
      <c r="A90" s="8" t="s">
        <v>272</v>
      </c>
      <c r="B90" s="8" t="s">
        <v>278</v>
      </c>
      <c r="C90" s="22" t="n">
        <v>0.534</v>
      </c>
      <c r="D90" s="22" t="n">
        <f aca="false">'Curve and Levers'!B85</f>
        <v>0.533952401703071</v>
      </c>
      <c r="E90" s="34" t="n">
        <f aca="false">D90-C90</f>
        <v>-4.7598296929019E-005</v>
      </c>
      <c r="F90" s="13" t="str">
        <f aca="false">IF(ABS(E90)&lt;=0.00005,"PASS","FAIL")</f>
        <v>PASS</v>
      </c>
      <c r="G90" s="29"/>
    </row>
    <row r="91" customFormat="false" ht="15" hidden="false" customHeight="false" outlineLevel="0" collapsed="false">
      <c r="A91" s="36" t="s">
        <v>272</v>
      </c>
      <c r="B91" s="36" t="s">
        <v>279</v>
      </c>
      <c r="C91" s="40" t="n">
        <v>0.1836</v>
      </c>
      <c r="D91" s="40" t="n">
        <f aca="false">'Curve and Levers'!B86</f>
        <v>0.183612903225806</v>
      </c>
      <c r="E91" s="38" t="n">
        <f aca="false">D91-C91</f>
        <v>1.29032258063544E-005</v>
      </c>
      <c r="F91" s="43" t="str">
        <f aca="false">IF(ABS(E91)&lt;=0.00005,"PASS","FAIL")</f>
        <v>PASS</v>
      </c>
      <c r="G91" s="29" t="s">
        <v>280</v>
      </c>
    </row>
    <row r="92" customFormat="false" ht="15" hidden="false" customHeight="false" outlineLevel="0" collapsed="false">
      <c r="A92" s="8" t="s">
        <v>224</v>
      </c>
      <c r="B92" s="8" t="s">
        <v>281</v>
      </c>
      <c r="C92" s="18" t="n">
        <v>113840000</v>
      </c>
      <c r="D92" s="18" t="n">
        <f aca="false">'Curve and Levers'!B89</f>
        <v>113840000</v>
      </c>
      <c r="E92" s="34" t="n">
        <f aca="false">D92-C92</f>
        <v>0</v>
      </c>
      <c r="F92" s="13" t="str">
        <f aca="false">IF(ABS(E92)&lt;=0.005,"PASS","FAIL")</f>
        <v>PASS</v>
      </c>
      <c r="G92" s="29"/>
    </row>
    <row r="93" customFormat="false" ht="15" hidden="false" customHeight="false" outlineLevel="0" collapsed="false">
      <c r="A93" s="36" t="s">
        <v>224</v>
      </c>
      <c r="B93" s="36" t="s">
        <v>282</v>
      </c>
      <c r="C93" s="37" t="n">
        <v>107009600</v>
      </c>
      <c r="D93" s="37" t="n">
        <f aca="false">'Curve and Levers'!B90</f>
        <v>107009600</v>
      </c>
      <c r="E93" s="38" t="n">
        <f aca="false">D93-C93</f>
        <v>0</v>
      </c>
      <c r="F93" s="43" t="str">
        <f aca="false">IF(ABS(E93)&lt;=0.005,"PASS","FAIL")</f>
        <v>PASS</v>
      </c>
      <c r="G93" s="29"/>
    </row>
    <row r="94" customFormat="false" ht="15" hidden="false" customHeight="false" outlineLevel="0" collapsed="false">
      <c r="A94" s="8" t="s">
        <v>224</v>
      </c>
      <c r="B94" s="8" t="s">
        <v>182</v>
      </c>
      <c r="C94" s="20" t="n">
        <v>0.891747</v>
      </c>
      <c r="D94" s="20" t="n">
        <f aca="false">'Curve and Levers'!B91</f>
        <v>0.891746666666667</v>
      </c>
      <c r="E94" s="34" t="n">
        <f aca="false">D94-C94</f>
        <v>-3.33333333268904E-007</v>
      </c>
      <c r="F94" s="13" t="str">
        <f aca="false">IF(ABS(E94)&lt;=0.0000005,"PASS","FAIL")</f>
        <v>PASS</v>
      </c>
      <c r="G94" s="29"/>
    </row>
    <row r="95" customFormat="false" ht="15" hidden="false" customHeight="false" outlineLevel="0" collapsed="false">
      <c r="A95" s="36" t="s">
        <v>224</v>
      </c>
      <c r="B95" s="36" t="s">
        <v>283</v>
      </c>
      <c r="C95" s="37" t="n">
        <v>141376000</v>
      </c>
      <c r="D95" s="37" t="n">
        <f aca="false">'Curve and Levers'!B92</f>
        <v>141376000</v>
      </c>
      <c r="E95" s="38" t="n">
        <f aca="false">D95-C95</f>
        <v>0</v>
      </c>
      <c r="F95" s="43" t="str">
        <f aca="false">IF(ABS(E95)&lt;=0.005,"PASS","FAIL")</f>
        <v>PASS</v>
      </c>
      <c r="G95" s="29"/>
    </row>
    <row r="96" customFormat="false" ht="15" hidden="false" customHeight="false" outlineLevel="0" collapsed="false">
      <c r="A96" s="8" t="s">
        <v>224</v>
      </c>
      <c r="B96" s="8" t="s">
        <v>284</v>
      </c>
      <c r="C96" s="20" t="n">
        <v>1.178133</v>
      </c>
      <c r="D96" s="20" t="n">
        <f aca="false">'Curve and Levers'!B93</f>
        <v>1.17813333333333</v>
      </c>
      <c r="E96" s="34" t="n">
        <f aca="false">D96-C96</f>
        <v>3.33333333157881E-007</v>
      </c>
      <c r="F96" s="13" t="str">
        <f aca="false">IF(ABS(E96)&lt;=0.0000005,"PASS","FAIL")</f>
        <v>PASS</v>
      </c>
      <c r="G96" s="29"/>
    </row>
    <row r="97" customFormat="false" ht="15" hidden="false" customHeight="false" outlineLevel="0" collapsed="false">
      <c r="A97" s="36" t="s">
        <v>224</v>
      </c>
      <c r="B97" s="36" t="s">
        <v>285</v>
      </c>
      <c r="C97" s="41" t="n">
        <v>3.3952</v>
      </c>
      <c r="D97" s="41" t="n">
        <f aca="false">'Curve and Levers'!B94</f>
        <v>3.39520144861928</v>
      </c>
      <c r="E97" s="38" t="n">
        <f aca="false">D97-C97</f>
        <v>1.44861928452755E-006</v>
      </c>
      <c r="F97" s="43" t="str">
        <f aca="false">IF(ABS(E97)&lt;=0.00005,"PASS","FAIL")</f>
        <v>PASS</v>
      </c>
      <c r="G97" s="29"/>
    </row>
    <row r="98" customFormat="false" ht="15" hidden="false" customHeight="false" outlineLevel="0" collapsed="false">
      <c r="A98" s="8" t="s">
        <v>224</v>
      </c>
      <c r="B98" s="8" t="s">
        <v>286</v>
      </c>
      <c r="C98" s="21" t="n">
        <v>4.4856</v>
      </c>
      <c r="D98" s="21" t="n">
        <f aca="false">'Curve and Levers'!B95</f>
        <v>4.48557886395239</v>
      </c>
      <c r="E98" s="34" t="n">
        <f aca="false">D98-C98</f>
        <v>-2.11360476063405E-005</v>
      </c>
      <c r="F98" s="13" t="str">
        <f aca="false">IF(ABS(E98)&lt;=0.00005,"PASS","FAIL")</f>
        <v>PASS</v>
      </c>
      <c r="G98" s="29"/>
    </row>
    <row r="99" customFormat="false" ht="15" hidden="false" customHeight="false" outlineLevel="0" collapsed="false">
      <c r="A99" s="36" t="s">
        <v>224</v>
      </c>
      <c r="B99" s="36" t="s">
        <v>188</v>
      </c>
      <c r="C99" s="40" t="n">
        <v>0.9581</v>
      </c>
      <c r="D99" s="40" t="n">
        <f aca="false">'Curve and Levers'!B97</f>
        <v>0.958084805892744</v>
      </c>
      <c r="E99" s="38" t="n">
        <f aca="false">D99-C99</f>
        <v>-1.51941072559225E-005</v>
      </c>
      <c r="F99" s="43" t="str">
        <f aca="false">IF(ABS(E99)&lt;=0.00005,"PASS","FAIL")</f>
        <v>PASS</v>
      </c>
      <c r="G99" s="29"/>
    </row>
    <row r="100" customFormat="false" ht="15" hidden="false" customHeight="false" outlineLevel="0" collapsed="false">
      <c r="A100" s="8" t="s">
        <v>224</v>
      </c>
      <c r="B100" s="8" t="s">
        <v>189</v>
      </c>
      <c r="C100" s="22" t="n">
        <v>2.0485</v>
      </c>
      <c r="D100" s="22" t="n">
        <f aca="false">'Curve and Levers'!B98</f>
        <v>2.04846222122585</v>
      </c>
      <c r="E100" s="34" t="n">
        <f aca="false">D100-C100</f>
        <v>-3.77787741472346E-005</v>
      </c>
      <c r="F100" s="13" t="str">
        <f aca="false">IF(ABS(E100)&lt;=0.00005,"PASS","FAIL")</f>
        <v>PASS</v>
      </c>
      <c r="G100" s="29"/>
    </row>
    <row r="101" customFormat="false" ht="15" hidden="false" customHeight="false" outlineLevel="0" collapsed="false">
      <c r="A101" s="36" t="s">
        <v>224</v>
      </c>
      <c r="B101" s="36" t="s">
        <v>287</v>
      </c>
      <c r="C101" s="42" t="n">
        <v>0.376302</v>
      </c>
      <c r="D101" s="42" t="n">
        <f aca="false">'Curve and Levers'!B99</f>
        <v>0.376302127659575</v>
      </c>
      <c r="E101" s="38" t="n">
        <f aca="false">D101-C101</f>
        <v>1.27659574467032E-007</v>
      </c>
      <c r="F101" s="43" t="str">
        <f aca="false">IF(ABS(E101)&lt;=0.0000005,"PASS","FAIL")</f>
        <v>PASS</v>
      </c>
      <c r="G101" s="29" t="s">
        <v>288</v>
      </c>
    </row>
    <row r="102" customFormat="false" ht="15" hidden="false" customHeight="false" outlineLevel="0" collapsed="false">
      <c r="A102" s="8" t="s">
        <v>224</v>
      </c>
      <c r="B102" s="8" t="s">
        <v>289</v>
      </c>
      <c r="C102" s="20" t="n">
        <v>0.09185</v>
      </c>
      <c r="D102" s="20" t="n">
        <f aca="false">'Curve and Levers'!B100</f>
        <v>0.0918499066666667</v>
      </c>
      <c r="E102" s="34" t="n">
        <f aca="false">D102-C102</f>
        <v>-9.33333333397179E-008</v>
      </c>
      <c r="F102" s="13" t="str">
        <f aca="false">IF(ABS(E102)&lt;=0.0000005,"PASS","FAIL")</f>
        <v>PASS</v>
      </c>
      <c r="G102" s="29"/>
    </row>
    <row r="103" customFormat="false" ht="15" hidden="false" customHeight="false" outlineLevel="0" collapsed="false">
      <c r="A103" s="36" t="s">
        <v>224</v>
      </c>
      <c r="B103" s="36" t="s">
        <v>290</v>
      </c>
      <c r="C103" s="42" t="n">
        <v>0.156947</v>
      </c>
      <c r="D103" s="42" t="n">
        <f aca="false">'Curve and Levers'!B102</f>
        <v>0.156947413333333</v>
      </c>
      <c r="E103" s="38" t="n">
        <f aca="false">D103-C103</f>
        <v>4.13333333393329E-007</v>
      </c>
      <c r="F103" s="43" t="str">
        <f aca="false">IF(ABS(E103)&lt;=0.0000005,"PASS","FAIL")</f>
        <v>PASS</v>
      </c>
      <c r="G103" s="29" t="s">
        <v>291</v>
      </c>
    </row>
    <row r="104" customFormat="false" ht="15" hidden="false" customHeight="false" outlineLevel="0" collapsed="false">
      <c r="A104" s="8" t="s">
        <v>224</v>
      </c>
      <c r="B104" s="8" t="s">
        <v>292</v>
      </c>
      <c r="C104" s="22" t="n">
        <v>0.8544</v>
      </c>
      <c r="D104" s="22" t="n">
        <f aca="false">'Curve and Levers'!B103</f>
        <v>0.854368932038835</v>
      </c>
      <c r="E104" s="34" t="n">
        <f aca="false">D104-C104</f>
        <v>-3.10679611646991E-005</v>
      </c>
      <c r="F104" s="13" t="str">
        <f aca="false">IF(ABS(E104)&lt;=0.00005,"PASS","FAIL")</f>
        <v>PASS</v>
      </c>
      <c r="G104" s="29" t="s">
        <v>293</v>
      </c>
    </row>
    <row r="105" customFormat="false" ht="15" hidden="false" customHeight="false" outlineLevel="0" collapsed="false">
      <c r="A105" s="36" t="s">
        <v>224</v>
      </c>
      <c r="B105" s="36" t="s">
        <v>294</v>
      </c>
      <c r="C105" s="37" t="n">
        <v>19323656.96</v>
      </c>
      <c r="D105" s="37" t="n">
        <f aca="false">'Curve and Levers'!B104</f>
        <v>19323656.96</v>
      </c>
      <c r="E105" s="38" t="n">
        <f aca="false">D105-C105</f>
        <v>0</v>
      </c>
      <c r="F105" s="43" t="str">
        <f aca="false">IF(ABS(E105)&lt;=0.005,"PASS","FAIL")</f>
        <v>PASS</v>
      </c>
      <c r="G105" s="29"/>
    </row>
    <row r="106" customFormat="false" ht="15" hidden="false" customHeight="false" outlineLevel="0" collapsed="false">
      <c r="A106" s="8" t="s">
        <v>224</v>
      </c>
      <c r="B106" s="8" t="s">
        <v>282</v>
      </c>
      <c r="C106" s="18" t="n">
        <v>72656950.17</v>
      </c>
      <c r="D106" s="18" t="n">
        <f aca="false">'Curve and Levers'!B105</f>
        <v>72656950.1696</v>
      </c>
      <c r="E106" s="34" t="n">
        <f aca="false">D106-C106</f>
        <v>-0.00040002167224884</v>
      </c>
      <c r="F106" s="13" t="str">
        <f aca="false">IF(ABS(E106)&lt;=0.005,"PASS","FAIL")</f>
        <v>PASS</v>
      </c>
      <c r="G106" s="29"/>
    </row>
    <row r="107" customFormat="false" ht="15" hidden="false" customHeight="false" outlineLevel="0" collapsed="false">
      <c r="A107" s="36" t="s">
        <v>224</v>
      </c>
      <c r="B107" s="36" t="s">
        <v>182</v>
      </c>
      <c r="C107" s="42" t="n">
        <v>0.605475</v>
      </c>
      <c r="D107" s="42" t="n">
        <f aca="false">'Curve and Levers'!B106</f>
        <v>0.605474584746667</v>
      </c>
      <c r="E107" s="38" t="n">
        <f aca="false">D107-C107</f>
        <v>-4.15253333496679E-007</v>
      </c>
      <c r="F107" s="43" t="str">
        <f aca="false">IF(ABS(E107)&lt;=0.0000005,"PASS","FAIL")</f>
        <v>PASS</v>
      </c>
      <c r="G107" s="29"/>
    </row>
    <row r="108" customFormat="false" ht="15" hidden="false" customHeight="false" outlineLevel="0" collapsed="false">
      <c r="A108" s="8" t="s">
        <v>224</v>
      </c>
      <c r="B108" s="8" t="s">
        <v>295</v>
      </c>
      <c r="C108" s="20" t="n">
        <v>0.129325</v>
      </c>
      <c r="D108" s="20" t="n">
        <f aca="false">'Curve and Levers'!B107</f>
        <v>0.129324668586667</v>
      </c>
      <c r="E108" s="34" t="n">
        <f aca="false">D108-C108</f>
        <v>-3.31413333193309E-007</v>
      </c>
      <c r="F108" s="13" t="str">
        <f aca="false">IF(ABS(E108)&lt;=0.0000005,"PASS","FAIL")</f>
        <v>PASS</v>
      </c>
      <c r="G108" s="29" t="s">
        <v>296</v>
      </c>
    </row>
    <row r="109" customFormat="false" ht="15" hidden="false" customHeight="false" outlineLevel="0" collapsed="false">
      <c r="A109" s="36" t="s">
        <v>224</v>
      </c>
      <c r="B109" s="36" t="s">
        <v>297</v>
      </c>
      <c r="C109" s="37" t="n">
        <v>938041.6</v>
      </c>
      <c r="D109" s="37" t="n">
        <f aca="false">'Curve and Levers'!B109</f>
        <v>938041.6</v>
      </c>
      <c r="E109" s="38" t="n">
        <f aca="false">D109-C109</f>
        <v>0</v>
      </c>
      <c r="F109" s="43" t="str">
        <f aca="false">IF(ABS(E109)&lt;=0.005,"PASS","FAIL")</f>
        <v>PASS</v>
      </c>
      <c r="G109" s="29"/>
    </row>
    <row r="110" customFormat="false" ht="15" hidden="false" customHeight="false" outlineLevel="0" collapsed="false">
      <c r="A110" s="8" t="s">
        <v>224</v>
      </c>
      <c r="B110" s="8" t="s">
        <v>298</v>
      </c>
      <c r="C110" s="20" t="n">
        <v>0.007817</v>
      </c>
      <c r="D110" s="20" t="n">
        <f aca="false">'Curve and Levers'!B110</f>
        <v>0.00781701333333333</v>
      </c>
      <c r="E110" s="34" t="n">
        <f aca="false">D110-C110</f>
        <v>1.33333333332542E-008</v>
      </c>
      <c r="F110" s="13" t="str">
        <f aca="false">IF(ABS(E110)&lt;=0.0000005,"PASS","FAIL")</f>
        <v>PASS</v>
      </c>
      <c r="G110" s="29"/>
    </row>
    <row r="111" customFormat="false" ht="15" hidden="false" customHeight="false" outlineLevel="0" collapsed="false">
      <c r="A111" s="36" t="s">
        <v>224</v>
      </c>
      <c r="B111" s="36" t="s">
        <v>299</v>
      </c>
      <c r="C111" s="42" t="n">
        <v>0.651466</v>
      </c>
      <c r="D111" s="42" t="n">
        <f aca="false">'Curve and Levers'!B112</f>
        <v>0.65146592</v>
      </c>
      <c r="E111" s="38" t="n">
        <f aca="false">D111-C111</f>
        <v>-8.00000000689138E-008</v>
      </c>
      <c r="F111" s="43" t="str">
        <f aca="false">IF(ABS(E111)&lt;=0.0000005,"PASS","FAIL")</f>
        <v>PASS</v>
      </c>
      <c r="G111" s="29"/>
    </row>
    <row r="112" customFormat="false" ht="15" hidden="false" customHeight="false" outlineLevel="0" collapsed="false">
      <c r="A112" s="8" t="s">
        <v>224</v>
      </c>
      <c r="B112" s="8" t="s">
        <v>300</v>
      </c>
      <c r="C112" s="20" t="n">
        <v>0.083333</v>
      </c>
      <c r="D112" s="20" t="n">
        <f aca="false">'Curve and Levers'!B113</f>
        <v>0.0833333333333334</v>
      </c>
      <c r="E112" s="34" t="n">
        <f aca="false">D112-C112</f>
        <v>3.33333333366048E-007</v>
      </c>
      <c r="F112" s="13" t="str">
        <f aca="false">IF(ABS(E112)&lt;=0.0000005,"PASS","FAIL")</f>
        <v>PASS</v>
      </c>
      <c r="G112" s="29"/>
    </row>
    <row r="113" customFormat="false" ht="15" hidden="false" customHeight="false" outlineLevel="0" collapsed="false">
      <c r="A113" s="36" t="s">
        <v>217</v>
      </c>
      <c r="B113" s="36" t="s">
        <v>301</v>
      </c>
      <c r="C113" s="37" t="n">
        <v>0</v>
      </c>
      <c r="D113" s="37" t="n">
        <f aca="false">ROUND('Curve and Levers'!B15-Downside!$C$8,4)</f>
        <v>0</v>
      </c>
      <c r="E113" s="38" t="n">
        <f aca="false">D113-C113</f>
        <v>0</v>
      </c>
      <c r="F113" s="43" t="str">
        <f aca="false">IF(ABS(E113)&lt;=0.005,"PASS","FAIL")</f>
        <v>PASS</v>
      </c>
      <c r="G113" s="29" t="s">
        <v>302</v>
      </c>
    </row>
    <row r="114" customFormat="false" ht="15" hidden="false" customHeight="false" outlineLevel="0" collapsed="false">
      <c r="A114" s="8" t="s">
        <v>221</v>
      </c>
      <c r="B114" s="8" t="s">
        <v>303</v>
      </c>
      <c r="C114" s="18" t="n">
        <v>0</v>
      </c>
      <c r="D114" s="18" t="n">
        <f aca="false">ROUND('Curve and Levers'!B56-Inputs!$B$42*'Curve and Levers'!B55,4)</f>
        <v>0</v>
      </c>
      <c r="E114" s="34" t="n">
        <f aca="false">D114-C114</f>
        <v>0</v>
      </c>
      <c r="F114" s="13" t="str">
        <f aca="false">IF(ABS(E114)&lt;=0.005,"PASS","FAIL")</f>
        <v>PASS</v>
      </c>
      <c r="G114" s="29" t="s">
        <v>302</v>
      </c>
    </row>
    <row r="116" customFormat="false" ht="15" hidden="false" customHeight="false" outlineLevel="0" collapsed="false">
      <c r="B116" s="13" t="s">
        <v>304</v>
      </c>
      <c r="C116" s="13" t="n">
        <f aca="false">COUNTIF(F6:F114,"PASS")</f>
        <v>109</v>
      </c>
    </row>
    <row r="117" customFormat="false" ht="15" hidden="false" customHeight="false" outlineLevel="0" collapsed="false">
      <c r="B117" s="13" t="s">
        <v>305</v>
      </c>
      <c r="C117" s="13" t="n">
        <f aca="false">COUNTIF(F6:F114,"FAIL")</f>
        <v>0</v>
      </c>
    </row>
    <row r="118" customFormat="false" ht="15" hidden="false" customHeight="false" outlineLevel="0" collapsed="false">
      <c r="B118" s="13" t="s">
        <v>306</v>
      </c>
      <c r="C118" s="13" t="str">
        <f aca="false">IF(COUNTIF(F6:F114,"PASS")=109,"ALL OK",COUNTIF(F6:F114,"FAIL")&amp;"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2026-08-29T07:07:07Z</dcterms:created>
  <dc:creator>openpyxl</dc:creator>
  <dc:description/>
  <dc:language>en-US</dc:language>
  <cp:lastModifiedBy/>
  <dcterms:modified xsi:type="dcterms:W3CDTF">2026-09-24T01:47:19Z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