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ridge" sheetId="3" state="visible" r:id="rId5"/>
    <sheet name="The Four EBITDAs" sheetId="4" state="visible" r:id="rId6"/>
    <sheet name="Margins and Cash"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<sst xmlns="http://schemas.openxmlformats.org/spreadsheetml/2006/main" count="329" uniqueCount="240">
  <si>
    <t xml:space="preserve">Halstead — The Four EBITDAs</t>
  </si>
  <si>
    <t xml:space="preserve">Companion workbook 1 to Credit Analysis, by Julian R. Sterling</t>
  </si>
  <si>
    <t xml:space="preserve">What this workbook is</t>
  </si>
  <si>
    <t xml:space="preserve">The bridge from the audited EBITDA to the cash the business produces, with every adjustment on a switch, and the four leverage ratios that result.</t>
  </si>
  <si>
    <t xml:space="preserve">The experiment to run first</t>
  </si>
  <si>
    <t xml:space="preserve">On the Inputs sheet, switch off the run-rate savings from the closed plant. Nothing about the business has changed and nothing about the debt has changed, and the leverage the loan is sized on moves. Read that movement in turns. It is what a single add-back is worth, and it is the number that should be beside the argument in the credit paper.</t>
  </si>
  <si>
    <t xml:space="preserve">On the covenant headroom</t>
  </si>
  <si>
    <t xml:space="preserve">The headroom is computed against the lender's own adjusted number, which is the honest basis. Set the covenant to a different level and watch the ratio at the bottom of the sheet: it is the add-back argument divided by the headroom, and on the book's figures it is fifty.</t>
  </si>
  <si>
    <t xml:space="preserve">The Checks sheet sets every figure the book prints beside this workbook's own formula, to the last printed decimal. Where the book is wrong, the row carries the corrected figure and its note says what the book prints. A FAIL means an input or a formula has changed.</t>
  </si>
  <si>
    <t xml:space="preserve">Revised 24 September 2026</t>
  </si>
  <si>
    <t xml:space="preserve">Revised 24 September 2026. A new sheet, Margins and Cash, carries the figures the book prints around the four EBITDAs and that the first file left out: the margins, the signed number walked to cash, the debt each EBITDA supports. It also corrects three things. The three deductions from earnings to cash are 9,900,000, not the 10,200,000 Chapter 6 prints. The spread of 3.2740 turns is what the review took back (1.0250) plus what nobody argued about (2.2491); the three gaps Chapters 1 and 8 list add up to 4.9606, because the 1.0250 sits inside the 1.6866. And the monitoring fee, if it is paid in cash, adds 0.4073 of a turn to leverage on cash and takes cover to 1.1734x, below the 1.20x test: not the "full turn" Chapter 6 promises from a chapter that never computes it. The Checks sheet now tests to the last printed decimal.</t>
  </si>
  <si>
    <t xml:space="preserve">Halstead Packaging — inputs</t>
  </si>
  <si>
    <t xml:space="preserve">Blue cells on a yellow fill are inputs. Everything else in this workbook is a formula.</t>
  </si>
  <si>
    <t xml:space="preserve">The business</t>
  </si>
  <si>
    <t xml:space="preserve">Revenue</t>
  </si>
  <si>
    <t xml:space="preserve">Statutory EBITDA</t>
  </si>
  <si>
    <t xml:space="preserve">Add-backs proposed by management — switch each on or off</t>
  </si>
  <si>
    <t xml:space="preserve">Adjustment</t>
  </si>
  <si>
    <t xml:space="preserve">Amount</t>
  </si>
  <si>
    <t xml:space="preserve">On</t>
  </si>
  <si>
    <t xml:space="preserve">Restructuring described as non-recurring</t>
  </si>
  <si>
    <t xml:space="preserve">Run-rate savings from the plant closed in March</t>
  </si>
  <si>
    <t xml:space="preserve">Full-year effect of the acquisition completed in July</t>
  </si>
  <si>
    <t xml:space="preserve">Sponsor monitoring fees</t>
  </si>
  <si>
    <t xml:space="preserve">Share-based payment</t>
  </si>
  <si>
    <t xml:space="preserve">Foreign exchange losses</t>
  </si>
  <si>
    <t xml:space="preserve">Total add-backs switched on</t>
  </si>
  <si>
    <t xml:space="preserve">Quality-of-earnings haircuts — switch each on or off</t>
  </si>
  <si>
    <t xml:space="preserve">Disallowance</t>
  </si>
  <si>
    <t xml:space="preserve">Savings not yet actioned, 60 per cent of the run-rate</t>
  </si>
  <si>
    <t xml:space="preserve">Acquisition effect capped at contracts already signed</t>
  </si>
  <si>
    <t xml:space="preserve">Restructuring, recurring for a third year</t>
  </si>
  <si>
    <t xml:space="preserve">Development costs capitalised that should be expensed</t>
  </si>
  <si>
    <t xml:space="preserve">Total haircuts switched on</t>
  </si>
  <si>
    <t xml:space="preserve">From earnings to cash</t>
  </si>
  <si>
    <t xml:space="preserve">Maintenance capital expenditure</t>
  </si>
  <si>
    <t xml:space="preserve">Increase in working capital</t>
  </si>
  <si>
    <t xml:space="preserve">Cash tax</t>
  </si>
  <si>
    <t xml:space="preserve">The facility and the covenants</t>
  </si>
  <si>
    <t xml:space="preserve">Senior net debt</t>
  </si>
  <si>
    <t xml:space="preserve">Interest rate</t>
  </si>
  <si>
    <t xml:space="preserve">Base rate</t>
  </si>
  <si>
    <t xml:space="preserve">Amortisation rate</t>
  </si>
  <si>
    <t xml:space="preserve">Leverage covenant</t>
  </si>
  <si>
    <t xml:space="preserve">Cover covenant</t>
  </si>
  <si>
    <t xml:space="preserve">The downside, the recovery and the price</t>
  </si>
  <si>
    <t xml:space="preserve">Operating leverage</t>
  </si>
  <si>
    <t xml:space="preserve">Revenue change in the downside</t>
  </si>
  <si>
    <t xml:space="preserve">Enforcement costs</t>
  </si>
  <si>
    <t xml:space="preserve">Probability of default (an assumption)</t>
  </si>
  <si>
    <t xml:space="preserve">Covenant level after a reset</t>
  </si>
  <si>
    <t xml:space="preserve">Amendment fee</t>
  </si>
  <si>
    <t xml:space="preserve">Margin ratchet</t>
  </si>
  <si>
    <t xml:space="preserve">The bridge, from the audited number to cash</t>
  </si>
  <si>
    <t xml:space="preserve">Every line is an argument. Switch it off on the Inputs sheet and watch the leverage move.</t>
  </si>
  <si>
    <t xml:space="preserve">Cumulative</t>
  </si>
  <si>
    <t xml:space="preserve">+ Restructuring described as non-recurring</t>
  </si>
  <si>
    <t xml:space="preserve">+ Run-rate savings from the plant closed in March</t>
  </si>
  <si>
    <t xml:space="preserve">+ Full-year effect of the acquisition completed in July</t>
  </si>
  <si>
    <t xml:space="preserve">+ Sponsor monitoring fees</t>
  </si>
  <si>
    <t xml:space="preserve">+ Share-based payment</t>
  </si>
  <si>
    <t xml:space="preserve">+ Foreign exchange losses</t>
  </si>
  <si>
    <t xml:space="preserve">= EBITDA as adjusted by management</t>
  </si>
  <si>
    <t xml:space="preserve">- Savings not yet actioned, 60 per cent of the run-rate</t>
  </si>
  <si>
    <t xml:space="preserve">- Acquisition effect capped at contracts already signed</t>
  </si>
  <si>
    <t xml:space="preserve">- Restructuring, recurring for a third year</t>
  </si>
  <si>
    <t xml:space="preserve">- Development costs capitalised that should be expensed</t>
  </si>
  <si>
    <t xml:space="preserve">= EBITDA as adjusted by the lender</t>
  </si>
  <si>
    <t xml:space="preserve">- Maintenance capital expenditure</t>
  </si>
  <si>
    <t xml:space="preserve">- Increase in working capital</t>
  </si>
  <si>
    <t xml:space="preserve">- Cash tax</t>
  </si>
  <si>
    <t xml:space="preserve">= Cash available for debt service</t>
  </si>
  <si>
    <t xml:space="preserve">What the add-backs are worth</t>
  </si>
  <si>
    <t xml:space="preserve">Add-backs as a share of statutory EBITDA</t>
  </si>
  <si>
    <t xml:space="preserve">Add-backs as a share of the number the loan is sized on</t>
  </si>
  <si>
    <t xml:space="preserve">Four EBITDAs, four leverage ratios</t>
  </si>
  <si>
    <t xml:space="preserve">Same company, same net debt, same day. All four are defensible.</t>
  </si>
  <si>
    <t xml:space="preserve">Measured against</t>
  </si>
  <si>
    <t xml:space="preserve">EBITDA</t>
  </si>
  <si>
    <t xml:space="preserve">Leverage</t>
  </si>
  <si>
    <t xml:space="preserve">Against the covenant</t>
  </si>
  <si>
    <t xml:space="preserve">EBITDA as adjusted by management</t>
  </si>
  <si>
    <t xml:space="preserve">EBITDA as adjusted by the lender</t>
  </si>
  <si>
    <t xml:space="preserve">Cash available for debt service</t>
  </si>
  <si>
    <t xml:space="preserve">What the spread is worth</t>
  </si>
  <si>
    <t xml:space="preserve">Highest leverage</t>
  </si>
  <si>
    <t xml:space="preserve">Lowest leverage</t>
  </si>
  <si>
    <t xml:space="preserve">Spread, in turns</t>
  </si>
  <si>
    <t xml:space="preserve">The add-back argument, statutory less management</t>
  </si>
  <si>
    <t xml:space="preserve">The quality-of-earnings review, management less lender</t>
  </si>
  <si>
    <t xml:space="preserve">Covenant headroom on the lender's number</t>
  </si>
  <si>
    <t xml:space="preserve">The add-back argument, divided by the headroom</t>
  </si>
  <si>
    <t xml:space="preserve">Switch a single add-back off on the Inputs sheet and read the leverage again: that is</t>
  </si>
  <si>
    <t xml:space="preserve">what one argument is worth, in turns, before anyone has debated whether it is proper.</t>
  </si>
  <si>
    <t xml:space="preserve">Margins, the signed number, and the cash</t>
  </si>
  <si>
    <t xml:space="preserve">Chapters 2, 4, 6, 7 and 8: the figures the book prints around the four EBITDAs, each a formula.</t>
  </si>
  <si>
    <t xml:space="preserve">Four margins on one sales ledger (Chapters 2 and 4)</t>
  </si>
  <si>
    <t xml:space="preserve">Statutory EBITDA margin</t>
  </si>
  <si>
    <t xml:space="preserve">Lender's EBITDA margin</t>
  </si>
  <si>
    <t xml:space="preserve">Management's EBITDA margin</t>
  </si>
  <si>
    <t xml:space="preserve">Cash available for debt service, as a share of revenue</t>
  </si>
  <si>
    <t xml:space="preserve">Management's less statutory, in points of margin</t>
  </si>
  <si>
    <t xml:space="preserve">Management's less cash, in points of margin</t>
  </si>
  <si>
    <t xml:space="preserve">Inside the signed number (Chapter 4)</t>
  </si>
  <si>
    <t xml:space="preserve">Development costs capitalised (the fourth haircut)</t>
  </si>
  <si>
    <t xml:space="preserve">  as a share of statutory EBITDA</t>
  </si>
  <si>
    <t xml:space="preserve">Statutory EBITDA had they been expensed</t>
  </si>
  <si>
    <t xml:space="preserve">Leverage on that number</t>
  </si>
  <si>
    <t xml:space="preserve">  swing from one accounting policy, in turns</t>
  </si>
  <si>
    <t xml:space="preserve">Revenue recognition shift tested, share of revenue</t>
  </si>
  <si>
    <t xml:space="preserve">  in money</t>
  </si>
  <si>
    <t xml:space="preserve">  leverage on statutory EBITDA plus the shift</t>
  </si>
  <si>
    <t xml:space="preserve">One million of statutory EBITDA, in turns</t>
  </si>
  <si>
    <t xml:space="preserve">Covenant headroom in EBITDA, as a share of statutory</t>
  </si>
  <si>
    <t xml:space="preserve">The signed number walked to cash (Chapter 4)</t>
  </si>
  <si>
    <t xml:space="preserve">Statutory EBITDA less working capital and cash tax</t>
  </si>
  <si>
    <t xml:space="preserve">  conversion</t>
  </si>
  <si>
    <t xml:space="preserve">  less maintenance capital expenditure</t>
  </si>
  <si>
    <t xml:space="preserve">Debt service</t>
  </si>
  <si>
    <t xml:space="preserve">Short of debt service on the signed number</t>
  </si>
  <si>
    <t xml:space="preserve">Leverage on that cash</t>
  </si>
  <si>
    <t xml:space="preserve">The same three charges on the lender's EBITDA, less the walk above</t>
  </si>
  <si>
    <t xml:space="preserve">equals the lender's EBITDA less statutory: adjusting relabels cash</t>
  </si>
  <si>
    <t xml:space="preserve">The three deductions (Chapters 6 and 7)</t>
  </si>
  <si>
    <t xml:space="preserve">Maintenance capital expenditure, working capital and cash tax, together</t>
  </si>
  <si>
    <t xml:space="preserve">Revised: Chapter 6 prints 10,200,000</t>
  </si>
  <si>
    <t xml:space="preserve">  as a share of the lender's EBITDA</t>
  </si>
  <si>
    <t xml:space="preserve">Share of the lender's EBITDA that reaches debt service</t>
  </si>
  <si>
    <t xml:space="preserve">Capitalised development, as a share of maintenance capital expenditure</t>
  </si>
  <si>
    <t xml:space="preserve">Maintenance halved: cover</t>
  </si>
  <si>
    <t xml:space="preserve">Maintenance halved: leverage on cash</t>
  </si>
  <si>
    <t xml:space="preserve">Three years at half the required spend: deferred</t>
  </si>
  <si>
    <t xml:space="preserve">Cash tax against statutory EBITDA less interest</t>
  </si>
  <si>
    <t xml:space="preserve">Cash available, as a share of management's EBITDA</t>
  </si>
  <si>
    <t xml:space="preserve">Management's EBITDA less cash available</t>
  </si>
  <si>
    <t xml:space="preserve">The monitoring fee, if it is paid in cash while the credit performs (Chapters 5 and 6)</t>
  </si>
  <si>
    <t xml:space="preserve">Sponsor monitoring fee, added back and left standing by the review</t>
  </si>
  <si>
    <t xml:space="preserve">Cash available after paying it</t>
  </si>
  <si>
    <t xml:space="preserve">  turns the payment adds to leverage on cash</t>
  </si>
  <si>
    <t xml:space="preserve">Revised: Chapter 6 says "a full turn"; Chapter 7 never computes it</t>
  </si>
  <si>
    <t xml:space="preserve">Cover, if the payment is deducted</t>
  </si>
  <si>
    <t xml:space="preserve">  against the cover covenant</t>
  </si>
  <si>
    <t xml:space="preserve">Which twelve months, and what each EBITDA supports (Chapter 8)</t>
  </si>
  <si>
    <t xml:space="preserve">Forward or annualised items inside management's number (run-rate and full-year effect)</t>
  </si>
  <si>
    <t xml:space="preserve">  as a share of management's EBITDA</t>
  </si>
  <si>
    <t xml:space="preserve">Debt supported at the covenant</t>
  </si>
  <si>
    <t xml:space="preserve">Against the debt asked</t>
  </si>
  <si>
    <t xml:space="preserve">Statutory</t>
  </si>
  <si>
    <t xml:space="preserve">Management</t>
  </si>
  <si>
    <t xml:space="preserve">Lender</t>
  </si>
  <si>
    <t xml:space="preserve">Cash</t>
  </si>
  <si>
    <t xml:space="preserve">Range of debt capacity, from definitions alone</t>
  </si>
  <si>
    <t xml:space="preserve">  as a share of the facility</t>
  </si>
  <si>
    <t xml:space="preserve">Each 10,000,000 of extra net debt, in turns on the lender's EBITDA</t>
  </si>
  <si>
    <t xml:space="preserve">Headroom if the covenant were measured on management's EBITDA</t>
  </si>
  <si>
    <t xml:space="preserve">Cash leverage less statutory leverage</t>
  </si>
  <si>
    <t xml:space="preserve">The spread, and what it is made of (Chapters 1 and 8)</t>
  </si>
  <si>
    <t xml:space="preserve">Taken back by the review: lender's leverage less management's</t>
  </si>
  <si>
    <t xml:space="preserve">Conceded to the sponsor: statutory leverage less the lender's</t>
  </si>
  <si>
    <t xml:space="preserve">  the two together: the add-back argument, statutory less management</t>
  </si>
  <si>
    <t xml:space="preserve">Nobody argued: cash leverage less the lender's</t>
  </si>
  <si>
    <t xml:space="preserve">The spread, highest less lowest: taken back plus nobody argued</t>
  </si>
  <si>
    <t xml:space="preserve">The three gaps as Chapters 1 and 8 list them, added up</t>
  </si>
  <si>
    <t xml:space="preserve">Revised: they are not the parts of the spread; the 1.0250 sits inside the 1.6866</t>
  </si>
  <si>
    <t xml:space="preserve">Checks</t>
  </si>
  <si>
    <t xml:space="preserve">Each row sets a figure printed in the book beside the figure this workbook computes.</t>
  </si>
  <si>
    <t xml:space="preserve">Ch.</t>
  </si>
  <si>
    <t xml:space="preserve">Figure</t>
  </si>
  <si>
    <t xml:space="preserve">Printed</t>
  </si>
  <si>
    <t xml:space="preserve">Workbook</t>
  </si>
  <si>
    <t xml:space="preserve">Difference</t>
  </si>
  <si>
    <t xml:space="preserve">Result</t>
  </si>
  <si>
    <t xml:space="preserve">Note</t>
  </si>
  <si>
    <t xml:space="preserve">4</t>
  </si>
  <si>
    <t xml:space="preserve">5</t>
  </si>
  <si>
    <t xml:space="preserve">6</t>
  </si>
  <si>
    <t xml:space="preserve">7</t>
  </si>
  <si>
    <t xml:space="preserve">8</t>
  </si>
  <si>
    <t xml:space="preserve">Leverage on statutory EBITDA</t>
  </si>
  <si>
    <t xml:space="preserve">Leverage on management's EBITDA</t>
  </si>
  <si>
    <t xml:space="preserve">Leverage on the lender's EBITDA</t>
  </si>
  <si>
    <t xml:space="preserve">Leverage on cash available for debt service</t>
  </si>
  <si>
    <t xml:space="preserve">Spread between the four, in turns</t>
  </si>
  <si>
    <t xml:space="preserve">The add-back argument, in turns</t>
  </si>
  <si>
    <t xml:space="preserve">Covenant headroom, in turns</t>
  </si>
  <si>
    <t xml:space="preserve">Add-back argument divided by headroom</t>
  </si>
  <si>
    <t xml:space="preserve">Add-backs as a share of management's EBITDA</t>
  </si>
  <si>
    <t xml:space="preserve">2</t>
  </si>
  <si>
    <t xml:space="preserve">Lender's margin</t>
  </si>
  <si>
    <t xml:space="preserve">Management's margin</t>
  </si>
  <si>
    <t xml:space="preserve">Cash available as a share of revenue</t>
  </si>
  <si>
    <t xml:space="preserve">Management less statutory, points of margin</t>
  </si>
  <si>
    <t xml:space="preserve">Management less cash, points of margin</t>
  </si>
  <si>
    <t xml:space="preserve">Capitalised development as a share of statutory EBITDA</t>
  </si>
  <si>
    <t xml:space="preserve">Leverage on statutory EBITDA had it been expensed</t>
  </si>
  <si>
    <t xml:space="preserve">Swing from one policy, turns</t>
  </si>
  <si>
    <t xml:space="preserve">One per cent of revenue, in money</t>
  </si>
  <si>
    <t xml:space="preserve">  leverage on statutory plus the shift</t>
  </si>
  <si>
    <t xml:space="preserve">Headroom as a share of statutory EBITDA</t>
  </si>
  <si>
    <t xml:space="preserve">Statutory EBITDA less working capital and tax</t>
  </si>
  <si>
    <t xml:space="preserve">  after maintenance capital expenditure</t>
  </si>
  <si>
    <t xml:space="preserve">Leverage on 14,700,000</t>
  </si>
  <si>
    <t xml:space="preserve">The two walks differ by the net adjustments</t>
  </si>
  <si>
    <t xml:space="preserve">The three deductions together</t>
  </si>
  <si>
    <t xml:space="preserve">revised: Chapter 6 prints 10,200,000</t>
  </si>
  <si>
    <t xml:space="preserve">Share that reaches debt service</t>
  </si>
  <si>
    <t xml:space="preserve">Capitalised development over maintenance capital expenditure</t>
  </si>
  <si>
    <t xml:space="preserve">Three years deferred</t>
  </si>
  <si>
    <t xml:space="preserve">Cash tax on statutory EBITDA less interest</t>
  </si>
  <si>
    <t xml:space="preserve">Cash available over management's EBITDA</t>
  </si>
  <si>
    <t xml:space="preserve">Management's EBITDA less cash</t>
  </si>
  <si>
    <t xml:space="preserve">Monitoring fee paid in cash: cash available after it</t>
  </si>
  <si>
    <t xml:space="preserve">new: the book gives no figure</t>
  </si>
  <si>
    <t xml:space="preserve">  turns added to leverage on cash</t>
  </si>
  <si>
    <t xml:space="preserve">revised: Chapter 6 says a full turn</t>
  </si>
  <si>
    <t xml:space="preserve">  cover if deducted</t>
  </si>
  <si>
    <t xml:space="preserve">new: below the 1.20x covenant</t>
  </si>
  <si>
    <t xml:space="preserve">Forward items inside management's number</t>
  </si>
  <si>
    <t xml:space="preserve">  share of management's EBITDA</t>
  </si>
  <si>
    <t xml:space="preserve">Debt supported on statutory EBITDA</t>
  </si>
  <si>
    <t xml:space="preserve">Debt supported on management's EBITDA</t>
  </si>
  <si>
    <t xml:space="preserve">Debt supported on the lender's EBITDA</t>
  </si>
  <si>
    <t xml:space="preserve">Debt supported on cash</t>
  </si>
  <si>
    <t xml:space="preserve">Range of debt capacity</t>
  </si>
  <si>
    <t xml:space="preserve">  share of the facility</t>
  </si>
  <si>
    <t xml:space="preserve">Each 10,000,000 of net debt, turns</t>
  </si>
  <si>
    <t xml:space="preserve">Headroom on management's EBITDA</t>
  </si>
  <si>
    <t xml:space="preserve">Identity, any inputs: lender's EBITDA less the three deductions is cash available</t>
  </si>
  <si>
    <t xml:space="preserve">holds for any inputs</t>
  </si>
  <si>
    <t xml:space="preserve">Taken back by the review</t>
  </si>
  <si>
    <t xml:space="preserve">Conceded to the sponsor above statutory</t>
  </si>
  <si>
    <t xml:space="preserve">new: the book does not print it</t>
  </si>
  <si>
    <t xml:space="preserve">Nobody argued: cash less lender</t>
  </si>
  <si>
    <t xml:space="preserve">The spread is taken back plus nobody argued</t>
  </si>
  <si>
    <t xml:space="preserve">The three gaps added up</t>
  </si>
  <si>
    <t xml:space="preserve">revised: Chapters 1 and 8 present them as the parts of 3.2740</t>
  </si>
  <si>
    <t xml:space="preserve">Identity, any inputs: the add-back argument is what the review took back plus what it conceded</t>
  </si>
  <si>
    <t xml:space="preserve">Checks that pass</t>
  </si>
  <si>
    <t xml:space="preserve">Checks that fail</t>
  </si>
  <si>
    <t xml:space="preserve">All checks</t>
  </si>
</sst>
</file>

<file path=xl/styles.xml><?xml version="1.0" encoding="utf-8"?>
<styleSheet xmlns="http://schemas.openxmlformats.org/spreadsheetml/2006/main">
  <numFmts count="11">
    <numFmt numFmtId="164" formatCode="General"/>
    <numFmt numFmtId="165" formatCode="#,##0.00;\-#,##0.00"/>
    <numFmt numFmtId="166" formatCode="0"/>
    <numFmt numFmtId="167" formatCode="0.0000%"/>
    <numFmt numFmtId="168" formatCode="0.0000\x"/>
    <numFmt numFmtId="169" formatCode="0.00"/>
    <numFmt numFmtId="170" formatCode="@"/>
    <numFmt numFmtId="171" formatCode="0.0\x"/>
    <numFmt numFmtId="172" formatCode="0.0000"/>
    <numFmt numFmtId="173" formatCode="0.00%"/>
    <numFmt numFmtId="174" formatCode="0.000000"/>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sz val="10"/>
      <color rgb="FF5A6A70"/>
      <name val="Calibri"/>
      <family val="0"/>
      <charset val="1"/>
    </font>
    <font>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8"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70" fontId="10"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6" customFormat="false" ht="30" hidden="false" customHeight="true" outlineLevel="0" collapsed="false">
      <c r="A16" s="5" t="s">
        <v>8</v>
      </c>
    </row>
    <row r="18" customFormat="false" ht="15" hidden="false" customHeight="false" outlineLevel="0" collapsed="false">
      <c r="A18" s="6" t="s">
        <v>9</v>
      </c>
    </row>
    <row r="20" customFormat="false" ht="135" hidden="false" customHeight="true" outlineLevel="0" collapsed="false">
      <c r="A20"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10"/>
    <col collapsed="false" customWidth="true" hidden="false" outlineLevel="0" max="4" min="4" style="0" width="40"/>
  </cols>
  <sheetData>
    <row r="1" customFormat="false" ht="24" hidden="false" customHeight="true" outlineLevel="0" collapsed="false">
      <c r="A1" s="1" t="s">
        <v>11</v>
      </c>
    </row>
    <row r="2" customFormat="false" ht="15" hidden="false" customHeight="false" outlineLevel="0" collapsed="false">
      <c r="A2" s="2" t="s">
        <v>12</v>
      </c>
    </row>
    <row r="3" customFormat="false" ht="15" hidden="false" customHeight="false" outlineLevel="0" collapsed="false">
      <c r="A3" s="3"/>
      <c r="B3" s="3"/>
      <c r="C3" s="3"/>
      <c r="D3" s="3"/>
    </row>
    <row r="5" customFormat="false" ht="15" hidden="false" customHeight="false" outlineLevel="0" collapsed="false">
      <c r="A5" s="4" t="s">
        <v>13</v>
      </c>
      <c r="B5" s="7"/>
      <c r="C5" s="7"/>
      <c r="D5" s="7"/>
    </row>
    <row r="7" customFormat="false" ht="15" hidden="false" customHeight="false" outlineLevel="0" collapsed="false">
      <c r="A7" s="8" t="s">
        <v>14</v>
      </c>
      <c r="B7" s="9" t="n">
        <v>285000000</v>
      </c>
    </row>
    <row r="8" customFormat="false" ht="15" hidden="false" customHeight="false" outlineLevel="0" collapsed="false">
      <c r="A8" s="8" t="s">
        <v>15</v>
      </c>
      <c r="B8" s="9" t="n">
        <v>24600000</v>
      </c>
    </row>
    <row r="10" customFormat="false" ht="15" hidden="false" customHeight="false" outlineLevel="0" collapsed="false">
      <c r="A10" s="4" t="s">
        <v>16</v>
      </c>
      <c r="B10" s="7"/>
      <c r="C10" s="7"/>
      <c r="D10" s="7"/>
    </row>
    <row r="12" customFormat="false" ht="30" hidden="false" customHeight="true" outlineLevel="0" collapsed="false">
      <c r="A12" s="10" t="s">
        <v>17</v>
      </c>
      <c r="B12" s="11" t="s">
        <v>18</v>
      </c>
      <c r="C12" s="11" t="s">
        <v>19</v>
      </c>
      <c r="D12" s="11"/>
    </row>
    <row r="13" customFormat="false" ht="15" hidden="false" customHeight="false" outlineLevel="0" collapsed="false">
      <c r="A13" s="8" t="s">
        <v>20</v>
      </c>
      <c r="B13" s="9" t="n">
        <v>3400000</v>
      </c>
      <c r="C13" s="12" t="n">
        <v>1</v>
      </c>
    </row>
    <row r="14" customFormat="false" ht="15" hidden="false" customHeight="false" outlineLevel="0" collapsed="false">
      <c r="A14" s="8" t="s">
        <v>21</v>
      </c>
      <c r="B14" s="9" t="n">
        <v>2900000</v>
      </c>
      <c r="C14" s="12" t="n">
        <v>1</v>
      </c>
    </row>
    <row r="15" customFormat="false" ht="15" hidden="false" customHeight="false" outlineLevel="0" collapsed="false">
      <c r="A15" s="8" t="s">
        <v>22</v>
      </c>
      <c r="B15" s="9" t="n">
        <v>4200000</v>
      </c>
      <c r="C15" s="12" t="n">
        <v>1</v>
      </c>
    </row>
    <row r="16" customFormat="false" ht="15" hidden="false" customHeight="false" outlineLevel="0" collapsed="false">
      <c r="A16" s="8" t="s">
        <v>23</v>
      </c>
      <c r="B16" s="9" t="n">
        <v>1100000</v>
      </c>
      <c r="C16" s="12" t="n">
        <v>1</v>
      </c>
    </row>
    <row r="17" customFormat="false" ht="15" hidden="false" customHeight="false" outlineLevel="0" collapsed="false">
      <c r="A17" s="8" t="s">
        <v>24</v>
      </c>
      <c r="B17" s="9" t="n">
        <v>800000</v>
      </c>
      <c r="C17" s="12" t="n">
        <v>1</v>
      </c>
    </row>
    <row r="18" customFormat="false" ht="15" hidden="false" customHeight="false" outlineLevel="0" collapsed="false">
      <c r="A18" s="8" t="s">
        <v>25</v>
      </c>
      <c r="B18" s="9" t="n">
        <v>600000</v>
      </c>
      <c r="C18" s="12" t="n">
        <v>1</v>
      </c>
    </row>
    <row r="19" customFormat="false" ht="15" hidden="false" customHeight="false" outlineLevel="0" collapsed="false">
      <c r="A19" s="13" t="s">
        <v>26</v>
      </c>
      <c r="B19" s="14" t="n">
        <f aca="false">SUMPRODUCT(B13:B18,C13:C18)</f>
        <v>13000000</v>
      </c>
    </row>
    <row r="21" customFormat="false" ht="15" hidden="false" customHeight="false" outlineLevel="0" collapsed="false">
      <c r="A21" s="4" t="s">
        <v>27</v>
      </c>
      <c r="B21" s="7"/>
      <c r="C21" s="7"/>
      <c r="D21" s="7"/>
    </row>
    <row r="23" customFormat="false" ht="30" hidden="false" customHeight="true" outlineLevel="0" collapsed="false">
      <c r="A23" s="10" t="s">
        <v>28</v>
      </c>
      <c r="B23" s="11" t="s">
        <v>18</v>
      </c>
      <c r="C23" s="11" t="s">
        <v>19</v>
      </c>
      <c r="D23" s="11"/>
    </row>
    <row r="24" customFormat="false" ht="15" hidden="false" customHeight="false" outlineLevel="0" collapsed="false">
      <c r="A24" s="8" t="s">
        <v>29</v>
      </c>
      <c r="B24" s="9" t="n">
        <v>1740000</v>
      </c>
      <c r="C24" s="12" t="n">
        <v>1</v>
      </c>
    </row>
    <row r="25" customFormat="false" ht="15" hidden="false" customHeight="false" outlineLevel="0" collapsed="false">
      <c r="A25" s="8" t="s">
        <v>30</v>
      </c>
      <c r="B25" s="9" t="n">
        <v>1800000</v>
      </c>
      <c r="C25" s="12" t="n">
        <v>1</v>
      </c>
    </row>
    <row r="26" customFormat="false" ht="15" hidden="false" customHeight="false" outlineLevel="0" collapsed="false">
      <c r="A26" s="8" t="s">
        <v>31</v>
      </c>
      <c r="B26" s="9" t="n">
        <v>3400000</v>
      </c>
      <c r="C26" s="12" t="n">
        <v>1</v>
      </c>
    </row>
    <row r="27" customFormat="false" ht="15" hidden="false" customHeight="false" outlineLevel="0" collapsed="false">
      <c r="A27" s="8" t="s">
        <v>32</v>
      </c>
      <c r="B27" s="9" t="n">
        <v>2200000</v>
      </c>
      <c r="C27" s="12" t="n">
        <v>1</v>
      </c>
    </row>
    <row r="28" customFormat="false" ht="15" hidden="false" customHeight="false" outlineLevel="0" collapsed="false">
      <c r="A28" s="13" t="s">
        <v>33</v>
      </c>
      <c r="B28" s="14" t="n">
        <f aca="false">SUMPRODUCT(B24:B27,C24:C27)</f>
        <v>9140000</v>
      </c>
    </row>
    <row r="30" customFormat="false" ht="15" hidden="false" customHeight="false" outlineLevel="0" collapsed="false">
      <c r="A30" s="4" t="s">
        <v>34</v>
      </c>
      <c r="B30" s="7"/>
      <c r="C30" s="7"/>
      <c r="D30" s="7"/>
    </row>
    <row r="32" customFormat="false" ht="15" hidden="false" customHeight="false" outlineLevel="0" collapsed="false">
      <c r="A32" s="8" t="s">
        <v>35</v>
      </c>
      <c r="B32" s="9" t="n">
        <v>6200000</v>
      </c>
    </row>
    <row r="33" customFormat="false" ht="15" hidden="false" customHeight="false" outlineLevel="0" collapsed="false">
      <c r="A33" s="8" t="s">
        <v>36</v>
      </c>
      <c r="B33" s="9" t="n">
        <v>1600000</v>
      </c>
    </row>
    <row r="34" customFormat="false" ht="15" hidden="false" customHeight="false" outlineLevel="0" collapsed="false">
      <c r="A34" s="8" t="s">
        <v>37</v>
      </c>
      <c r="B34" s="9" t="n">
        <v>2100000</v>
      </c>
    </row>
    <row r="36" customFormat="false" ht="15" hidden="false" customHeight="false" outlineLevel="0" collapsed="false">
      <c r="A36" s="4" t="s">
        <v>38</v>
      </c>
      <c r="B36" s="7"/>
      <c r="C36" s="7"/>
      <c r="D36" s="7"/>
    </row>
    <row r="38" customFormat="false" ht="15" hidden="false" customHeight="false" outlineLevel="0" collapsed="false">
      <c r="A38" s="8" t="s">
        <v>39</v>
      </c>
      <c r="B38" s="9" t="n">
        <v>120000000</v>
      </c>
    </row>
    <row r="39" customFormat="false" ht="15" hidden="false" customHeight="false" outlineLevel="0" collapsed="false">
      <c r="A39" s="8" t="s">
        <v>40</v>
      </c>
      <c r="B39" s="15" t="n">
        <v>0.074</v>
      </c>
    </row>
    <row r="40" customFormat="false" ht="15" hidden="false" customHeight="false" outlineLevel="0" collapsed="false">
      <c r="A40" s="8" t="s">
        <v>41</v>
      </c>
      <c r="B40" s="15" t="n">
        <v>0.034</v>
      </c>
    </row>
    <row r="41" customFormat="false" ht="15" hidden="false" customHeight="false" outlineLevel="0" collapsed="false">
      <c r="A41" s="8" t="s">
        <v>42</v>
      </c>
      <c r="B41" s="15" t="n">
        <v>0.05</v>
      </c>
    </row>
    <row r="42" customFormat="false" ht="15" hidden="false" customHeight="false" outlineLevel="0" collapsed="false">
      <c r="A42" s="8" t="s">
        <v>43</v>
      </c>
      <c r="B42" s="16" t="n">
        <v>4.25</v>
      </c>
    </row>
    <row r="43" customFormat="false" ht="15" hidden="false" customHeight="false" outlineLevel="0" collapsed="false">
      <c r="A43" s="8" t="s">
        <v>44</v>
      </c>
      <c r="B43" s="16" t="n">
        <v>1.2</v>
      </c>
    </row>
    <row r="45" customFormat="false" ht="15" hidden="false" customHeight="false" outlineLevel="0" collapsed="false">
      <c r="A45" s="4" t="s">
        <v>45</v>
      </c>
      <c r="B45" s="7"/>
      <c r="C45" s="7"/>
      <c r="D45" s="7"/>
    </row>
    <row r="47" customFormat="false" ht="15" hidden="false" customHeight="false" outlineLevel="0" collapsed="false">
      <c r="A47" s="8" t="s">
        <v>46</v>
      </c>
      <c r="B47" s="17" t="n">
        <v>2.2</v>
      </c>
    </row>
    <row r="48" customFormat="false" ht="15" hidden="false" customHeight="false" outlineLevel="0" collapsed="false">
      <c r="A48" s="8" t="s">
        <v>47</v>
      </c>
      <c r="B48" s="15" t="n">
        <v>-0.08</v>
      </c>
    </row>
    <row r="49" customFormat="false" ht="15" hidden="false" customHeight="false" outlineLevel="0" collapsed="false">
      <c r="A49" s="8" t="s">
        <v>48</v>
      </c>
      <c r="B49" s="15" t="n">
        <v>0.06</v>
      </c>
    </row>
    <row r="50" customFormat="false" ht="15" hidden="false" customHeight="false" outlineLevel="0" collapsed="false">
      <c r="A50" s="8" t="s">
        <v>49</v>
      </c>
      <c r="B50" s="15" t="n">
        <v>0.04</v>
      </c>
    </row>
    <row r="51" customFormat="false" ht="15" hidden="false" customHeight="false" outlineLevel="0" collapsed="false">
      <c r="A51" s="8" t="s">
        <v>50</v>
      </c>
      <c r="B51" s="16" t="n">
        <v>5.25</v>
      </c>
    </row>
    <row r="52" customFormat="false" ht="15" hidden="false" customHeight="false" outlineLevel="0" collapsed="false">
      <c r="A52" s="8" t="s">
        <v>51</v>
      </c>
      <c r="B52" s="15" t="n">
        <v>0.01</v>
      </c>
    </row>
    <row r="53" customFormat="false" ht="15" hidden="false" customHeight="false" outlineLevel="0" collapsed="false">
      <c r="A53" s="8" t="s">
        <v>52</v>
      </c>
      <c r="B53" s="15" t="n">
        <v>0.005</v>
      </c>
    </row>
  </sheetData>
  <dataValidations count="10">
    <dataValidation allowBlank="false" errorStyle="stop" operator="between" showDropDown="false" showErrorMessage="false" showInputMessage="false" sqref="C13" type="list">
      <formula1>"1,0"</formula1>
      <formula2>0</formula2>
    </dataValidation>
    <dataValidation allowBlank="false" errorStyle="stop" operator="between" showDropDown="false" showErrorMessage="false" showInputMessage="false" sqref="C14" type="list">
      <formula1>"1,0"</formula1>
      <formula2>0</formula2>
    </dataValidation>
    <dataValidation allowBlank="false" errorStyle="stop" operator="between" showDropDown="false" showErrorMessage="false" showInputMessage="false" sqref="C15" type="list">
      <formula1>"1,0"</formula1>
      <formula2>0</formula2>
    </dataValidation>
    <dataValidation allowBlank="false" errorStyle="stop" operator="between" showDropDown="false" showErrorMessage="false" showInputMessage="false" sqref="C16" type="list">
      <formula1>"1,0"</formula1>
      <formula2>0</formula2>
    </dataValidation>
    <dataValidation allowBlank="false" errorStyle="stop" operator="between" showDropDown="false" showErrorMessage="false" showInputMessage="false" sqref="C17" type="list">
      <formula1>"1,0"</formula1>
      <formula2>0</formula2>
    </dataValidation>
    <dataValidation allowBlank="false" errorStyle="stop" operator="between" showDropDown="false" showErrorMessage="false" showInputMessage="false" sqref="C18" type="list">
      <formula1>"1,0"</formula1>
      <formula2>0</formula2>
    </dataValidation>
    <dataValidation allowBlank="false" errorStyle="stop" operator="between" showDropDown="false" showErrorMessage="false" showInputMessage="false" sqref="C24" type="list">
      <formula1>"1,0"</formula1>
      <formula2>0</formula2>
    </dataValidation>
    <dataValidation allowBlank="false" errorStyle="stop" operator="between" showDropDown="false" showErrorMessage="false" showInputMessage="false" sqref="C25" type="list">
      <formula1>"1,0"</formula1>
      <formula2>0</formula2>
    </dataValidation>
    <dataValidation allowBlank="false" errorStyle="stop" operator="between" showDropDown="false" showErrorMessage="false" showInputMessage="false" sqref="C26" type="list">
      <formula1>"1,0"</formula1>
      <formula2>0</formula2>
    </dataValidation>
    <dataValidation allowBlank="false" errorStyle="stop" operator="between" showDropDown="false" showErrorMessage="false" showInputMessage="false" sqref="C27"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20"/>
  </cols>
  <sheetData>
    <row r="1" customFormat="false" ht="24" hidden="false" customHeight="true" outlineLevel="0" collapsed="false">
      <c r="A1" s="1" t="s">
        <v>53</v>
      </c>
    </row>
    <row r="2" customFormat="false" ht="15" hidden="false" customHeight="false" outlineLevel="0" collapsed="false">
      <c r="A2" s="2" t="s">
        <v>54</v>
      </c>
    </row>
    <row r="3" customFormat="false" ht="15" hidden="false" customHeight="false" outlineLevel="0" collapsed="false">
      <c r="A3" s="3"/>
      <c r="B3" s="3"/>
      <c r="C3" s="3"/>
    </row>
    <row r="5" customFormat="false" ht="30" hidden="false" customHeight="true" outlineLevel="0" collapsed="false">
      <c r="A5" s="10"/>
      <c r="B5" s="11" t="s">
        <v>18</v>
      </c>
      <c r="C5" s="11" t="s">
        <v>55</v>
      </c>
    </row>
    <row r="6" customFormat="false" ht="15" hidden="false" customHeight="false" outlineLevel="0" collapsed="false">
      <c r="A6" s="13" t="s">
        <v>15</v>
      </c>
      <c r="B6" s="14" t="n">
        <f aca="false">Inputs!B8</f>
        <v>24600000</v>
      </c>
      <c r="C6" s="14" t="n">
        <f aca="false">B6</f>
        <v>24600000</v>
      </c>
    </row>
    <row r="7" customFormat="false" ht="15" hidden="false" customHeight="false" outlineLevel="0" collapsed="false">
      <c r="A7" s="8" t="s">
        <v>56</v>
      </c>
      <c r="B7" s="18" t="n">
        <f aca="false">Inputs!B13*Inputs!C13</f>
        <v>3400000</v>
      </c>
      <c r="C7" s="18" t="n">
        <f aca="false">C6+B7</f>
        <v>28000000</v>
      </c>
    </row>
    <row r="8" customFormat="false" ht="15" hidden="false" customHeight="false" outlineLevel="0" collapsed="false">
      <c r="A8" s="8" t="s">
        <v>57</v>
      </c>
      <c r="B8" s="18" t="n">
        <f aca="false">Inputs!B14*Inputs!C14</f>
        <v>2900000</v>
      </c>
      <c r="C8" s="18" t="n">
        <f aca="false">C7+B8</f>
        <v>30900000</v>
      </c>
    </row>
    <row r="9" customFormat="false" ht="15" hidden="false" customHeight="false" outlineLevel="0" collapsed="false">
      <c r="A9" s="8" t="s">
        <v>58</v>
      </c>
      <c r="B9" s="18" t="n">
        <f aca="false">Inputs!B15*Inputs!C15</f>
        <v>4200000</v>
      </c>
      <c r="C9" s="18" t="n">
        <f aca="false">C8+B9</f>
        <v>35100000</v>
      </c>
    </row>
    <row r="10" customFormat="false" ht="15" hidden="false" customHeight="false" outlineLevel="0" collapsed="false">
      <c r="A10" s="8" t="s">
        <v>59</v>
      </c>
      <c r="B10" s="18" t="n">
        <f aca="false">Inputs!B16*Inputs!C16</f>
        <v>1100000</v>
      </c>
      <c r="C10" s="18" t="n">
        <f aca="false">C9+B10</f>
        <v>36200000</v>
      </c>
    </row>
    <row r="11" customFormat="false" ht="15" hidden="false" customHeight="false" outlineLevel="0" collapsed="false">
      <c r="A11" s="8" t="s">
        <v>60</v>
      </c>
      <c r="B11" s="18" t="n">
        <f aca="false">Inputs!B17*Inputs!C17</f>
        <v>800000</v>
      </c>
      <c r="C11" s="18" t="n">
        <f aca="false">C10+B11</f>
        <v>37000000</v>
      </c>
    </row>
    <row r="12" customFormat="false" ht="15" hidden="false" customHeight="false" outlineLevel="0" collapsed="false">
      <c r="A12" s="8" t="s">
        <v>61</v>
      </c>
      <c r="B12" s="18" t="n">
        <f aca="false">Inputs!B18*Inputs!C18</f>
        <v>600000</v>
      </c>
      <c r="C12" s="18" t="n">
        <f aca="false">C11+B12</f>
        <v>37600000</v>
      </c>
    </row>
    <row r="13" customFormat="false" ht="15" hidden="false" customHeight="false" outlineLevel="0" collapsed="false">
      <c r="A13" s="13" t="s">
        <v>62</v>
      </c>
      <c r="B13" s="14" t="n">
        <f aca="false">C12</f>
        <v>37600000</v>
      </c>
      <c r="C13" s="14" t="n">
        <f aca="false">B13</f>
        <v>37600000</v>
      </c>
    </row>
    <row r="14" customFormat="false" ht="15" hidden="false" customHeight="false" outlineLevel="0" collapsed="false">
      <c r="A14" s="8" t="s">
        <v>63</v>
      </c>
      <c r="B14" s="18" t="n">
        <f aca="false">-Inputs!B24*Inputs!C24</f>
        <v>-1740000</v>
      </c>
      <c r="C14" s="18" t="n">
        <f aca="false">C13+B14</f>
        <v>35860000</v>
      </c>
    </row>
    <row r="15" customFormat="false" ht="15" hidden="false" customHeight="false" outlineLevel="0" collapsed="false">
      <c r="A15" s="8" t="s">
        <v>64</v>
      </c>
      <c r="B15" s="18" t="n">
        <f aca="false">-Inputs!B25*Inputs!C25</f>
        <v>-1800000</v>
      </c>
      <c r="C15" s="18" t="n">
        <f aca="false">C14+B15</f>
        <v>34060000</v>
      </c>
    </row>
    <row r="16" customFormat="false" ht="15" hidden="false" customHeight="false" outlineLevel="0" collapsed="false">
      <c r="A16" s="8" t="s">
        <v>65</v>
      </c>
      <c r="B16" s="18" t="n">
        <f aca="false">-Inputs!B26*Inputs!C26</f>
        <v>-3400000</v>
      </c>
      <c r="C16" s="18" t="n">
        <f aca="false">C15+B16</f>
        <v>30660000</v>
      </c>
    </row>
    <row r="17" customFormat="false" ht="15" hidden="false" customHeight="false" outlineLevel="0" collapsed="false">
      <c r="A17" s="8" t="s">
        <v>66</v>
      </c>
      <c r="B17" s="18" t="n">
        <f aca="false">-Inputs!B27*Inputs!C27</f>
        <v>-2200000</v>
      </c>
      <c r="C17" s="18" t="n">
        <f aca="false">C16+B17</f>
        <v>28460000</v>
      </c>
    </row>
    <row r="18" customFormat="false" ht="15" hidden="false" customHeight="false" outlineLevel="0" collapsed="false">
      <c r="A18" s="13" t="s">
        <v>67</v>
      </c>
      <c r="B18" s="14" t="n">
        <f aca="false">C17</f>
        <v>28460000</v>
      </c>
      <c r="C18" s="14" t="n">
        <f aca="false">B18</f>
        <v>28460000</v>
      </c>
    </row>
    <row r="19" customFormat="false" ht="15" hidden="false" customHeight="false" outlineLevel="0" collapsed="false">
      <c r="A19" s="8" t="s">
        <v>68</v>
      </c>
      <c r="B19" s="18" t="n">
        <f aca="false">-Inputs!B32</f>
        <v>-6200000</v>
      </c>
      <c r="C19" s="18" t="n">
        <f aca="false">C18+B19</f>
        <v>22260000</v>
      </c>
    </row>
    <row r="20" customFormat="false" ht="15" hidden="false" customHeight="false" outlineLevel="0" collapsed="false">
      <c r="A20" s="8" t="s">
        <v>69</v>
      </c>
      <c r="B20" s="18" t="n">
        <f aca="false">-Inputs!B33</f>
        <v>-1600000</v>
      </c>
      <c r="C20" s="18" t="n">
        <f aca="false">C19+B20</f>
        <v>20660000</v>
      </c>
    </row>
    <row r="21" customFormat="false" ht="15" hidden="false" customHeight="false" outlineLevel="0" collapsed="false">
      <c r="A21" s="8" t="s">
        <v>70</v>
      </c>
      <c r="B21" s="18" t="n">
        <f aca="false">-Inputs!B34</f>
        <v>-2100000</v>
      </c>
      <c r="C21" s="18" t="n">
        <f aca="false">C20+B21</f>
        <v>18560000</v>
      </c>
    </row>
    <row r="22" customFormat="false" ht="15" hidden="false" customHeight="false" outlineLevel="0" collapsed="false">
      <c r="A22" s="13" t="s">
        <v>71</v>
      </c>
      <c r="B22" s="14" t="n">
        <f aca="false">C21</f>
        <v>18560000</v>
      </c>
      <c r="C22" s="14" t="n">
        <f aca="false">B22</f>
        <v>18560000</v>
      </c>
    </row>
    <row r="24" customFormat="false" ht="15" hidden="false" customHeight="false" outlineLevel="0" collapsed="false">
      <c r="A24" s="4" t="s">
        <v>72</v>
      </c>
      <c r="B24" s="7"/>
      <c r="C24" s="7"/>
    </row>
    <row r="26" customFormat="false" ht="15" hidden="false" customHeight="false" outlineLevel="0" collapsed="false">
      <c r="A26" s="13" t="s">
        <v>73</v>
      </c>
      <c r="B26" s="19" t="n">
        <f aca="false">Inputs!B19/B6</f>
        <v>0.528455284552846</v>
      </c>
    </row>
    <row r="27" customFormat="false" ht="15" hidden="false" customHeight="false" outlineLevel="0" collapsed="false">
      <c r="A27" s="13" t="s">
        <v>74</v>
      </c>
      <c r="B27" s="19" t="n">
        <f aca="false">Inputs!B19/B13</f>
        <v>0.345744680851064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20"/>
    <col collapsed="false" customWidth="true" hidden="false" outlineLevel="0" max="3" min="3" style="0" width="16"/>
    <col collapsed="false" customWidth="true" hidden="false" outlineLevel="0" max="4" min="4" style="0" width="44"/>
  </cols>
  <sheetData>
    <row r="1" customFormat="false" ht="24" hidden="false" customHeight="true" outlineLevel="0" collapsed="false">
      <c r="A1" s="1" t="s">
        <v>75</v>
      </c>
    </row>
    <row r="2" customFormat="false" ht="15" hidden="false" customHeight="false" outlineLevel="0" collapsed="false">
      <c r="A2" s="2" t="s">
        <v>76</v>
      </c>
    </row>
    <row r="3" customFormat="false" ht="15" hidden="false" customHeight="false" outlineLevel="0" collapsed="false">
      <c r="A3" s="3"/>
      <c r="B3" s="3"/>
      <c r="C3" s="3"/>
      <c r="D3" s="3"/>
    </row>
    <row r="5" customFormat="false" ht="30" hidden="false" customHeight="true" outlineLevel="0" collapsed="false">
      <c r="A5" s="10" t="s">
        <v>77</v>
      </c>
      <c r="B5" s="11" t="s">
        <v>78</v>
      </c>
      <c r="C5" s="11" t="s">
        <v>79</v>
      </c>
      <c r="D5" s="11" t="s">
        <v>80</v>
      </c>
    </row>
    <row r="6" customFormat="false" ht="15" hidden="false" customHeight="false" outlineLevel="0" collapsed="false">
      <c r="A6" s="13" t="s">
        <v>15</v>
      </c>
      <c r="B6" s="14" t="n">
        <f aca="false">Bridge!B6</f>
        <v>24600000</v>
      </c>
      <c r="C6" s="20" t="n">
        <f aca="false">Inputs!$B$38/B6</f>
        <v>4.87804878048781</v>
      </c>
      <c r="D6" s="21" t="str">
        <f aca="false">IF(C6&lt;=Inputs!$B$42,"met","breached")</f>
        <v>breached</v>
      </c>
    </row>
    <row r="7" customFormat="false" ht="15" hidden="false" customHeight="false" outlineLevel="0" collapsed="false">
      <c r="A7" s="13" t="s">
        <v>81</v>
      </c>
      <c r="B7" s="14" t="n">
        <f aca="false">Bridge!B13</f>
        <v>37600000</v>
      </c>
      <c r="C7" s="20" t="n">
        <f aca="false">Inputs!$B$38/B7</f>
        <v>3.19148936170213</v>
      </c>
      <c r="D7" s="21" t="str">
        <f aca="false">IF(C7&lt;=Inputs!$B$42,"met","breached")</f>
        <v>met</v>
      </c>
    </row>
    <row r="8" customFormat="false" ht="15" hidden="false" customHeight="false" outlineLevel="0" collapsed="false">
      <c r="A8" s="13" t="s">
        <v>82</v>
      </c>
      <c r="B8" s="14" t="n">
        <f aca="false">Bridge!B18</f>
        <v>28460000</v>
      </c>
      <c r="C8" s="20" t="n">
        <f aca="false">Inputs!$B$38/B8</f>
        <v>4.21644413211525</v>
      </c>
      <c r="D8" s="21" t="str">
        <f aca="false">IF(C8&lt;=Inputs!$B$42,"met","breached")</f>
        <v>met</v>
      </c>
    </row>
    <row r="9" customFormat="false" ht="15" hidden="false" customHeight="false" outlineLevel="0" collapsed="false">
      <c r="A9" s="13" t="s">
        <v>83</v>
      </c>
      <c r="B9" s="14" t="n">
        <f aca="false">Bridge!B22</f>
        <v>18560000</v>
      </c>
      <c r="C9" s="20" t="n">
        <f aca="false">Inputs!$B$38/B9</f>
        <v>6.46551724137931</v>
      </c>
      <c r="D9" s="21" t="str">
        <f aca="false">IF(C9&lt;=Inputs!$B$42,"met","breached")</f>
        <v>breached</v>
      </c>
    </row>
    <row r="11" customFormat="false" ht="15" hidden="false" customHeight="false" outlineLevel="0" collapsed="false">
      <c r="A11" s="4" t="s">
        <v>84</v>
      </c>
      <c r="B11" s="7"/>
      <c r="C11" s="7"/>
      <c r="D11" s="7"/>
    </row>
    <row r="13" customFormat="false" ht="15" hidden="false" customHeight="false" outlineLevel="0" collapsed="false">
      <c r="A13" s="8" t="s">
        <v>85</v>
      </c>
      <c r="B13" s="22" t="n">
        <f aca="false">MAX(C6:C9)</f>
        <v>6.46551724137931</v>
      </c>
    </row>
    <row r="14" customFormat="false" ht="15" hidden="false" customHeight="false" outlineLevel="0" collapsed="false">
      <c r="A14" s="8" t="s">
        <v>86</v>
      </c>
      <c r="B14" s="22" t="n">
        <f aca="false">MIN(C6:C9)</f>
        <v>3.19148936170213</v>
      </c>
    </row>
    <row r="15" customFormat="false" ht="15" hidden="false" customHeight="false" outlineLevel="0" collapsed="false">
      <c r="A15" s="13" t="s">
        <v>87</v>
      </c>
      <c r="B15" s="20" t="n">
        <f aca="false">B13-B14</f>
        <v>3.27402787967718</v>
      </c>
    </row>
    <row r="16" customFormat="false" ht="15" hidden="false" customHeight="false" outlineLevel="0" collapsed="false">
      <c r="A16" s="13" t="s">
        <v>88</v>
      </c>
      <c r="B16" s="20" t="n">
        <f aca="false">C6-C7</f>
        <v>1.68655941878568</v>
      </c>
    </row>
    <row r="17" customFormat="false" ht="15" hidden="false" customHeight="false" outlineLevel="0" collapsed="false">
      <c r="A17" s="8" t="s">
        <v>89</v>
      </c>
      <c r="B17" s="22" t="n">
        <f aca="false">C8-C7</f>
        <v>1.02495477041312</v>
      </c>
    </row>
    <row r="18" customFormat="false" ht="15" hidden="false" customHeight="false" outlineLevel="0" collapsed="false">
      <c r="A18" s="13" t="s">
        <v>90</v>
      </c>
      <c r="B18" s="20" t="n">
        <f aca="false">Inputs!B42-C8</f>
        <v>0.0335558678847505</v>
      </c>
    </row>
    <row r="19" customFormat="false" ht="15" hidden="false" customHeight="false" outlineLevel="0" collapsed="false">
      <c r="A19" s="13" t="s">
        <v>91</v>
      </c>
      <c r="B19" s="23" t="n">
        <f aca="false">B16/B18</f>
        <v>50.2612367106182</v>
      </c>
    </row>
    <row r="20" customFormat="false" ht="15" hidden="false" customHeight="false" outlineLevel="0" collapsed="false">
      <c r="A20" s="13" t="s">
        <v>73</v>
      </c>
      <c r="B20" s="19" t="n">
        <f aca="false">Bridge!B26</f>
        <v>0.528455284552846</v>
      </c>
    </row>
    <row r="21" customFormat="false" ht="15" hidden="false" customHeight="false" outlineLevel="0" collapsed="false">
      <c r="A21" s="8" t="s">
        <v>74</v>
      </c>
      <c r="B21" s="24" t="n">
        <f aca="false">Bridge!B27</f>
        <v>0.345744680851064</v>
      </c>
    </row>
    <row r="23" customFormat="false" ht="15" hidden="false" customHeight="false" outlineLevel="0" collapsed="false">
      <c r="A23" s="25" t="s">
        <v>92</v>
      </c>
    </row>
    <row r="24" customFormat="false" ht="15" hidden="false" customHeight="false" outlineLevel="0" collapsed="false">
      <c r="A24" s="25" t="s">
        <v>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5" min="2" style="0" width="20"/>
    <col collapsed="false" customWidth="true" hidden="false" outlineLevel="0" max="6" min="6" style="0" width="44"/>
  </cols>
  <sheetData>
    <row r="1" customFormat="false" ht="19.7" hidden="false" customHeight="false" outlineLevel="0" collapsed="false">
      <c r="A1" s="26" t="s">
        <v>94</v>
      </c>
    </row>
    <row r="2" customFormat="false" ht="15" hidden="false" customHeight="false" outlineLevel="0" collapsed="false">
      <c r="A2" s="27" t="s">
        <v>95</v>
      </c>
    </row>
    <row r="5" customFormat="false" ht="15" hidden="false" customHeight="false" outlineLevel="0" collapsed="false">
      <c r="A5" s="6" t="s">
        <v>96</v>
      </c>
    </row>
    <row r="7" customFormat="false" ht="15" hidden="false" customHeight="false" outlineLevel="0" collapsed="false">
      <c r="A7" s="8" t="s">
        <v>97</v>
      </c>
      <c r="B7" s="24" t="n">
        <f aca="false">Bridge!$B$6/Inputs!$B$7</f>
        <v>0.0863157894736842</v>
      </c>
    </row>
    <row r="8" customFormat="false" ht="15" hidden="false" customHeight="false" outlineLevel="0" collapsed="false">
      <c r="A8" s="8" t="s">
        <v>98</v>
      </c>
      <c r="B8" s="24" t="n">
        <f aca="false">Bridge!$B$18/Inputs!$B$7</f>
        <v>0.099859649122807</v>
      </c>
    </row>
    <row r="9" customFormat="false" ht="15" hidden="false" customHeight="false" outlineLevel="0" collapsed="false">
      <c r="A9" s="8" t="s">
        <v>99</v>
      </c>
      <c r="B9" s="24" t="n">
        <f aca="false">Bridge!$B$13/Inputs!$B$7</f>
        <v>0.131929824561404</v>
      </c>
    </row>
    <row r="10" customFormat="false" ht="15" hidden="false" customHeight="false" outlineLevel="0" collapsed="false">
      <c r="A10" s="8" t="s">
        <v>100</v>
      </c>
      <c r="B10" s="24" t="n">
        <f aca="false">Bridge!$B$22/Inputs!$B$7</f>
        <v>0.0651228070175439</v>
      </c>
    </row>
    <row r="11" customFormat="false" ht="15" hidden="false" customHeight="false" outlineLevel="0" collapsed="false">
      <c r="A11" s="8" t="s">
        <v>101</v>
      </c>
      <c r="B11" s="24" t="n">
        <f aca="false">(Bridge!$B$13-Bridge!$B$6)/Inputs!$B$7</f>
        <v>0.0456140350877193</v>
      </c>
    </row>
    <row r="12" customFormat="false" ht="15" hidden="false" customHeight="false" outlineLevel="0" collapsed="false">
      <c r="A12" s="8" t="s">
        <v>102</v>
      </c>
      <c r="B12" s="24" t="n">
        <f aca="false">(Bridge!$B$13-Bridge!$B$22)/Inputs!$B$7</f>
        <v>0.0668070175438597</v>
      </c>
    </row>
    <row r="13" customFormat="false" ht="15" hidden="false" customHeight="false" outlineLevel="0" collapsed="false">
      <c r="A13" s="6" t="s">
        <v>103</v>
      </c>
    </row>
    <row r="15" customFormat="false" ht="15" hidden="false" customHeight="false" outlineLevel="0" collapsed="false">
      <c r="A15" s="8" t="s">
        <v>104</v>
      </c>
      <c r="B15" s="18" t="n">
        <f aca="false">Inputs!$B$27*Inputs!$C$27</f>
        <v>2200000</v>
      </c>
    </row>
    <row r="16" customFormat="false" ht="15" hidden="false" customHeight="false" outlineLevel="0" collapsed="false">
      <c r="A16" s="8" t="s">
        <v>105</v>
      </c>
      <c r="B16" s="24" t="n">
        <f aca="false">'Margins and Cash'!$B$15/Bridge!$B$6</f>
        <v>0.0894308943089431</v>
      </c>
    </row>
    <row r="17" customFormat="false" ht="15" hidden="false" customHeight="false" outlineLevel="0" collapsed="false">
      <c r="A17" s="8" t="s">
        <v>106</v>
      </c>
      <c r="B17" s="18" t="n">
        <f aca="false">Bridge!$B$6-'Margins and Cash'!$B$15</f>
        <v>22400000</v>
      </c>
    </row>
    <row r="18" customFormat="false" ht="15" hidden="false" customHeight="false" outlineLevel="0" collapsed="false">
      <c r="A18" s="8" t="s">
        <v>107</v>
      </c>
      <c r="B18" s="22" t="n">
        <f aca="false">Inputs!$B$38/'Margins and Cash'!$B$17</f>
        <v>5.35714285714286</v>
      </c>
    </row>
    <row r="19" customFormat="false" ht="15" hidden="false" customHeight="false" outlineLevel="0" collapsed="false">
      <c r="A19" s="8" t="s">
        <v>108</v>
      </c>
      <c r="B19" s="28" t="n">
        <f aca="false">'Margins and Cash'!$B$18-Inputs!$B$38/Bridge!$B$6</f>
        <v>0.479094076655052</v>
      </c>
    </row>
    <row r="20" customFormat="false" ht="15" hidden="false" customHeight="false" outlineLevel="0" collapsed="false">
      <c r="A20" s="8" t="s">
        <v>109</v>
      </c>
      <c r="B20" s="29" t="n">
        <v>0.01</v>
      </c>
    </row>
    <row r="21" customFormat="false" ht="15" hidden="false" customHeight="false" outlineLevel="0" collapsed="false">
      <c r="A21" s="8" t="s">
        <v>110</v>
      </c>
      <c r="B21" s="18" t="n">
        <f aca="false">'Margins and Cash'!$B$20*Inputs!$B$7</f>
        <v>2850000</v>
      </c>
    </row>
    <row r="22" customFormat="false" ht="15" hidden="false" customHeight="false" outlineLevel="0" collapsed="false">
      <c r="A22" s="8" t="s">
        <v>105</v>
      </c>
      <c r="B22" s="24" t="n">
        <f aca="false">'Margins and Cash'!$B$21/Bridge!$B$6</f>
        <v>0.115853658536585</v>
      </c>
    </row>
    <row r="23" customFormat="false" ht="15" hidden="false" customHeight="false" outlineLevel="0" collapsed="false">
      <c r="A23" s="8" t="s">
        <v>111</v>
      </c>
      <c r="B23" s="22" t="n">
        <f aca="false">Inputs!$B$38/(Bridge!$B$6+'Margins and Cash'!$B$21)</f>
        <v>4.37158469945355</v>
      </c>
    </row>
    <row r="24" customFormat="false" ht="15" hidden="false" customHeight="false" outlineLevel="0" collapsed="false">
      <c r="A24" s="8" t="s">
        <v>112</v>
      </c>
      <c r="B24" s="28" t="n">
        <f aca="false">Inputs!$B$38/Bridge!$B$6-Inputs!$B$38/(Bridge!$B$6+1000000)</f>
        <v>0.190548780487805</v>
      </c>
    </row>
    <row r="25" customFormat="false" ht="15" hidden="false" customHeight="false" outlineLevel="0" collapsed="false">
      <c r="A25" s="8" t="s">
        <v>113</v>
      </c>
      <c r="B25" s="24" t="n">
        <f aca="false">(Bridge!$B$18-Inputs!$B$38/Inputs!$B$42)/Bridge!$B$6</f>
        <v>0.00913438546150166</v>
      </c>
    </row>
    <row r="26" customFormat="false" ht="15" hidden="false" customHeight="false" outlineLevel="0" collapsed="false">
      <c r="A26" s="6" t="s">
        <v>114</v>
      </c>
    </row>
    <row r="28" customFormat="false" ht="15" hidden="false" customHeight="false" outlineLevel="0" collapsed="false">
      <c r="A28" s="8" t="s">
        <v>115</v>
      </c>
      <c r="B28" s="18" t="n">
        <f aca="false">Bridge!$B$6-Inputs!$B$33-Inputs!$B$34</f>
        <v>20900000</v>
      </c>
    </row>
    <row r="29" customFormat="false" ht="15" hidden="false" customHeight="false" outlineLevel="0" collapsed="false">
      <c r="A29" s="8" t="s">
        <v>116</v>
      </c>
      <c r="B29" s="24" t="n">
        <f aca="false">'Margins and Cash'!$B$28/Bridge!$B$6</f>
        <v>0.849593495934959</v>
      </c>
    </row>
    <row r="30" customFormat="false" ht="15" hidden="false" customHeight="false" outlineLevel="0" collapsed="false">
      <c r="A30" s="8" t="s">
        <v>117</v>
      </c>
      <c r="B30" s="18" t="n">
        <f aca="false">'Margins and Cash'!$B$28-Inputs!$B$32</f>
        <v>14700000</v>
      </c>
    </row>
    <row r="31" customFormat="false" ht="15" hidden="false" customHeight="false" outlineLevel="0" collapsed="false">
      <c r="A31" s="8" t="s">
        <v>116</v>
      </c>
      <c r="B31" s="24" t="n">
        <f aca="false">'Margins and Cash'!$B$30/Bridge!$B$6</f>
        <v>0.597560975609756</v>
      </c>
    </row>
    <row r="32" customFormat="false" ht="15" hidden="false" customHeight="false" outlineLevel="0" collapsed="false">
      <c r="A32" s="8" t="s">
        <v>118</v>
      </c>
      <c r="B32" s="18" t="n">
        <f aca="false">(Inputs!$B$38*Inputs!$B$39+Inputs!$B$38*Inputs!$B$41)</f>
        <v>14880000</v>
      </c>
    </row>
    <row r="33" customFormat="false" ht="15" hidden="false" customHeight="false" outlineLevel="0" collapsed="false">
      <c r="A33" s="8" t="s">
        <v>119</v>
      </c>
      <c r="B33" s="14" t="n">
        <f aca="false">'Margins and Cash'!$B$32-'Margins and Cash'!$B$30</f>
        <v>180000</v>
      </c>
    </row>
    <row r="34" customFormat="false" ht="15" hidden="false" customHeight="false" outlineLevel="0" collapsed="false">
      <c r="A34" s="8" t="s">
        <v>120</v>
      </c>
      <c r="B34" s="22" t="n">
        <f aca="false">Inputs!$B$38/'Margins and Cash'!$B$30</f>
        <v>8.16326530612245</v>
      </c>
    </row>
    <row r="35" customFormat="false" ht="15" hidden="false" customHeight="false" outlineLevel="0" collapsed="false">
      <c r="A35" s="8" t="s">
        <v>121</v>
      </c>
      <c r="B35" s="18" t="n">
        <f aca="false">(Bridge!$B$18-(Inputs!$B$32+Inputs!$B$33+Inputs!$B$34))-'Margins and Cash'!$B$30</f>
        <v>3860000</v>
      </c>
      <c r="C35" s="30" t="s">
        <v>122</v>
      </c>
    </row>
    <row r="36" customFormat="false" ht="15" hidden="false" customHeight="false" outlineLevel="0" collapsed="false">
      <c r="A36" s="6" t="s">
        <v>123</v>
      </c>
    </row>
    <row r="38" customFormat="false" ht="15" hidden="false" customHeight="false" outlineLevel="0" collapsed="false">
      <c r="A38" s="8" t="s">
        <v>124</v>
      </c>
      <c r="B38" s="14" t="n">
        <f aca="false">(Inputs!$B$32+Inputs!$B$33+Inputs!$B$34)</f>
        <v>9900000</v>
      </c>
      <c r="C38" s="30" t="s">
        <v>125</v>
      </c>
    </row>
    <row r="39" customFormat="false" ht="15" hidden="false" customHeight="false" outlineLevel="0" collapsed="false">
      <c r="A39" s="8" t="s">
        <v>126</v>
      </c>
      <c r="B39" s="24" t="n">
        <f aca="false">'Margins and Cash'!$B$38/Bridge!$B$18</f>
        <v>0.347856640899508</v>
      </c>
    </row>
    <row r="40" customFormat="false" ht="15" hidden="false" customHeight="false" outlineLevel="0" collapsed="false">
      <c r="A40" s="8" t="s">
        <v>127</v>
      </c>
      <c r="B40" s="24" t="n">
        <f aca="false">Bridge!$B$22/Bridge!$B$18</f>
        <v>0.652143359100492</v>
      </c>
    </row>
    <row r="41" customFormat="false" ht="15" hidden="false" customHeight="false" outlineLevel="0" collapsed="false">
      <c r="A41" s="8" t="s">
        <v>128</v>
      </c>
      <c r="B41" s="24" t="n">
        <f aca="false">'Margins and Cash'!$B$15/Inputs!$B$32</f>
        <v>0.354838709677419</v>
      </c>
    </row>
    <row r="42" customFormat="false" ht="15" hidden="false" customHeight="false" outlineLevel="0" collapsed="false">
      <c r="A42" s="8" t="s">
        <v>129</v>
      </c>
      <c r="B42" s="22" t="n">
        <f aca="false">(Bridge!$B$22+Inputs!$B$32/2)/(Inputs!$B$38*Inputs!$B$39+Inputs!$B$38*Inputs!$B$41)</f>
        <v>1.45564516129032</v>
      </c>
    </row>
    <row r="43" customFormat="false" ht="15" hidden="false" customHeight="false" outlineLevel="0" collapsed="false">
      <c r="A43" s="8" t="s">
        <v>130</v>
      </c>
      <c r="B43" s="22" t="n">
        <f aca="false">Inputs!$B$38/(Bridge!$B$22+Inputs!$B$32/2)</f>
        <v>5.54016620498615</v>
      </c>
    </row>
    <row r="44" customFormat="false" ht="15" hidden="false" customHeight="false" outlineLevel="0" collapsed="false">
      <c r="A44" s="8" t="s">
        <v>131</v>
      </c>
      <c r="B44" s="18" t="n">
        <f aca="false">3*Inputs!$B$32/2</f>
        <v>9300000</v>
      </c>
    </row>
    <row r="45" customFormat="false" ht="15" hidden="false" customHeight="false" outlineLevel="0" collapsed="false">
      <c r="A45" s="8" t="s">
        <v>126</v>
      </c>
      <c r="B45" s="24" t="n">
        <f aca="false">'Margins and Cash'!$B$44/Bridge!$B$18</f>
        <v>0.326774420238932</v>
      </c>
    </row>
    <row r="46" customFormat="false" ht="15" hidden="false" customHeight="false" outlineLevel="0" collapsed="false">
      <c r="A46" s="8" t="s">
        <v>132</v>
      </c>
      <c r="B46" s="24" t="n">
        <f aca="false">Inputs!$B$34/(Bridge!$B$6-(Inputs!$B$38*Inputs!$B$39))</f>
        <v>0.133587786259542</v>
      </c>
    </row>
    <row r="47" customFormat="false" ht="15" hidden="false" customHeight="false" outlineLevel="0" collapsed="false">
      <c r="A47" s="8" t="s">
        <v>133</v>
      </c>
      <c r="B47" s="24" t="n">
        <f aca="false">Bridge!$B$22/Bridge!$B$13</f>
        <v>0.493617021276596</v>
      </c>
    </row>
    <row r="48" customFormat="false" ht="15" hidden="false" customHeight="false" outlineLevel="0" collapsed="false">
      <c r="A48" s="8" t="s">
        <v>134</v>
      </c>
      <c r="B48" s="18" t="n">
        <f aca="false">Bridge!$B$13-Bridge!$B$22</f>
        <v>19040000</v>
      </c>
    </row>
    <row r="49" customFormat="false" ht="15" hidden="false" customHeight="false" outlineLevel="0" collapsed="false">
      <c r="A49" s="6" t="s">
        <v>135</v>
      </c>
    </row>
    <row r="51" customFormat="false" ht="15" hidden="false" customHeight="false" outlineLevel="0" collapsed="false">
      <c r="A51" s="8" t="s">
        <v>136</v>
      </c>
      <c r="B51" s="18" t="n">
        <f aca="false">Inputs!$B$16*Inputs!$C$16</f>
        <v>1100000</v>
      </c>
    </row>
    <row r="52" customFormat="false" ht="15" hidden="false" customHeight="false" outlineLevel="0" collapsed="false">
      <c r="A52" s="8" t="s">
        <v>137</v>
      </c>
      <c r="B52" s="18" t="n">
        <f aca="false">Bridge!$B$22-'Margins and Cash'!$B$51</f>
        <v>17460000</v>
      </c>
    </row>
    <row r="53" customFormat="false" ht="15" hidden="false" customHeight="false" outlineLevel="0" collapsed="false">
      <c r="A53" s="8" t="s">
        <v>120</v>
      </c>
      <c r="B53" s="22" t="n">
        <f aca="false">Inputs!$B$38/'Margins and Cash'!$B$52</f>
        <v>6.87285223367698</v>
      </c>
    </row>
    <row r="54" customFormat="false" ht="15" hidden="false" customHeight="false" outlineLevel="0" collapsed="false">
      <c r="A54" s="8" t="s">
        <v>138</v>
      </c>
      <c r="B54" s="31" t="n">
        <f aca="false">'Margins and Cash'!$B$53-Inputs!$B$38/Bridge!$B$22</f>
        <v>0.407334992297665</v>
      </c>
      <c r="C54" s="30" t="s">
        <v>139</v>
      </c>
    </row>
    <row r="55" customFormat="false" ht="15" hidden="false" customHeight="false" outlineLevel="0" collapsed="false">
      <c r="A55" s="8" t="s">
        <v>140</v>
      </c>
      <c r="B55" s="20" t="n">
        <f aca="false">'Margins and Cash'!$B$52/(Inputs!$B$38*Inputs!$B$39+Inputs!$B$38*Inputs!$B$41)</f>
        <v>1.17338709677419</v>
      </c>
    </row>
    <row r="56" customFormat="false" ht="15" hidden="false" customHeight="false" outlineLevel="0" collapsed="false">
      <c r="A56" s="8" t="s">
        <v>141</v>
      </c>
      <c r="B56" s="8" t="str">
        <f aca="false">IF('Margins and Cash'!$B$55&lt;Inputs!$B$43,"below the covenant","within the covenant")</f>
        <v>below the covenant</v>
      </c>
    </row>
    <row r="57" customFormat="false" ht="15" hidden="false" customHeight="false" outlineLevel="0" collapsed="false">
      <c r="A57" s="6" t="s">
        <v>142</v>
      </c>
    </row>
    <row r="59" customFormat="false" ht="15" hidden="false" customHeight="false" outlineLevel="0" collapsed="false">
      <c r="A59" s="8" t="s">
        <v>143</v>
      </c>
      <c r="B59" s="18" t="n">
        <f aca="false">Inputs!$B$14*Inputs!$C$14+Inputs!$B$15*Inputs!$C$15</f>
        <v>7100000</v>
      </c>
    </row>
    <row r="60" customFormat="false" ht="15" hidden="false" customHeight="false" outlineLevel="0" collapsed="false">
      <c r="A60" s="8" t="s">
        <v>144</v>
      </c>
      <c r="B60" s="24" t="n">
        <f aca="false">'Margins and Cash'!$B$59/Bridge!$B$13</f>
        <v>0.188829787234043</v>
      </c>
    </row>
    <row r="61" customFormat="false" ht="23.85" hidden="false" customHeight="false" outlineLevel="0" collapsed="false">
      <c r="A61" s="32" t="s">
        <v>77</v>
      </c>
      <c r="B61" s="32" t="s">
        <v>78</v>
      </c>
      <c r="C61" s="32" t="s">
        <v>145</v>
      </c>
      <c r="D61" s="32" t="s">
        <v>146</v>
      </c>
    </row>
    <row r="62" customFormat="false" ht="15" hidden="false" customHeight="false" outlineLevel="0" collapsed="false">
      <c r="A62" s="8" t="s">
        <v>147</v>
      </c>
      <c r="B62" s="18" t="n">
        <f aca="false">Bridge!$B$6</f>
        <v>24600000</v>
      </c>
      <c r="C62" s="18" t="n">
        <f aca="false">Inputs!$B$42*B62</f>
        <v>104550000</v>
      </c>
      <c r="D62" s="18" t="n">
        <f aca="false">C62-Inputs!$B$38</f>
        <v>-15450000</v>
      </c>
    </row>
    <row r="63" customFormat="false" ht="15" hidden="false" customHeight="false" outlineLevel="0" collapsed="false">
      <c r="A63" s="8" t="s">
        <v>148</v>
      </c>
      <c r="B63" s="18" t="n">
        <f aca="false">Bridge!$B$13</f>
        <v>37600000</v>
      </c>
      <c r="C63" s="18" t="n">
        <f aca="false">Inputs!$B$42*B63</f>
        <v>159800000</v>
      </c>
      <c r="D63" s="18" t="n">
        <f aca="false">C63-Inputs!$B$38</f>
        <v>39800000</v>
      </c>
    </row>
    <row r="64" customFormat="false" ht="15" hidden="false" customHeight="false" outlineLevel="0" collapsed="false">
      <c r="A64" s="8" t="s">
        <v>149</v>
      </c>
      <c r="B64" s="18" t="n">
        <f aca="false">Bridge!$B$18</f>
        <v>28460000</v>
      </c>
      <c r="C64" s="18" t="n">
        <f aca="false">Inputs!$B$42*B64</f>
        <v>120955000</v>
      </c>
      <c r="D64" s="18" t="n">
        <f aca="false">C64-Inputs!$B$38</f>
        <v>955000</v>
      </c>
    </row>
    <row r="65" customFormat="false" ht="15" hidden="false" customHeight="false" outlineLevel="0" collapsed="false">
      <c r="A65" s="8" t="s">
        <v>150</v>
      </c>
      <c r="B65" s="18" t="n">
        <f aca="false">Bridge!$B$22</f>
        <v>18560000</v>
      </c>
      <c r="C65" s="18" t="n">
        <f aca="false">Inputs!$B$42*B65</f>
        <v>78880000</v>
      </c>
      <c r="D65" s="18" t="n">
        <f aca="false">C65-Inputs!$B$38</f>
        <v>-41120000</v>
      </c>
    </row>
    <row r="66" customFormat="false" ht="15" hidden="false" customHeight="false" outlineLevel="0" collapsed="false">
      <c r="A66" s="8" t="s">
        <v>151</v>
      </c>
      <c r="B66" s="18" t="n">
        <f aca="false">MAX(C62:C65)-MIN(C62:C65)</f>
        <v>80920000</v>
      </c>
    </row>
    <row r="67" customFormat="false" ht="15" hidden="false" customHeight="false" outlineLevel="0" collapsed="false">
      <c r="A67" s="8" t="s">
        <v>152</v>
      </c>
      <c r="B67" s="24" t="n">
        <f aca="false">'Margins and Cash'!$B$66/Inputs!$B$38</f>
        <v>0.674333333333333</v>
      </c>
    </row>
    <row r="68" customFormat="false" ht="15" hidden="false" customHeight="false" outlineLevel="0" collapsed="false">
      <c r="A68" s="8" t="s">
        <v>153</v>
      </c>
      <c r="B68" s="28" t="n">
        <f aca="false">10000000/Bridge!$B$18</f>
        <v>0.351370344342937</v>
      </c>
    </row>
    <row r="69" customFormat="false" ht="15" hidden="false" customHeight="false" outlineLevel="0" collapsed="false">
      <c r="A69" s="8" t="s">
        <v>154</v>
      </c>
      <c r="B69" s="28" t="n">
        <f aca="false">Inputs!$B$42-Inputs!$B$38/Bridge!$B$13</f>
        <v>1.05851063829787</v>
      </c>
    </row>
    <row r="70" customFormat="false" ht="15" hidden="false" customHeight="false" outlineLevel="0" collapsed="false">
      <c r="A70" s="8" t="s">
        <v>155</v>
      </c>
      <c r="B70" s="28" t="n">
        <f aca="false">Inputs!$B$38/Bridge!$B$22-Inputs!$B$38/Bridge!$B$6</f>
        <v>1.58746846089151</v>
      </c>
    </row>
    <row r="71" customFormat="false" ht="15" hidden="false" customHeight="false" outlineLevel="0" collapsed="false">
      <c r="A71" s="6" t="s">
        <v>156</v>
      </c>
    </row>
    <row r="73" customFormat="false" ht="15" hidden="false" customHeight="false" outlineLevel="0" collapsed="false">
      <c r="A73" s="8" t="s">
        <v>157</v>
      </c>
      <c r="B73" s="28" t="n">
        <f aca="false">Inputs!$B$38/Bridge!$B$18-Inputs!$B$38/Bridge!$B$13</f>
        <v>1.02495477041312</v>
      </c>
    </row>
    <row r="74" customFormat="false" ht="15" hidden="false" customHeight="false" outlineLevel="0" collapsed="false">
      <c r="A74" s="8" t="s">
        <v>158</v>
      </c>
      <c r="B74" s="28" t="n">
        <f aca="false">Inputs!$B$38/Bridge!$B$6-Inputs!$B$38/Bridge!$B$18</f>
        <v>0.661604648372555</v>
      </c>
    </row>
    <row r="75" customFormat="false" ht="15" hidden="false" customHeight="false" outlineLevel="0" collapsed="false">
      <c r="A75" s="8" t="s">
        <v>159</v>
      </c>
      <c r="B75" s="28" t="n">
        <f aca="false">'Margins and Cash'!$B$73+'Margins and Cash'!$B$74</f>
        <v>1.68655941878568</v>
      </c>
    </row>
    <row r="76" customFormat="false" ht="15" hidden="false" customHeight="false" outlineLevel="0" collapsed="false">
      <c r="A76" s="8" t="s">
        <v>160</v>
      </c>
      <c r="B76" s="28" t="n">
        <f aca="false">Inputs!$B$38/Bridge!$B$22-Inputs!$B$38/Bridge!$B$18</f>
        <v>2.24907310926406</v>
      </c>
    </row>
    <row r="77" customFormat="false" ht="15" hidden="false" customHeight="false" outlineLevel="0" collapsed="false">
      <c r="A77" s="8" t="s">
        <v>161</v>
      </c>
      <c r="B77" s="31" t="n">
        <f aca="false">'Margins and Cash'!$B$73+'Margins and Cash'!$B$76</f>
        <v>3.27402787967718</v>
      </c>
    </row>
    <row r="78" customFormat="false" ht="15" hidden="false" customHeight="false" outlineLevel="0" collapsed="false">
      <c r="A78" s="8" t="s">
        <v>162</v>
      </c>
      <c r="B78" s="28" t="n">
        <f aca="false">'Margins and Cash'!$B$75+'Margins and Cash'!$B$73+'Margins and Cash'!$B$76</f>
        <v>4.96058729846286</v>
      </c>
      <c r="C78" s="30" t="s">
        <v>163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58"/>
  </cols>
  <sheetData>
    <row r="1" customFormat="false" ht="24" hidden="false" customHeight="true" outlineLevel="0" collapsed="false">
      <c r="A1" s="1" t="s">
        <v>164</v>
      </c>
    </row>
    <row r="2" customFormat="false" ht="15" hidden="false" customHeight="false" outlineLevel="0" collapsed="false">
      <c r="A2" s="2" t="s">
        <v>165</v>
      </c>
    </row>
    <row r="3" customFormat="false" ht="15" hidden="false" customHeight="false" outlineLevel="0" collapsed="false">
      <c r="A3" s="3"/>
      <c r="B3" s="3"/>
      <c r="C3" s="3"/>
      <c r="D3" s="3"/>
      <c r="E3" s="3"/>
      <c r="F3" s="3"/>
    </row>
    <row r="5" customFormat="false" ht="30" hidden="false" customHeight="true" outlineLevel="0" collapsed="false">
      <c r="A5" s="10" t="s">
        <v>166</v>
      </c>
      <c r="B5" s="11" t="s">
        <v>167</v>
      </c>
      <c r="C5" s="11" t="s">
        <v>168</v>
      </c>
      <c r="D5" s="11" t="s">
        <v>169</v>
      </c>
      <c r="E5" s="11" t="s">
        <v>170</v>
      </c>
      <c r="F5" s="11" t="s">
        <v>171</v>
      </c>
      <c r="G5" s="33" t="s">
        <v>172</v>
      </c>
    </row>
    <row r="6" customFormat="false" ht="15" hidden="false" customHeight="false" outlineLevel="0" collapsed="false">
      <c r="A6" s="8" t="s">
        <v>173</v>
      </c>
      <c r="B6" s="8" t="s">
        <v>15</v>
      </c>
      <c r="C6" s="18" t="n">
        <v>24600000</v>
      </c>
      <c r="D6" s="18" t="n">
        <f aca="false">'The Four EBITDAs'!B6</f>
        <v>24600000</v>
      </c>
      <c r="E6" s="34" t="n">
        <f aca="false">D6-C6</f>
        <v>0</v>
      </c>
      <c r="F6" s="35" t="str">
        <f aca="false">IF(ABS(E6)&lt;=0.005,"PASS","FAIL")</f>
        <v>PASS</v>
      </c>
    </row>
    <row r="7" customFormat="false" ht="15" hidden="false" customHeight="false" outlineLevel="0" collapsed="false">
      <c r="A7" s="36" t="s">
        <v>174</v>
      </c>
      <c r="B7" s="36" t="s">
        <v>81</v>
      </c>
      <c r="C7" s="37" t="n">
        <v>37600000</v>
      </c>
      <c r="D7" s="37" t="n">
        <f aca="false">'The Four EBITDAs'!B7</f>
        <v>37600000</v>
      </c>
      <c r="E7" s="38" t="n">
        <f aca="false">D7-C7</f>
        <v>0</v>
      </c>
      <c r="F7" s="39" t="str">
        <f aca="false">IF(ABS(E7)&lt;=0.005,"PASS","FAIL")</f>
        <v>PASS</v>
      </c>
    </row>
    <row r="8" customFormat="false" ht="15" hidden="false" customHeight="false" outlineLevel="0" collapsed="false">
      <c r="A8" s="8" t="s">
        <v>175</v>
      </c>
      <c r="B8" s="8" t="s">
        <v>82</v>
      </c>
      <c r="C8" s="18" t="n">
        <v>28460000</v>
      </c>
      <c r="D8" s="18" t="n">
        <f aca="false">'The Four EBITDAs'!B8</f>
        <v>28460000</v>
      </c>
      <c r="E8" s="34" t="n">
        <f aca="false">D8-C8</f>
        <v>0</v>
      </c>
      <c r="F8" s="35" t="str">
        <f aca="false">IF(ABS(E8)&lt;=0.005,"PASS","FAIL")</f>
        <v>PASS</v>
      </c>
    </row>
    <row r="9" customFormat="false" ht="15" hidden="false" customHeight="false" outlineLevel="0" collapsed="false">
      <c r="A9" s="36" t="s">
        <v>176</v>
      </c>
      <c r="B9" s="36" t="s">
        <v>83</v>
      </c>
      <c r="C9" s="37" t="n">
        <v>18560000</v>
      </c>
      <c r="D9" s="37" t="n">
        <f aca="false">'The Four EBITDAs'!B9</f>
        <v>18560000</v>
      </c>
      <c r="E9" s="38" t="n">
        <f aca="false">D9-C9</f>
        <v>0</v>
      </c>
      <c r="F9" s="39" t="str">
        <f aca="false">IF(ABS(E9)&lt;=0.005,"PASS","FAIL")</f>
        <v>PASS</v>
      </c>
    </row>
    <row r="10" customFormat="false" ht="15" hidden="false" customHeight="false" outlineLevel="0" collapsed="false">
      <c r="A10" s="8" t="s">
        <v>177</v>
      </c>
      <c r="B10" s="8" t="s">
        <v>178</v>
      </c>
      <c r="C10" s="22" t="n">
        <v>4.878</v>
      </c>
      <c r="D10" s="22" t="n">
        <f aca="false">'The Four EBITDAs'!C6</f>
        <v>4.87804878048781</v>
      </c>
      <c r="E10" s="34" t="n">
        <f aca="false">D10-C10</f>
        <v>4.87804878046561E-005</v>
      </c>
      <c r="F10" s="35" t="str">
        <f aca="false">IF(ABS(E10)&lt;=0.00005,"PASS","FAIL")</f>
        <v>PASS</v>
      </c>
    </row>
    <row r="11" customFormat="false" ht="15" hidden="false" customHeight="false" outlineLevel="0" collapsed="false">
      <c r="A11" s="36" t="s">
        <v>177</v>
      </c>
      <c r="B11" s="36" t="s">
        <v>179</v>
      </c>
      <c r="C11" s="40" t="n">
        <v>3.1915</v>
      </c>
      <c r="D11" s="40" t="n">
        <f aca="false">'The Four EBITDAs'!C7</f>
        <v>3.19148936170213</v>
      </c>
      <c r="E11" s="38" t="n">
        <f aca="false">D11-C11</f>
        <v>-1.06382978724007E-005</v>
      </c>
      <c r="F11" s="39" t="str">
        <f aca="false">IF(ABS(E11)&lt;=0.00005,"PASS","FAIL")</f>
        <v>PASS</v>
      </c>
    </row>
    <row r="12" customFormat="false" ht="15" hidden="false" customHeight="false" outlineLevel="0" collapsed="false">
      <c r="A12" s="8" t="s">
        <v>177</v>
      </c>
      <c r="B12" s="8" t="s">
        <v>180</v>
      </c>
      <c r="C12" s="22" t="n">
        <v>4.2164</v>
      </c>
      <c r="D12" s="22" t="n">
        <f aca="false">'The Four EBITDAs'!C8</f>
        <v>4.21644413211525</v>
      </c>
      <c r="E12" s="34" t="n">
        <f aca="false">D12-C12</f>
        <v>4.41321152493401E-005</v>
      </c>
      <c r="F12" s="35" t="str">
        <f aca="false">IF(ABS(E12)&lt;=0.00005,"PASS","FAIL")</f>
        <v>PASS</v>
      </c>
    </row>
    <row r="13" customFormat="false" ht="15" hidden="false" customHeight="false" outlineLevel="0" collapsed="false">
      <c r="A13" s="36" t="s">
        <v>177</v>
      </c>
      <c r="B13" s="36" t="s">
        <v>181</v>
      </c>
      <c r="C13" s="40" t="n">
        <v>6.4655</v>
      </c>
      <c r="D13" s="40" t="n">
        <f aca="false">'The Four EBITDAs'!C9</f>
        <v>6.46551724137931</v>
      </c>
      <c r="E13" s="38" t="n">
        <f aca="false">D13-C13</f>
        <v>1.72413793109172E-005</v>
      </c>
      <c r="F13" s="39" t="str">
        <f aca="false">IF(ABS(E13)&lt;=0.00005,"PASS","FAIL")</f>
        <v>PASS</v>
      </c>
    </row>
    <row r="14" customFormat="false" ht="15" hidden="false" customHeight="false" outlineLevel="0" collapsed="false">
      <c r="A14" s="8" t="s">
        <v>177</v>
      </c>
      <c r="B14" s="8" t="s">
        <v>182</v>
      </c>
      <c r="C14" s="22" t="n">
        <v>3.274</v>
      </c>
      <c r="D14" s="22" t="n">
        <f aca="false">'The Four EBITDAs'!B15</f>
        <v>3.27402787967718</v>
      </c>
      <c r="E14" s="34" t="n">
        <f aca="false">D14-C14</f>
        <v>2.78796771828738E-005</v>
      </c>
      <c r="F14" s="35" t="str">
        <f aca="false">IF(ABS(E14)&lt;=0.00005,"PASS","FAIL")</f>
        <v>PASS</v>
      </c>
    </row>
    <row r="15" customFormat="false" ht="15" hidden="false" customHeight="false" outlineLevel="0" collapsed="false">
      <c r="A15" s="36" t="s">
        <v>174</v>
      </c>
      <c r="B15" s="36" t="s">
        <v>183</v>
      </c>
      <c r="C15" s="40" t="n">
        <v>1.6866</v>
      </c>
      <c r="D15" s="40" t="n">
        <f aca="false">'The Four EBITDAs'!B16</f>
        <v>1.68655941878568</v>
      </c>
      <c r="E15" s="38" t="n">
        <f aca="false">D15-C15</f>
        <v>-4.05812143229323E-005</v>
      </c>
      <c r="F15" s="39" t="str">
        <f aca="false">IF(ABS(E15)&lt;=0.00005,"PASS","FAIL")</f>
        <v>PASS</v>
      </c>
    </row>
    <row r="16" customFormat="false" ht="15" hidden="false" customHeight="false" outlineLevel="0" collapsed="false">
      <c r="A16" s="8" t="s">
        <v>177</v>
      </c>
      <c r="B16" s="8" t="s">
        <v>184</v>
      </c>
      <c r="C16" s="22" t="n">
        <v>0.0336</v>
      </c>
      <c r="D16" s="22" t="n">
        <f aca="false">'The Four EBITDAs'!B18</f>
        <v>0.0335558678847505</v>
      </c>
      <c r="E16" s="34" t="n">
        <f aca="false">D16-C16</f>
        <v>-4.41321152494859E-005</v>
      </c>
      <c r="F16" s="35" t="str">
        <f aca="false">IF(ABS(E16)&lt;=0.00005,"PASS","FAIL")</f>
        <v>PASS</v>
      </c>
    </row>
    <row r="17" customFormat="false" ht="15" hidden="false" customHeight="false" outlineLevel="0" collapsed="false">
      <c r="A17" s="36" t="s">
        <v>174</v>
      </c>
      <c r="B17" s="36" t="s">
        <v>185</v>
      </c>
      <c r="C17" s="41" t="n">
        <v>50.3</v>
      </c>
      <c r="D17" s="41" t="n">
        <f aca="false">'The Four EBITDAs'!B19</f>
        <v>50.2612367106182</v>
      </c>
      <c r="E17" s="38" t="n">
        <f aca="false">D17-C17</f>
        <v>-0.0387632893817838</v>
      </c>
      <c r="F17" s="39" t="str">
        <f aca="false">IF(ABS(E17)&lt;=0.05,"PASS","FAIL")</f>
        <v>PASS</v>
      </c>
    </row>
    <row r="18" customFormat="false" ht="15" hidden="false" customHeight="false" outlineLevel="0" collapsed="false">
      <c r="A18" s="8" t="s">
        <v>174</v>
      </c>
      <c r="B18" s="8" t="s">
        <v>73</v>
      </c>
      <c r="C18" s="24" t="n">
        <v>0.528455</v>
      </c>
      <c r="D18" s="24" t="n">
        <f aca="false">'The Four EBITDAs'!B20</f>
        <v>0.528455284552846</v>
      </c>
      <c r="E18" s="34" t="n">
        <f aca="false">D18-C18</f>
        <v>2.84552845508657E-007</v>
      </c>
      <c r="F18" s="35" t="str">
        <f aca="false">IF(ABS(E18)&lt;=0.0000005,"PASS","FAIL")</f>
        <v>PASS</v>
      </c>
    </row>
    <row r="19" customFormat="false" ht="15" hidden="false" customHeight="false" outlineLevel="0" collapsed="false">
      <c r="A19" s="36" t="s">
        <v>174</v>
      </c>
      <c r="B19" s="36" t="s">
        <v>186</v>
      </c>
      <c r="C19" s="42" t="n">
        <v>0.345745</v>
      </c>
      <c r="D19" s="42" t="n">
        <f aca="false">'The Four EBITDAs'!B21</f>
        <v>0.345744680851064</v>
      </c>
      <c r="E19" s="38" t="n">
        <f aca="false">D19-C19</f>
        <v>-3.19148936167579E-007</v>
      </c>
      <c r="F19" s="39" t="str">
        <f aca="false">IF(ABS(E19)&lt;=0.0000005,"PASS","FAIL")</f>
        <v>PASS</v>
      </c>
    </row>
    <row r="20" customFormat="false" ht="15" hidden="false" customHeight="false" outlineLevel="0" collapsed="false">
      <c r="A20" s="8" t="s">
        <v>187</v>
      </c>
      <c r="B20" s="8" t="s">
        <v>97</v>
      </c>
      <c r="C20" s="24" t="n">
        <v>0.086316</v>
      </c>
      <c r="D20" s="24" t="n">
        <f aca="false">'Margins and Cash'!B7</f>
        <v>0.0863157894736842</v>
      </c>
      <c r="E20" s="34" t="n">
        <f aca="false">D20-C20</f>
        <v>-2.10526315796988E-007</v>
      </c>
      <c r="F20" s="13" t="str">
        <f aca="false">IF(ABS(E20)&lt;=0.0000005,"PASS","FAIL")</f>
        <v>PASS</v>
      </c>
      <c r="G20" s="30"/>
    </row>
    <row r="21" customFormat="false" ht="15" hidden="false" customHeight="false" outlineLevel="0" collapsed="false">
      <c r="A21" s="36" t="s">
        <v>187</v>
      </c>
      <c r="B21" s="36" t="s">
        <v>188</v>
      </c>
      <c r="C21" s="42" t="n">
        <v>0.09986</v>
      </c>
      <c r="D21" s="42" t="n">
        <f aca="false">'Margins and Cash'!B8</f>
        <v>0.099859649122807</v>
      </c>
      <c r="E21" s="38" t="n">
        <f aca="false">D21-C21</f>
        <v>-3.50877192981103E-007</v>
      </c>
      <c r="F21" s="43" t="str">
        <f aca="false">IF(ABS(E21)&lt;=0.0000005,"PASS","FAIL")</f>
        <v>PASS</v>
      </c>
      <c r="G21" s="30"/>
    </row>
    <row r="22" customFormat="false" ht="15" hidden="false" customHeight="false" outlineLevel="0" collapsed="false">
      <c r="A22" s="8" t="s">
        <v>187</v>
      </c>
      <c r="B22" s="8" t="s">
        <v>189</v>
      </c>
      <c r="C22" s="24" t="n">
        <v>0.13193</v>
      </c>
      <c r="D22" s="24" t="n">
        <f aca="false">'Margins and Cash'!B9</f>
        <v>0.131929824561404</v>
      </c>
      <c r="E22" s="34" t="n">
        <f aca="false">D22-C22</f>
        <v>-1.75438596483612E-007</v>
      </c>
      <c r="F22" s="13" t="str">
        <f aca="false">IF(ABS(E22)&lt;=0.0000005,"PASS","FAIL")</f>
        <v>PASS</v>
      </c>
      <c r="G22" s="30"/>
    </row>
    <row r="23" customFormat="false" ht="15" hidden="false" customHeight="false" outlineLevel="0" collapsed="false">
      <c r="A23" s="36" t="s">
        <v>173</v>
      </c>
      <c r="B23" s="36" t="s">
        <v>190</v>
      </c>
      <c r="C23" s="42" t="n">
        <v>0.065123</v>
      </c>
      <c r="D23" s="42" t="n">
        <f aca="false">'Margins and Cash'!B10</f>
        <v>0.0651228070175439</v>
      </c>
      <c r="E23" s="38" t="n">
        <f aca="false">D23-C23</f>
        <v>-1.929824561403E-007</v>
      </c>
      <c r="F23" s="43" t="str">
        <f aca="false">IF(ABS(E23)&lt;=0.0000005,"PASS","FAIL")</f>
        <v>PASS</v>
      </c>
      <c r="G23" s="30"/>
    </row>
    <row r="24" customFormat="false" ht="15" hidden="false" customHeight="false" outlineLevel="0" collapsed="false">
      <c r="A24" s="8" t="s">
        <v>187</v>
      </c>
      <c r="B24" s="8" t="s">
        <v>191</v>
      </c>
      <c r="C24" s="24" t="n">
        <v>0.045614</v>
      </c>
      <c r="D24" s="24" t="n">
        <f aca="false">'Margins and Cash'!B11</f>
        <v>0.0456140350877193</v>
      </c>
      <c r="E24" s="34" t="n">
        <f aca="false">D24-C24</f>
        <v>3.50877192994981E-008</v>
      </c>
      <c r="F24" s="13" t="str">
        <f aca="false">IF(ABS(E24)&lt;=0.0000005,"PASS","FAIL")</f>
        <v>PASS</v>
      </c>
      <c r="G24" s="30"/>
    </row>
    <row r="25" customFormat="false" ht="15" hidden="false" customHeight="false" outlineLevel="0" collapsed="false">
      <c r="A25" s="36" t="s">
        <v>173</v>
      </c>
      <c r="B25" s="36" t="s">
        <v>192</v>
      </c>
      <c r="C25" s="42" t="n">
        <v>0.066807</v>
      </c>
      <c r="D25" s="42" t="n">
        <f aca="false">'Margins and Cash'!B12</f>
        <v>0.0668070175438597</v>
      </c>
      <c r="E25" s="38" t="n">
        <f aca="false">D25-C25</f>
        <v>1.75438596428101E-008</v>
      </c>
      <c r="F25" s="43" t="str">
        <f aca="false">IF(ABS(E25)&lt;=0.0000005,"PASS","FAIL")</f>
        <v>PASS</v>
      </c>
      <c r="G25" s="30"/>
    </row>
    <row r="26" customFormat="false" ht="15" hidden="false" customHeight="false" outlineLevel="0" collapsed="false">
      <c r="A26" s="8" t="s">
        <v>173</v>
      </c>
      <c r="B26" s="8" t="s">
        <v>193</v>
      </c>
      <c r="C26" s="24" t="n">
        <v>0.089431</v>
      </c>
      <c r="D26" s="24" t="n">
        <f aca="false">'Margins and Cash'!B16</f>
        <v>0.0894308943089431</v>
      </c>
      <c r="E26" s="34" t="n">
        <f aca="false">D26-C26</f>
        <v>-1.05691056906387E-007</v>
      </c>
      <c r="F26" s="13" t="str">
        <f aca="false">IF(ABS(E26)&lt;=0.0000005,"PASS","FAIL")</f>
        <v>PASS</v>
      </c>
      <c r="G26" s="30"/>
    </row>
    <row r="27" customFormat="false" ht="15" hidden="false" customHeight="false" outlineLevel="0" collapsed="false">
      <c r="A27" s="36" t="s">
        <v>187</v>
      </c>
      <c r="B27" s="36" t="s">
        <v>194</v>
      </c>
      <c r="C27" s="40" t="n">
        <v>5.3571</v>
      </c>
      <c r="D27" s="40" t="n">
        <f aca="false">'Margins and Cash'!B18</f>
        <v>5.35714285714286</v>
      </c>
      <c r="E27" s="38" t="n">
        <f aca="false">D27-C27</f>
        <v>4.28571428567892E-005</v>
      </c>
      <c r="F27" s="43" t="str">
        <f aca="false">IF(ABS(E27)&lt;=0.00005,"PASS","FAIL")</f>
        <v>PASS</v>
      </c>
      <c r="G27" s="30"/>
    </row>
    <row r="28" customFormat="false" ht="15" hidden="false" customHeight="false" outlineLevel="0" collapsed="false">
      <c r="A28" s="8" t="s">
        <v>173</v>
      </c>
      <c r="B28" s="8" t="s">
        <v>195</v>
      </c>
      <c r="C28" s="28" t="n">
        <v>0.4791</v>
      </c>
      <c r="D28" s="28" t="n">
        <f aca="false">'Margins and Cash'!B19</f>
        <v>0.479094076655052</v>
      </c>
      <c r="E28" s="34" t="n">
        <f aca="false">D28-C28</f>
        <v>-5.92334494803337E-006</v>
      </c>
      <c r="F28" s="13" t="str">
        <f aca="false">IF(ABS(E28)&lt;=0.00005,"PASS","FAIL")</f>
        <v>PASS</v>
      </c>
      <c r="G28" s="30"/>
    </row>
    <row r="29" customFormat="false" ht="15" hidden="false" customHeight="false" outlineLevel="0" collapsed="false">
      <c r="A29" s="36" t="s">
        <v>173</v>
      </c>
      <c r="B29" s="36" t="s">
        <v>196</v>
      </c>
      <c r="C29" s="37" t="n">
        <v>2850000</v>
      </c>
      <c r="D29" s="37" t="n">
        <f aca="false">'Margins and Cash'!B21</f>
        <v>2850000</v>
      </c>
      <c r="E29" s="38" t="n">
        <f aca="false">D29-C29</f>
        <v>0</v>
      </c>
      <c r="F29" s="43" t="str">
        <f aca="false">IF(ABS(E29)&lt;=0.005,"PASS","FAIL")</f>
        <v>PASS</v>
      </c>
      <c r="G29" s="30"/>
    </row>
    <row r="30" customFormat="false" ht="15" hidden="false" customHeight="false" outlineLevel="0" collapsed="false">
      <c r="A30" s="8" t="s">
        <v>173</v>
      </c>
      <c r="B30" s="8" t="s">
        <v>105</v>
      </c>
      <c r="C30" s="24" t="n">
        <v>0.115854</v>
      </c>
      <c r="D30" s="24" t="n">
        <f aca="false">'Margins and Cash'!B22</f>
        <v>0.115853658536585</v>
      </c>
      <c r="E30" s="34" t="n">
        <f aca="false">D30-C30</f>
        <v>-3.41463414627041E-007</v>
      </c>
      <c r="F30" s="13" t="str">
        <f aca="false">IF(ABS(E30)&lt;=0.0000005,"PASS","FAIL")</f>
        <v>PASS</v>
      </c>
      <c r="G30" s="30"/>
    </row>
    <row r="31" customFormat="false" ht="15" hidden="false" customHeight="false" outlineLevel="0" collapsed="false">
      <c r="A31" s="36" t="s">
        <v>173</v>
      </c>
      <c r="B31" s="36" t="s">
        <v>197</v>
      </c>
      <c r="C31" s="40" t="n">
        <v>4.3716</v>
      </c>
      <c r="D31" s="40" t="n">
        <f aca="false">'Margins and Cash'!B23</f>
        <v>4.37158469945355</v>
      </c>
      <c r="E31" s="38" t="n">
        <f aca="false">D31-C31</f>
        <v>-1.53005464476053E-005</v>
      </c>
      <c r="F31" s="43" t="str">
        <f aca="false">IF(ABS(E31)&lt;=0.00005,"PASS","FAIL")</f>
        <v>PASS</v>
      </c>
      <c r="G31" s="30"/>
    </row>
    <row r="32" customFormat="false" ht="15" hidden="false" customHeight="false" outlineLevel="0" collapsed="false">
      <c r="A32" s="8" t="s">
        <v>173</v>
      </c>
      <c r="B32" s="8" t="s">
        <v>112</v>
      </c>
      <c r="C32" s="28" t="n">
        <v>0.1905</v>
      </c>
      <c r="D32" s="28" t="n">
        <f aca="false">'Margins and Cash'!B24</f>
        <v>0.190548780487805</v>
      </c>
      <c r="E32" s="34" t="n">
        <f aca="false">D32-C32</f>
        <v>4.87804878047671E-005</v>
      </c>
      <c r="F32" s="13" t="str">
        <f aca="false">IF(ABS(E32)&lt;=0.00005,"PASS","FAIL")</f>
        <v>PASS</v>
      </c>
      <c r="G32" s="30"/>
    </row>
    <row r="33" customFormat="false" ht="15" hidden="false" customHeight="false" outlineLevel="0" collapsed="false">
      <c r="A33" s="36" t="s">
        <v>173</v>
      </c>
      <c r="B33" s="36" t="s">
        <v>198</v>
      </c>
      <c r="C33" s="42" t="n">
        <v>0.009134</v>
      </c>
      <c r="D33" s="42" t="n">
        <f aca="false">'Margins and Cash'!B25</f>
        <v>0.00913438546150166</v>
      </c>
      <c r="E33" s="38" t="n">
        <f aca="false">D33-C33</f>
        <v>3.8546150165665E-007</v>
      </c>
      <c r="F33" s="43" t="str">
        <f aca="false">IF(ABS(E33)&lt;=0.0000005,"PASS","FAIL")</f>
        <v>PASS</v>
      </c>
      <c r="G33" s="30"/>
    </row>
    <row r="34" customFormat="false" ht="15" hidden="false" customHeight="false" outlineLevel="0" collapsed="false">
      <c r="A34" s="8" t="s">
        <v>173</v>
      </c>
      <c r="B34" s="8" t="s">
        <v>199</v>
      </c>
      <c r="C34" s="18" t="n">
        <v>20900000</v>
      </c>
      <c r="D34" s="18" t="n">
        <f aca="false">'Margins and Cash'!B28</f>
        <v>20900000</v>
      </c>
      <c r="E34" s="34" t="n">
        <f aca="false">D34-C34</f>
        <v>0</v>
      </c>
      <c r="F34" s="13" t="str">
        <f aca="false">IF(ABS(E34)&lt;=0.005,"PASS","FAIL")</f>
        <v>PASS</v>
      </c>
      <c r="G34" s="30"/>
    </row>
    <row r="35" customFormat="false" ht="15" hidden="false" customHeight="false" outlineLevel="0" collapsed="false">
      <c r="A35" s="36" t="s">
        <v>173</v>
      </c>
      <c r="B35" s="36" t="s">
        <v>116</v>
      </c>
      <c r="C35" s="42" t="n">
        <v>0.849593</v>
      </c>
      <c r="D35" s="42" t="n">
        <f aca="false">'Margins and Cash'!B29</f>
        <v>0.849593495934959</v>
      </c>
      <c r="E35" s="38" t="n">
        <f aca="false">D35-C35</f>
        <v>4.95934959321431E-007</v>
      </c>
      <c r="F35" s="43" t="str">
        <f aca="false">IF(ABS(E35)&lt;=0.0000005,"PASS","FAIL")</f>
        <v>PASS</v>
      </c>
      <c r="G35" s="30"/>
    </row>
    <row r="36" customFormat="false" ht="15" hidden="false" customHeight="false" outlineLevel="0" collapsed="false">
      <c r="A36" s="8" t="s">
        <v>173</v>
      </c>
      <c r="B36" s="8" t="s">
        <v>200</v>
      </c>
      <c r="C36" s="18" t="n">
        <v>14700000</v>
      </c>
      <c r="D36" s="18" t="n">
        <f aca="false">'Margins and Cash'!B30</f>
        <v>14700000</v>
      </c>
      <c r="E36" s="34" t="n">
        <f aca="false">D36-C36</f>
        <v>0</v>
      </c>
      <c r="F36" s="13" t="str">
        <f aca="false">IF(ABS(E36)&lt;=0.005,"PASS","FAIL")</f>
        <v>PASS</v>
      </c>
      <c r="G36" s="30"/>
    </row>
    <row r="37" customFormat="false" ht="15" hidden="false" customHeight="false" outlineLevel="0" collapsed="false">
      <c r="A37" s="36" t="s">
        <v>173</v>
      </c>
      <c r="B37" s="36" t="s">
        <v>116</v>
      </c>
      <c r="C37" s="42" t="n">
        <v>0.597561</v>
      </c>
      <c r="D37" s="42" t="n">
        <f aca="false">'Margins and Cash'!B31</f>
        <v>0.597560975609756</v>
      </c>
      <c r="E37" s="38" t="n">
        <f aca="false">D37-C37</f>
        <v>-2.43902439356347E-008</v>
      </c>
      <c r="F37" s="43" t="str">
        <f aca="false">IF(ABS(E37)&lt;=0.0000005,"PASS","FAIL")</f>
        <v>PASS</v>
      </c>
      <c r="G37" s="30"/>
    </row>
    <row r="38" customFormat="false" ht="15" hidden="false" customHeight="false" outlineLevel="0" collapsed="false">
      <c r="A38" s="8" t="s">
        <v>173</v>
      </c>
      <c r="B38" s="8" t="s">
        <v>119</v>
      </c>
      <c r="C38" s="18" t="n">
        <v>180000</v>
      </c>
      <c r="D38" s="18" t="n">
        <f aca="false">'Margins and Cash'!B33</f>
        <v>180000</v>
      </c>
      <c r="E38" s="34" t="n">
        <f aca="false">D38-C38</f>
        <v>0</v>
      </c>
      <c r="F38" s="13" t="str">
        <f aca="false">IF(ABS(E38)&lt;=0.005,"PASS","FAIL")</f>
        <v>PASS</v>
      </c>
      <c r="G38" s="30"/>
    </row>
    <row r="39" customFormat="false" ht="15" hidden="false" customHeight="false" outlineLevel="0" collapsed="false">
      <c r="A39" s="36" t="s">
        <v>173</v>
      </c>
      <c r="B39" s="36" t="s">
        <v>201</v>
      </c>
      <c r="C39" s="40" t="n">
        <v>8.1633</v>
      </c>
      <c r="D39" s="40" t="n">
        <f aca="false">'Margins and Cash'!B34</f>
        <v>8.16326530612245</v>
      </c>
      <c r="E39" s="38" t="n">
        <f aca="false">D39-C39</f>
        <v>-3.46938775503958E-005</v>
      </c>
      <c r="F39" s="43" t="str">
        <f aca="false">IF(ABS(E39)&lt;=0.00005,"PASS","FAIL")</f>
        <v>PASS</v>
      </c>
      <c r="G39" s="30"/>
    </row>
    <row r="40" customFormat="false" ht="15" hidden="false" customHeight="false" outlineLevel="0" collapsed="false">
      <c r="A40" s="8" t="s">
        <v>173</v>
      </c>
      <c r="B40" s="8" t="s">
        <v>202</v>
      </c>
      <c r="C40" s="18" t="n">
        <v>3860000</v>
      </c>
      <c r="D40" s="18" t="n">
        <f aca="false">'Margins and Cash'!B35</f>
        <v>3860000</v>
      </c>
      <c r="E40" s="34" t="n">
        <f aca="false">D40-C40</f>
        <v>0</v>
      </c>
      <c r="F40" s="13" t="str">
        <f aca="false">IF(ABS(E40)&lt;=0.005,"PASS","FAIL")</f>
        <v>PASS</v>
      </c>
      <c r="G40" s="30"/>
    </row>
    <row r="41" customFormat="false" ht="15" hidden="false" customHeight="false" outlineLevel="0" collapsed="false">
      <c r="A41" s="36" t="s">
        <v>175</v>
      </c>
      <c r="B41" s="36" t="s">
        <v>203</v>
      </c>
      <c r="C41" s="37" t="n">
        <v>9900000</v>
      </c>
      <c r="D41" s="37" t="n">
        <f aca="false">'Margins and Cash'!B38</f>
        <v>9900000</v>
      </c>
      <c r="E41" s="38" t="n">
        <f aca="false">D41-C41</f>
        <v>0</v>
      </c>
      <c r="F41" s="43" t="str">
        <f aca="false">IF(ABS(E41)&lt;=0.005,"PASS","FAIL")</f>
        <v>PASS</v>
      </c>
      <c r="G41" s="30" t="s">
        <v>204</v>
      </c>
    </row>
    <row r="42" customFormat="false" ht="15" hidden="false" customHeight="false" outlineLevel="0" collapsed="false">
      <c r="A42" s="8" t="s">
        <v>187</v>
      </c>
      <c r="B42" s="8" t="s">
        <v>126</v>
      </c>
      <c r="C42" s="24" t="n">
        <v>0.347857</v>
      </c>
      <c r="D42" s="24" t="n">
        <f aca="false">'Margins and Cash'!B39</f>
        <v>0.347856640899508</v>
      </c>
      <c r="E42" s="34" t="n">
        <f aca="false">D42-C42</f>
        <v>-3.59100491953424E-007</v>
      </c>
      <c r="F42" s="13" t="str">
        <f aca="false">IF(ABS(E42)&lt;=0.0000005,"PASS","FAIL")</f>
        <v>PASS</v>
      </c>
      <c r="G42" s="30"/>
    </row>
    <row r="43" customFormat="false" ht="15" hidden="false" customHeight="false" outlineLevel="0" collapsed="false">
      <c r="A43" s="36" t="s">
        <v>176</v>
      </c>
      <c r="B43" s="36" t="s">
        <v>205</v>
      </c>
      <c r="C43" s="42" t="n">
        <v>0.652143</v>
      </c>
      <c r="D43" s="42" t="n">
        <f aca="false">'Margins and Cash'!B40</f>
        <v>0.652143359100492</v>
      </c>
      <c r="E43" s="38" t="n">
        <f aca="false">D43-C43</f>
        <v>3.59100491897912E-007</v>
      </c>
      <c r="F43" s="43" t="str">
        <f aca="false">IF(ABS(E43)&lt;=0.0000005,"PASS","FAIL")</f>
        <v>PASS</v>
      </c>
      <c r="G43" s="30"/>
    </row>
    <row r="44" customFormat="false" ht="15" hidden="false" customHeight="false" outlineLevel="0" collapsed="false">
      <c r="A44" s="8" t="s">
        <v>176</v>
      </c>
      <c r="B44" s="8" t="s">
        <v>206</v>
      </c>
      <c r="C44" s="24" t="n">
        <v>0.354839</v>
      </c>
      <c r="D44" s="24" t="n">
        <f aca="false">'Margins and Cash'!B41</f>
        <v>0.354838709677419</v>
      </c>
      <c r="E44" s="34" t="n">
        <f aca="false">D44-C44</f>
        <v>-2.90322580642766E-007</v>
      </c>
      <c r="F44" s="13" t="str">
        <f aca="false">IF(ABS(E44)&lt;=0.0000005,"PASS","FAIL")</f>
        <v>PASS</v>
      </c>
      <c r="G44" s="30"/>
    </row>
    <row r="45" customFormat="false" ht="15" hidden="false" customHeight="false" outlineLevel="0" collapsed="false">
      <c r="A45" s="36" t="s">
        <v>176</v>
      </c>
      <c r="B45" s="36" t="s">
        <v>129</v>
      </c>
      <c r="C45" s="40" t="n">
        <v>1.4556</v>
      </c>
      <c r="D45" s="40" t="n">
        <f aca="false">'Margins and Cash'!B42</f>
        <v>1.45564516129032</v>
      </c>
      <c r="E45" s="38" t="n">
        <f aca="false">D45-C45</f>
        <v>4.5161290322504E-005</v>
      </c>
      <c r="F45" s="43" t="str">
        <f aca="false">IF(ABS(E45)&lt;=0.00005,"PASS","FAIL")</f>
        <v>PASS</v>
      </c>
      <c r="G45" s="30"/>
    </row>
    <row r="46" customFormat="false" ht="15" hidden="false" customHeight="false" outlineLevel="0" collapsed="false">
      <c r="A46" s="8" t="s">
        <v>176</v>
      </c>
      <c r="B46" s="8" t="s">
        <v>130</v>
      </c>
      <c r="C46" s="22" t="n">
        <v>5.5402</v>
      </c>
      <c r="D46" s="22" t="n">
        <f aca="false">'Margins and Cash'!B43</f>
        <v>5.54016620498615</v>
      </c>
      <c r="E46" s="34" t="n">
        <f aca="false">D46-C46</f>
        <v>-3.37950138495913E-005</v>
      </c>
      <c r="F46" s="13" t="str">
        <f aca="false">IF(ABS(E46)&lt;=0.00005,"PASS","FAIL")</f>
        <v>PASS</v>
      </c>
      <c r="G46" s="30"/>
    </row>
    <row r="47" customFormat="false" ht="15" hidden="false" customHeight="false" outlineLevel="0" collapsed="false">
      <c r="A47" s="36" t="s">
        <v>176</v>
      </c>
      <c r="B47" s="36" t="s">
        <v>207</v>
      </c>
      <c r="C47" s="37" t="n">
        <v>9300000</v>
      </c>
      <c r="D47" s="37" t="n">
        <f aca="false">'Margins and Cash'!B44</f>
        <v>9300000</v>
      </c>
      <c r="E47" s="38" t="n">
        <f aca="false">D47-C47</f>
        <v>0</v>
      </c>
      <c r="F47" s="43" t="str">
        <f aca="false">IF(ABS(E47)&lt;=0.005,"PASS","FAIL")</f>
        <v>PASS</v>
      </c>
      <c r="G47" s="30"/>
    </row>
    <row r="48" customFormat="false" ht="15" hidden="false" customHeight="false" outlineLevel="0" collapsed="false">
      <c r="A48" s="8" t="s">
        <v>176</v>
      </c>
      <c r="B48" s="8" t="s">
        <v>126</v>
      </c>
      <c r="C48" s="24" t="n">
        <v>0.326774</v>
      </c>
      <c r="D48" s="24" t="n">
        <f aca="false">'Margins and Cash'!B45</f>
        <v>0.326774420238932</v>
      </c>
      <c r="E48" s="34" t="n">
        <f aca="false">D48-C48</f>
        <v>4.2023893181975E-007</v>
      </c>
      <c r="F48" s="13" t="str">
        <f aca="false">IF(ABS(E48)&lt;=0.0000005,"PASS","FAIL")</f>
        <v>PASS</v>
      </c>
      <c r="G48" s="30"/>
    </row>
    <row r="49" customFormat="false" ht="15" hidden="false" customHeight="false" outlineLevel="0" collapsed="false">
      <c r="A49" s="36" t="s">
        <v>176</v>
      </c>
      <c r="B49" s="36" t="s">
        <v>208</v>
      </c>
      <c r="C49" s="42" t="n">
        <v>0.133588</v>
      </c>
      <c r="D49" s="42" t="n">
        <f aca="false">'Margins and Cash'!B46</f>
        <v>0.133587786259542</v>
      </c>
      <c r="E49" s="38" t="n">
        <f aca="false">D49-C49</f>
        <v>-2.13740458027134E-007</v>
      </c>
      <c r="F49" s="43" t="str">
        <f aca="false">IF(ABS(E49)&lt;=0.0000005,"PASS","FAIL")</f>
        <v>PASS</v>
      </c>
      <c r="G49" s="30"/>
    </row>
    <row r="50" customFormat="false" ht="15" hidden="false" customHeight="false" outlineLevel="0" collapsed="false">
      <c r="A50" s="8" t="s">
        <v>176</v>
      </c>
      <c r="B50" s="8" t="s">
        <v>209</v>
      </c>
      <c r="C50" s="24" t="n">
        <v>0.493617</v>
      </c>
      <c r="D50" s="24" t="n">
        <f aca="false">'Margins and Cash'!B47</f>
        <v>0.493617021276596</v>
      </c>
      <c r="E50" s="34" t="n">
        <f aca="false">D50-C50</f>
        <v>2.1276595763009E-008</v>
      </c>
      <c r="F50" s="13" t="str">
        <f aca="false">IF(ABS(E50)&lt;=0.0000005,"PASS","FAIL")</f>
        <v>PASS</v>
      </c>
      <c r="G50" s="30"/>
    </row>
    <row r="51" customFormat="false" ht="15" hidden="false" customHeight="false" outlineLevel="0" collapsed="false">
      <c r="A51" s="36" t="s">
        <v>176</v>
      </c>
      <c r="B51" s="36" t="s">
        <v>210</v>
      </c>
      <c r="C51" s="37" t="n">
        <v>19040000</v>
      </c>
      <c r="D51" s="37" t="n">
        <f aca="false">'Margins and Cash'!B48</f>
        <v>19040000</v>
      </c>
      <c r="E51" s="38" t="n">
        <f aca="false">D51-C51</f>
        <v>0</v>
      </c>
      <c r="F51" s="43" t="str">
        <f aca="false">IF(ABS(E51)&lt;=0.005,"PASS","FAIL")</f>
        <v>PASS</v>
      </c>
      <c r="G51" s="30"/>
    </row>
    <row r="52" customFormat="false" ht="15" hidden="false" customHeight="false" outlineLevel="0" collapsed="false">
      <c r="A52" s="8" t="s">
        <v>175</v>
      </c>
      <c r="B52" s="8" t="s">
        <v>211</v>
      </c>
      <c r="C52" s="18" t="n">
        <v>17460000</v>
      </c>
      <c r="D52" s="18" t="n">
        <f aca="false">'Margins and Cash'!B52</f>
        <v>17460000</v>
      </c>
      <c r="E52" s="34" t="n">
        <f aca="false">D52-C52</f>
        <v>0</v>
      </c>
      <c r="F52" s="13" t="str">
        <f aca="false">IF(ABS(E52)&lt;=0.005,"PASS","FAIL")</f>
        <v>PASS</v>
      </c>
      <c r="G52" s="30" t="s">
        <v>212</v>
      </c>
    </row>
    <row r="53" customFormat="false" ht="15" hidden="false" customHeight="false" outlineLevel="0" collapsed="false">
      <c r="A53" s="36" t="s">
        <v>175</v>
      </c>
      <c r="B53" s="36" t="s">
        <v>213</v>
      </c>
      <c r="C53" s="44" t="n">
        <v>0.4073</v>
      </c>
      <c r="D53" s="44" t="n">
        <f aca="false">'Margins and Cash'!B54</f>
        <v>0.407334992297665</v>
      </c>
      <c r="E53" s="38" t="n">
        <f aca="false">D53-C53</f>
        <v>3.49922976650152E-005</v>
      </c>
      <c r="F53" s="43" t="str">
        <f aca="false">IF(ABS(E53)&lt;=0.00005,"PASS","FAIL")</f>
        <v>PASS</v>
      </c>
      <c r="G53" s="30" t="s">
        <v>214</v>
      </c>
    </row>
    <row r="54" customFormat="false" ht="15" hidden="false" customHeight="false" outlineLevel="0" collapsed="false">
      <c r="A54" s="8" t="s">
        <v>175</v>
      </c>
      <c r="B54" s="8" t="s">
        <v>215</v>
      </c>
      <c r="C54" s="22" t="n">
        <v>1.1734</v>
      </c>
      <c r="D54" s="22" t="n">
        <f aca="false">'Margins and Cash'!B55</f>
        <v>1.17338709677419</v>
      </c>
      <c r="E54" s="34" t="n">
        <f aca="false">D54-C54</f>
        <v>-1.29032258064932E-005</v>
      </c>
      <c r="F54" s="13" t="str">
        <f aca="false">IF(ABS(E54)&lt;=0.00005,"PASS","FAIL")</f>
        <v>PASS</v>
      </c>
      <c r="G54" s="30" t="s">
        <v>216</v>
      </c>
    </row>
    <row r="55" customFormat="false" ht="15" hidden="false" customHeight="false" outlineLevel="0" collapsed="false">
      <c r="A55" s="36" t="s">
        <v>177</v>
      </c>
      <c r="B55" s="36" t="s">
        <v>217</v>
      </c>
      <c r="C55" s="37" t="n">
        <v>7100000</v>
      </c>
      <c r="D55" s="37" t="n">
        <f aca="false">'Margins and Cash'!B59</f>
        <v>7100000</v>
      </c>
      <c r="E55" s="38" t="n">
        <f aca="false">D55-C55</f>
        <v>0</v>
      </c>
      <c r="F55" s="43" t="str">
        <f aca="false">IF(ABS(E55)&lt;=0.005,"PASS","FAIL")</f>
        <v>PASS</v>
      </c>
      <c r="G55" s="30"/>
    </row>
    <row r="56" customFormat="false" ht="15" hidden="false" customHeight="false" outlineLevel="0" collapsed="false">
      <c r="A56" s="8" t="s">
        <v>177</v>
      </c>
      <c r="B56" s="8" t="s">
        <v>218</v>
      </c>
      <c r="C56" s="24" t="n">
        <v>0.18883</v>
      </c>
      <c r="D56" s="24" t="n">
        <f aca="false">'Margins and Cash'!B60</f>
        <v>0.188829787234043</v>
      </c>
      <c r="E56" s="34" t="n">
        <f aca="false">D56-C56</f>
        <v>-2.12765957435801E-007</v>
      </c>
      <c r="F56" s="13" t="str">
        <f aca="false">IF(ABS(E56)&lt;=0.0000005,"PASS","FAIL")</f>
        <v>PASS</v>
      </c>
      <c r="G56" s="30"/>
    </row>
    <row r="57" customFormat="false" ht="15" hidden="false" customHeight="false" outlineLevel="0" collapsed="false">
      <c r="A57" s="36" t="s">
        <v>177</v>
      </c>
      <c r="B57" s="36" t="s">
        <v>219</v>
      </c>
      <c r="C57" s="37" t="n">
        <v>104550000</v>
      </c>
      <c r="D57" s="37" t="n">
        <f aca="false">'Margins and Cash'!C62</f>
        <v>104550000</v>
      </c>
      <c r="E57" s="38" t="n">
        <f aca="false">D57-C57</f>
        <v>0</v>
      </c>
      <c r="F57" s="43" t="str">
        <f aca="false">IF(ABS(E57)&lt;=0.005,"PASS","FAIL")</f>
        <v>PASS</v>
      </c>
      <c r="G57" s="30"/>
    </row>
    <row r="58" customFormat="false" ht="15" hidden="false" customHeight="false" outlineLevel="0" collapsed="false">
      <c r="A58" s="8" t="s">
        <v>177</v>
      </c>
      <c r="B58" s="8" t="s">
        <v>220</v>
      </c>
      <c r="C58" s="18" t="n">
        <v>159800000</v>
      </c>
      <c r="D58" s="18" t="n">
        <f aca="false">'Margins and Cash'!C63</f>
        <v>159800000</v>
      </c>
      <c r="E58" s="34" t="n">
        <f aca="false">D58-C58</f>
        <v>0</v>
      </c>
      <c r="F58" s="13" t="str">
        <f aca="false">IF(ABS(E58)&lt;=0.005,"PASS","FAIL")</f>
        <v>PASS</v>
      </c>
      <c r="G58" s="30"/>
    </row>
    <row r="59" customFormat="false" ht="15" hidden="false" customHeight="false" outlineLevel="0" collapsed="false">
      <c r="A59" s="36" t="s">
        <v>177</v>
      </c>
      <c r="B59" s="36" t="s">
        <v>221</v>
      </c>
      <c r="C59" s="37" t="n">
        <v>120955000</v>
      </c>
      <c r="D59" s="37" t="n">
        <f aca="false">'Margins and Cash'!C64</f>
        <v>120955000</v>
      </c>
      <c r="E59" s="38" t="n">
        <f aca="false">D59-C59</f>
        <v>0</v>
      </c>
      <c r="F59" s="43" t="str">
        <f aca="false">IF(ABS(E59)&lt;=0.005,"PASS","FAIL")</f>
        <v>PASS</v>
      </c>
      <c r="G59" s="30"/>
    </row>
    <row r="60" customFormat="false" ht="15" hidden="false" customHeight="false" outlineLevel="0" collapsed="false">
      <c r="A60" s="8" t="s">
        <v>177</v>
      </c>
      <c r="B60" s="8" t="s">
        <v>222</v>
      </c>
      <c r="C60" s="18" t="n">
        <v>78880000</v>
      </c>
      <c r="D60" s="18" t="n">
        <f aca="false">'Margins and Cash'!C65</f>
        <v>78880000</v>
      </c>
      <c r="E60" s="34" t="n">
        <f aca="false">D60-C60</f>
        <v>0</v>
      </c>
      <c r="F60" s="13" t="str">
        <f aca="false">IF(ABS(E60)&lt;=0.005,"PASS","FAIL")</f>
        <v>PASS</v>
      </c>
      <c r="G60" s="30"/>
    </row>
    <row r="61" customFormat="false" ht="15" hidden="false" customHeight="false" outlineLevel="0" collapsed="false">
      <c r="A61" s="36" t="s">
        <v>177</v>
      </c>
      <c r="B61" s="36" t="s">
        <v>223</v>
      </c>
      <c r="C61" s="37" t="n">
        <v>80920000</v>
      </c>
      <c r="D61" s="37" t="n">
        <f aca="false">'Margins and Cash'!B66</f>
        <v>80920000</v>
      </c>
      <c r="E61" s="38" t="n">
        <f aca="false">D61-C61</f>
        <v>0</v>
      </c>
      <c r="F61" s="43" t="str">
        <f aca="false">IF(ABS(E61)&lt;=0.005,"PASS","FAIL")</f>
        <v>PASS</v>
      </c>
      <c r="G61" s="30"/>
    </row>
    <row r="62" customFormat="false" ht="15" hidden="false" customHeight="false" outlineLevel="0" collapsed="false">
      <c r="A62" s="8" t="s">
        <v>177</v>
      </c>
      <c r="B62" s="8" t="s">
        <v>224</v>
      </c>
      <c r="C62" s="24" t="n">
        <v>0.674333</v>
      </c>
      <c r="D62" s="24" t="n">
        <f aca="false">'Margins and Cash'!B67</f>
        <v>0.674333333333333</v>
      </c>
      <c r="E62" s="34" t="n">
        <f aca="false">D62-C62</f>
        <v>3.33333333379926E-007</v>
      </c>
      <c r="F62" s="13" t="str">
        <f aca="false">IF(ABS(E62)&lt;=0.0000005,"PASS","FAIL")</f>
        <v>PASS</v>
      </c>
      <c r="G62" s="30"/>
    </row>
    <row r="63" customFormat="false" ht="15" hidden="false" customHeight="false" outlineLevel="0" collapsed="false">
      <c r="A63" s="36" t="s">
        <v>177</v>
      </c>
      <c r="B63" s="36" t="s">
        <v>225</v>
      </c>
      <c r="C63" s="44" t="n">
        <v>0.3514</v>
      </c>
      <c r="D63" s="44" t="n">
        <f aca="false">'Margins and Cash'!B68</f>
        <v>0.351370344342937</v>
      </c>
      <c r="E63" s="38" t="n">
        <f aca="false">D63-C63</f>
        <v>-2.96556570625328E-005</v>
      </c>
      <c r="F63" s="43" t="str">
        <f aca="false">IF(ABS(E63)&lt;=0.00005,"PASS","FAIL")</f>
        <v>PASS</v>
      </c>
      <c r="G63" s="30"/>
    </row>
    <row r="64" customFormat="false" ht="15" hidden="false" customHeight="false" outlineLevel="0" collapsed="false">
      <c r="A64" s="8" t="s">
        <v>177</v>
      </c>
      <c r="B64" s="8" t="s">
        <v>226</v>
      </c>
      <c r="C64" s="28" t="n">
        <v>1.0585</v>
      </c>
      <c r="D64" s="28" t="n">
        <f aca="false">'Margins and Cash'!B69</f>
        <v>1.05851063829787</v>
      </c>
      <c r="E64" s="34" t="n">
        <f aca="false">D64-C64</f>
        <v>1.06382978724007E-005</v>
      </c>
      <c r="F64" s="13" t="str">
        <f aca="false">IF(ABS(E64)&lt;=0.00005,"PASS","FAIL")</f>
        <v>PASS</v>
      </c>
      <c r="G64" s="30"/>
    </row>
    <row r="65" customFormat="false" ht="15" hidden="false" customHeight="false" outlineLevel="0" collapsed="false">
      <c r="A65" s="36" t="s">
        <v>177</v>
      </c>
      <c r="B65" s="36" t="s">
        <v>227</v>
      </c>
      <c r="C65" s="37" t="n">
        <v>0</v>
      </c>
      <c r="D65" s="37" t="n">
        <f aca="false">ROUND(Bridge!$B$18-(Inputs!$B$32+Inputs!$B$33+Inputs!$B$34)-Bridge!$B$22,6)</f>
        <v>0</v>
      </c>
      <c r="E65" s="38" t="n">
        <f aca="false">D65-C65</f>
        <v>0</v>
      </c>
      <c r="F65" s="43" t="str">
        <f aca="false">IF(ABS(E65)&lt;=0.005,"PASS","FAIL")</f>
        <v>PASS</v>
      </c>
      <c r="G65" s="30" t="s">
        <v>228</v>
      </c>
    </row>
    <row r="66" customFormat="false" ht="15" hidden="false" customHeight="false" outlineLevel="0" collapsed="false">
      <c r="A66" s="8" t="s">
        <v>177</v>
      </c>
      <c r="B66" s="8" t="s">
        <v>229</v>
      </c>
      <c r="C66" s="28" t="n">
        <v>1.025</v>
      </c>
      <c r="D66" s="28" t="n">
        <f aca="false">'Margins and Cash'!B73</f>
        <v>1.02495477041312</v>
      </c>
      <c r="E66" s="34" t="n">
        <f aca="false">D66-C66</f>
        <v>-4.52295868780261E-005</v>
      </c>
      <c r="F66" s="13" t="str">
        <f aca="false">IF(ABS(E66)&lt;=0.00005,"PASS","FAIL")</f>
        <v>PASS</v>
      </c>
      <c r="G66" s="30"/>
    </row>
    <row r="67" customFormat="false" ht="15" hidden="false" customHeight="false" outlineLevel="0" collapsed="false">
      <c r="A67" s="36" t="s">
        <v>177</v>
      </c>
      <c r="B67" s="36" t="s">
        <v>230</v>
      </c>
      <c r="C67" s="44" t="n">
        <v>0.6616</v>
      </c>
      <c r="D67" s="44" t="n">
        <f aca="false">'Margins and Cash'!B74</f>
        <v>0.661604648372555</v>
      </c>
      <c r="E67" s="38" t="n">
        <f aca="false">D67-C67</f>
        <v>4.64837255531592E-006</v>
      </c>
      <c r="F67" s="43" t="str">
        <f aca="false">IF(ABS(E67)&lt;=0.00005,"PASS","FAIL")</f>
        <v>PASS</v>
      </c>
      <c r="G67" s="30" t="s">
        <v>231</v>
      </c>
    </row>
    <row r="68" customFormat="false" ht="15" hidden="false" customHeight="false" outlineLevel="0" collapsed="false">
      <c r="A68" s="8" t="s">
        <v>177</v>
      </c>
      <c r="B68" s="8" t="s">
        <v>232</v>
      </c>
      <c r="C68" s="28" t="n">
        <v>2.2491</v>
      </c>
      <c r="D68" s="28" t="n">
        <f aca="false">'Margins and Cash'!B76</f>
        <v>2.24907310926406</v>
      </c>
      <c r="E68" s="34" t="n">
        <f aca="false">D68-C68</f>
        <v>-2.6890735938867E-005</v>
      </c>
      <c r="F68" s="13" t="str">
        <f aca="false">IF(ABS(E68)&lt;=0.00005,"PASS","FAIL")</f>
        <v>PASS</v>
      </c>
      <c r="G68" s="30"/>
    </row>
    <row r="69" customFormat="false" ht="15" hidden="false" customHeight="false" outlineLevel="0" collapsed="false">
      <c r="A69" s="36" t="s">
        <v>177</v>
      </c>
      <c r="B69" s="36" t="s">
        <v>233</v>
      </c>
      <c r="C69" s="44" t="n">
        <v>3.274</v>
      </c>
      <c r="D69" s="44" t="n">
        <f aca="false">'Margins and Cash'!B77</f>
        <v>3.27402787967718</v>
      </c>
      <c r="E69" s="38" t="n">
        <f aca="false">D69-C69</f>
        <v>2.78796771828738E-005</v>
      </c>
      <c r="F69" s="43" t="str">
        <f aca="false">IF(ABS(E69)&lt;=0.00005,"PASS","FAIL")</f>
        <v>PASS</v>
      </c>
      <c r="G69" s="30"/>
    </row>
    <row r="70" customFormat="false" ht="15" hidden="false" customHeight="false" outlineLevel="0" collapsed="false">
      <c r="A70" s="8" t="s">
        <v>177</v>
      </c>
      <c r="B70" s="8" t="s">
        <v>234</v>
      </c>
      <c r="C70" s="28" t="n">
        <v>4.9606</v>
      </c>
      <c r="D70" s="28" t="n">
        <f aca="false">'Margins and Cash'!B78</f>
        <v>4.96058729846286</v>
      </c>
      <c r="E70" s="34" t="n">
        <f aca="false">D70-C70</f>
        <v>-1.27015371402806E-005</v>
      </c>
      <c r="F70" s="13" t="str">
        <f aca="false">IF(ABS(E70)&lt;=0.00005,"PASS","FAIL")</f>
        <v>PASS</v>
      </c>
      <c r="G70" s="30" t="s">
        <v>235</v>
      </c>
    </row>
    <row r="71" customFormat="false" ht="15" hidden="false" customHeight="false" outlineLevel="0" collapsed="false">
      <c r="A71" s="36" t="s">
        <v>177</v>
      </c>
      <c r="B71" s="36" t="s">
        <v>236</v>
      </c>
      <c r="C71" s="44" t="n">
        <v>0</v>
      </c>
      <c r="D71" s="44" t="n">
        <f aca="false">ROUND('The Four EBITDAs'!B16-'Margins and Cash'!B75,9)</f>
        <v>0</v>
      </c>
      <c r="E71" s="38" t="n">
        <f aca="false">D71-C71</f>
        <v>0</v>
      </c>
      <c r="F71" s="43" t="str">
        <f aca="false">IF(ABS(E71)&lt;=0.00005,"PASS","FAIL")</f>
        <v>PASS</v>
      </c>
      <c r="G71" s="30" t="s">
        <v>228</v>
      </c>
    </row>
    <row r="73" customFormat="false" ht="15" hidden="false" customHeight="false" outlineLevel="0" collapsed="false">
      <c r="B73" s="13" t="s">
        <v>237</v>
      </c>
      <c r="C73" s="13" t="n">
        <f aca="false">COUNTIF(F6:F71,"PASS")</f>
        <v>66</v>
      </c>
    </row>
    <row r="74" customFormat="false" ht="15" hidden="false" customHeight="false" outlineLevel="0" collapsed="false">
      <c r="B74" s="13" t="s">
        <v>238</v>
      </c>
      <c r="C74" s="13" t="n">
        <f aca="false">COUNTIF(F6:F71,"FAIL")</f>
        <v>0</v>
      </c>
    </row>
    <row r="75" customFormat="false" ht="15" hidden="false" customHeight="false" outlineLevel="0" collapsed="false">
      <c r="B75" s="13" t="s">
        <v>239</v>
      </c>
      <c r="C75" s="13" t="str">
        <f aca="false">IF(COUNTIF(F6:F71,"PASS")=66,"ALL OK",COUNTIF(F6:F71,"FAIL")&amp;"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2026-08-29T07:07:06Z</dcterms:created>
  <dc:creator>openpyxl</dc:creator>
  <dc:description/>
  <dc:language>en-US</dc:language>
  <cp:lastModifiedBy/>
  <dcterms:modified xsi:type="dcterms:W3CDTF">2026-09-24T01:47:19Z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