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Bonds" sheetId="3" state="visible" r:id="rId5"/>
    <sheet name="Bond_Flows" sheetId="4" state="visible" r:id="rId6"/>
    <sheet name="Loan_Fund" sheetId="5" state="visible" r:id="rId7"/>
    <sheet name="Loan_Fund_Paths" sheetId="6" state="visible" r:id="rId8"/>
    <sheet name="BDCs" sheetId="7" state="visible" r:id="rId9"/>
    <sheet name="BDC_Paths" sheetId="8" state="visible" r:id="rId10"/>
    <sheet name="Interval_Fund" sheetId="9" state="visible" r:id="rId11"/>
    <sheet name="Interval_Fund_Paths" sheetId="10" state="visible" r:id="rId12"/>
    <sheet name="Liquidity" sheetId="11" state="visible" r:id="rId13"/>
    <sheet name="Fees_Tax" sheetId="12" state="visible" r:id="rId14"/>
    <sheet name="Derived" sheetId="13" state="visible" r:id="rId15"/>
    <sheet name="Checks"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<sst xmlns="http://schemas.openxmlformats.org/spreadsheetml/2006/main" count="2067" uniqueCount="1036">
  <si>
    <t xml:space="preserve">Credit vehicles: bonds, the loan fund, three BDCs and the interval fund</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</si>
  <si>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</si>
  <si>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</si>
  <si>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II, live: the IG ladder and the six high-yield bonds with every line's quarterly flows and IRR; the floating-rate loan fund's NAV path in three scenarios; the three BDCs' income stacks, NII, coverage, NAV paths, discounts and the split of each gain into dividends, NAV and discount; the interval fund's fee stack, NAV path, coverage, fee dollars and the wrap fee; pro rata tenders and the gate; fees across vehicles and an after-tax illustration at an assumed rate.</t>
  </si>
  <si>
    <t xml:space="preserve">Where it is in the book</t>
  </si>
  <si>
    <t xml:space="preserve">Part II: the vehicles, one chapter each, and the chapters on fees, liquidity and tax.</t>
  </si>
  <si>
    <t xml:space="preserve">Sheets</t>
  </si>
  <si>
    <t xml:space="preserve">Assumptions. Bond_Flows, Loan_Fund_Paths, BDC_Paths, Interval_Fund_Paths: the quarter-by-quarter engines, each with its scenario inputs at the top of each block. Bonds, Loan_Fund, BDCs, Interval_Fund: the summaries the book prints. Liquidity. Fees_Tax (with the reserve and the base portfolio).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</si>
  <si>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</si>
  <si>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</si>
  <si>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</si>
  <si>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</si>
  <si>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</si>
  <si>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</si>
  <si>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</si>
  <si>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</si>
  <si>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</si>
  <si>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</si>
  <si>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</si>
  <si>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</si>
  <si>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</si>
  <si>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</si>
  <si>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</si>
  <si>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</si>
  <si>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</si>
  <si>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</si>
  <si>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</si>
  <si>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</si>
  <si>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</si>
  <si>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</si>
  <si>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</si>
  <si>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</si>
  <si>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</si>
  <si>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</si>
  <si>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</si>
  <si>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</si>
  <si>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</si>
  <si>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</si>
  <si>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</si>
  <si>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</si>
  <si>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</si>
  <si>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</si>
  <si>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</si>
  <si>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</si>
  <si>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</si>
  <si>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</si>
  <si>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</si>
  <si>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</si>
  <si>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</si>
  <si>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</si>
  <si>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</si>
  <si>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</si>
  <si>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</si>
  <si>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</si>
  <si>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</si>
  <si>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</si>
  <si>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</si>
  <si>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</si>
  <si>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</si>
  <si>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</si>
  <si>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</si>
  <si>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</si>
  <si>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</si>
  <si>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</si>
  <si>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</si>
  <si>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</si>
  <si>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</si>
  <si>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</si>
  <si>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</si>
  <si>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</si>
  <si>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</si>
  <si>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</si>
  <si>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</si>
  <si>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</si>
  <si>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</si>
  <si>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</si>
  <si>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</si>
  <si>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</si>
  <si>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</si>
  <si>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</si>
  <si>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</si>
  <si>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</si>
  <si>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</si>
  <si>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</si>
  <si>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</si>
  <si>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</si>
  <si>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</si>
  <si>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</si>
  <si>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</si>
  <si>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</si>
  <si>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</si>
  <si>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</si>
  <si>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</si>
  <si>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</si>
  <si>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</si>
  <si>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</si>
  <si>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</si>
  <si>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</si>
  <si>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bonds held directly: the IG ladder and six high-yield bonds</t>
  </si>
  <si>
    <t xml:space="preserve">Base case unless stated. The flows are on Bond_Flows.</t>
  </si>
  <si>
    <t xml:space="preserve">IG ladder: five bonds of $25,000 face bought at 100</t>
  </si>
  <si>
    <t xml:space="preserve">Matures (year)</t>
  </si>
  <si>
    <t xml:space="preserve">IRR, 3 years</t>
  </si>
  <si>
    <t xml:space="preserve">IG sleeve IRR</t>
  </si>
  <si>
    <t xml:space="preserve">IG sleeve IRR, rates up 2 points</t>
  </si>
  <si>
    <t xml:space="preserve">Coupons received by the IG sleeve over three years</t>
  </si>
  <si>
    <t xml:space="preserve">High yield: six bonds of $12,500 face, five years, bought below 100</t>
  </si>
  <si>
    <t xml:space="preserve">Price</t>
  </si>
  <si>
    <t xml:space="preserve">YTM</t>
  </si>
  <si>
    <t xml:space="preserve">Harrowgate: recovery received (face x recovery)</t>
  </si>
  <si>
    <t xml:space="preserve">Harrowgate: dollar result (sum of its flows)</t>
  </si>
  <si>
    <t xml:space="preserve">HY sleeve IRR</t>
  </si>
  <si>
    <t xml:space="preserve">HY sleeve IRR without the default</t>
  </si>
  <si>
    <t xml:space="preserve">The bonds, quarter by quarter: base case, rates up 2 points (IG), no default (HY)</t>
  </si>
  <si>
    <t xml:space="preserve">Coupons every other quarter; bonds still alive at quarter 12 are sold at the yield the scenario sets.</t>
  </si>
  <si>
    <t xml:space="preserve">Base case: inputs</t>
  </si>
  <si>
    <t xml:space="preserve">Rate shock from quarter 1 (SOFR and bills; bond yields at quarter 12)</t>
  </si>
  <si>
    <t xml:space="preserve">points</t>
  </si>
  <si>
    <t xml:space="preserve">Change in SOFR from quarter 5 (recession)</t>
  </si>
  <si>
    <t xml:space="preserve">Change in IG spreads at the quarter-12 valuation</t>
  </si>
  <si>
    <t xml:space="preserve">Change in HY spreads at the quarter-12 valuation</t>
  </si>
  <si>
    <t xml:space="preserve">HY defaults ('none' = no default)</t>
  </si>
  <si>
    <t xml:space="preserve">Coupon missed in quarter</t>
  </si>
  <si>
    <t xml:space="preserve">Recovery (per 1 of face)</t>
  </si>
  <si>
    <t xml:space="preserve">Recovery paid in quarter</t>
  </si>
  <si>
    <t xml:space="preserve">n/a</t>
  </si>
  <si>
    <t xml:space="preserve">Quarter</t>
  </si>
  <si>
    <t xml:space="preserve">SOFR and bill rate</t>
  </si>
  <si>
    <t xml:space="preserve">Quarterly cash flows of each line (negative = paid out, positive = received)</t>
  </si>
  <si>
    <t xml:space="preserve">Line</t>
  </si>
  <si>
    <t xml:space="preserve">Sleeve</t>
  </si>
  <si>
    <t xml:space="preserve">Price at quarter 12 (per 100)</t>
  </si>
  <si>
    <t xml:space="preserve">Yield at purchase</t>
  </si>
  <si>
    <t xml:space="preserve">Gain (sum of flows)</t>
  </si>
  <si>
    <t xml:space="preserve">IRR a year</t>
  </si>
  <si>
    <t xml:space="preserve">IG</t>
  </si>
  <si>
    <t xml:space="preserve">HY</t>
  </si>
  <si>
    <t xml:space="preserve">Sleeve: IG</t>
  </si>
  <si>
    <t xml:space="preserve">Sleeve: HY</t>
  </si>
  <si>
    <t xml:space="preserve">Rates up 2 points (IG ladder): inputs</t>
  </si>
  <si>
    <t xml:space="preserve">No default (HY bonds): inputs</t>
  </si>
  <si>
    <t xml:space="preserve">The floating-rate loan fund: Brindle Floating Rate Fund</t>
  </si>
  <si>
    <t xml:space="preserve">The paths are on Loan_Fund_Paths.</t>
  </si>
  <si>
    <t xml:space="preserve">NAV at purchase</t>
  </si>
  <si>
    <t xml:space="preserve">Shares bought</t>
  </si>
  <si>
    <t xml:space="preserve">Distribution yield (SOFR + spread - expenses)</t>
  </si>
  <si>
    <t xml:space="preserve">Credit losses a year (default rate x LGD), out of the NAV</t>
  </si>
  <si>
    <t xml:space="preserve">NAV at quarter 4</t>
  </si>
  <si>
    <t xml:space="preserve">NAV at quarter 8</t>
  </si>
  <si>
    <t xml:space="preserve">NAV at quarter 12</t>
  </si>
  <si>
    <t xml:space="preserve">Distributions over three years</t>
  </si>
  <si>
    <t xml:space="preserve">IRR, base case</t>
  </si>
  <si>
    <t xml:space="preserve">IRR, rates up 2 points</t>
  </si>
  <si>
    <t xml:space="preserve">Distribution yield, rates up 2 points</t>
  </si>
  <si>
    <t xml:space="preserve">Default rate assumed, rates up 2 points</t>
  </si>
  <si>
    <t xml:space="preserve">IRR, recession</t>
  </si>
  <si>
    <t xml:space="preserve">Brindle Floating Rate Fund: base case, rates up 2 points, recession</t>
  </si>
  <si>
    <t xml:space="preserve">The distribution is SOFR + spread - expenses on the NAV; credit losses come out of the NAV.</t>
  </si>
  <si>
    <t xml:space="preserve">Loan fund: annual default rate, every quarter</t>
  </si>
  <si>
    <t xml:space="preserve">Loan fund: annual default rate, quarters 5 to 8</t>
  </si>
  <si>
    <t xml:space="preserve">Loan fund: loss given default, quarters 5 to 8</t>
  </si>
  <si>
    <t xml:space="preserve">Brindle Floating Rate Fund: NAV path</t>
  </si>
  <si>
    <t xml:space="preserve">Distribution yield at quarter 1 (SOFR + spread - expenses)</t>
  </si>
  <si>
    <t xml:space="preserve">Annual default rate</t>
  </si>
  <si>
    <t xml:space="preserve">Distribution per share</t>
  </si>
  <si>
    <t xml:space="preserve">NAV per share</t>
  </si>
  <si>
    <t xml:space="preserve">Distributions received, quarters 1 to 12</t>
  </si>
  <si>
    <t xml:space="preserve">Brindle Floating Rate Fund</t>
  </si>
  <si>
    <t xml:space="preserve">Loan fund</t>
  </si>
  <si>
    <t xml:space="preserve">Sleeve: Loan fund</t>
  </si>
  <si>
    <t xml:space="preserve">Rates up 2 points: inputs</t>
  </si>
  <si>
    <t xml:space="preserve">Recession: inputs</t>
  </si>
  <si>
    <t xml:space="preserve">The three listed BDCs: income stack, NAV, discount and what the investor earned</t>
  </si>
  <si>
    <t xml:space="preserve">Base case, $25,000 in each. The quarter-by-quarter paths are on BDC_Paths.</t>
  </si>
  <si>
    <t xml:space="preserve">Share price</t>
  </si>
  <si>
    <t xml:space="preserve">Discount (-) or premium</t>
  </si>
  <si>
    <t xml:space="preserve">Dividend yield (4 x dividend / price)</t>
  </si>
  <si>
    <t xml:space="preserve">Asset coverage (assets / debt)</t>
  </si>
  <si>
    <t xml:space="preserve">Asset yield at quarter 1 (SOFR + spread)</t>
  </si>
  <si>
    <t xml:space="preserve">Interest cost of the debt</t>
  </si>
  <si>
    <t xml:space="preserve">Other expenses</t>
  </si>
  <si>
    <t xml:space="preserve">Pre-incentive NII at quarter 1 (of NAV, a year)</t>
  </si>
  <si>
    <t xml:space="preserve">NII at quarter 1 (of NAV, a year)</t>
  </si>
  <si>
    <t xml:space="preserve">NII per share, quarter 1</t>
  </si>
  <si>
    <t xml:space="preserve">Dividend per share, quarter 1</t>
  </si>
  <si>
    <t xml:space="preserve">NAV losses assumed a year</t>
  </si>
  <si>
    <t xml:space="preserve">NAV per share, quarter 4</t>
  </si>
  <si>
    <t xml:space="preserve">NAV per share, quarter 8</t>
  </si>
  <si>
    <t xml:space="preserve">NAV per share, quarter 12</t>
  </si>
  <si>
    <t xml:space="preserve">Discount at quarter 12</t>
  </si>
  <si>
    <t xml:space="preserve">Price at quarter 12</t>
  </si>
  <si>
    <t xml:space="preserve">Dividends received</t>
  </si>
  <si>
    <t xml:space="preserve">NAV effect: shares x (NAV q12 - NAV q0) x (1 + discount at purchase)</t>
  </si>
  <si>
    <t xml:space="preserve">Discount effect: shares x NAV q12 x (discount q12 - discount q0)</t>
  </si>
  <si>
    <t xml:space="preserve">Total gain: dividends + NAV effect + discount effect</t>
  </si>
  <si>
    <t xml:space="preserve">IRR</t>
  </si>
  <si>
    <t xml:space="preserve">BDC sleeve IRR</t>
  </si>
  <si>
    <t xml:space="preserve">Corlett Credit: coverage (NII / dividend) by quarter</t>
  </si>
  <si>
    <t xml:space="preserve">NII per share</t>
  </si>
  <si>
    <t xml:space="preserve">Dividend</t>
  </si>
  <si>
    <t xml:space="preserve">Coverage</t>
  </si>
  <si>
    <t xml:space="preserve">Leverage allowed by an asset coverage floor</t>
  </si>
  <si>
    <t xml:space="preserve">Asset coverage floor</t>
  </si>
  <si>
    <t xml:space="preserve">Maximum debt / equity: 1 / (floor - 1)</t>
  </si>
  <si>
    <t xml:space="preserve">Ledgerwood Capital: fees as a percent of NAV (quarter 1)</t>
  </si>
  <si>
    <t xml:space="preserve">Base fee: rate x (1 + leverage)</t>
  </si>
  <si>
    <t xml:space="preserve">Incentive fee: rate x pre-incentive NII</t>
  </si>
  <si>
    <t xml:space="preserve">Total fees</t>
  </si>
  <si>
    <t xml:space="preserve">Ledgerwood Capital: fees and interest as a percent of NAV (quarter 1)</t>
  </si>
  <si>
    <t xml:space="preserve">Interest on debt: rate x leverage</t>
  </si>
  <si>
    <t xml:space="preserve">Fees and interest</t>
  </si>
  <si>
    <t xml:space="preserve">Tamsin Lending: fees and interest as a percent of NAV (quarter 1)</t>
  </si>
  <si>
    <t xml:space="preserve">Corlett Credit: fees and interest as a percent of NAV (quarter 1)</t>
  </si>
  <si>
    <t xml:space="preserve">The three BDCs, quarter by quarter (base case)</t>
  </si>
  <si>
    <t xml:space="preserve">NII = asset yield on (1 + leverage) of assets less non-accruals, less interest, base fee and other expenses, less the incentive fee. NAV moves by NII - dividend - credit losses.</t>
  </si>
  <si>
    <t xml:space="preserve">BDCs: loss multiplier, quarters 5 to 8</t>
  </si>
  <si>
    <t xml:space="preserve">x</t>
  </si>
  <si>
    <t xml:space="preserve">BDCs: extra non-accruals from quarter 5</t>
  </si>
  <si>
    <t xml:space="preserve">BDC ('none' = no scenario cut)</t>
  </si>
  <si>
    <t xml:space="preserve">Scenario cut from quarter</t>
  </si>
  <si>
    <t xml:space="preserve">Ledgerwood Capital: income, dividend and NAV per share</t>
  </si>
  <si>
    <t xml:space="preserve">Discount (-) or premium at purchase</t>
  </si>
  <si>
    <t xml:space="preserve">Non-accruals (share of assets)</t>
  </si>
  <si>
    <t xml:space="preserve">Asset yield (SOFR + spread)</t>
  </si>
  <si>
    <t xml:space="preserve">Pre-incentive NII (of NAV, a year)</t>
  </si>
  <si>
    <t xml:space="preserve">NII after incentive fee (of NAV, a year)</t>
  </si>
  <si>
    <t xml:space="preserve">NII per share, the quarter</t>
  </si>
  <si>
    <t xml:space="preserve">Dividend per share</t>
  </si>
  <si>
    <t xml:space="preserve">NAV credit losses (a year)</t>
  </si>
  <si>
    <t xml:space="preserve">NAV per share (end of quarter)</t>
  </si>
  <si>
    <t xml:space="preserve">Coverage (NII / dividend)</t>
  </si>
  <si>
    <t xml:space="preserve">Price at quarter 12 (NAV x (1 + discount))</t>
  </si>
  <si>
    <t xml:space="preserve">Tamsin Lending: income, dividend and NAV per share</t>
  </si>
  <si>
    <t xml:space="preserve">Corlett Credit: income, dividend and NAV per share</t>
  </si>
  <si>
    <t xml:space="preserve">Sleeve: BDC</t>
  </si>
  <si>
    <t xml:space="preserve">The private credit interval fund: Ashcombe Private Credit Interval Fund</t>
  </si>
  <si>
    <t xml:space="preserve">Fee stack at quarter 1, base case, percent of NAV a year. The paths are on Interval_Fund_Paths.</t>
  </si>
  <si>
    <t xml:space="preserve">Distribution rate on the starting NAV</t>
  </si>
  <si>
    <t xml:space="preserve">Fees and discount on the loans</t>
  </si>
  <si>
    <t xml:space="preserve">Asset yield</t>
  </si>
  <si>
    <t xml:space="preserve">Leverage</t>
  </si>
  <si>
    <t xml:space="preserve">Assets per 1 of NAV</t>
  </si>
  <si>
    <t xml:space="preserve">Gross income on assets</t>
  </si>
  <si>
    <t xml:space="preserve">Interest on the fund's borrowing</t>
  </si>
  <si>
    <t xml:space="preserve">Management fee rate on gross assets</t>
  </si>
  <si>
    <t xml:space="preserve">Management fee</t>
  </si>
  <si>
    <t xml:space="preserve">Servicing fee</t>
  </si>
  <si>
    <t xml:space="preserve">Other expenses and servicing fee</t>
  </si>
  <si>
    <t xml:space="preserve">Pre-incentive net investment income</t>
  </si>
  <si>
    <t xml:space="preserve">Incentive fee rate</t>
  </si>
  <si>
    <t xml:space="preserve">Hurdle</t>
  </si>
  <si>
    <t xml:space="preserve">Net investment income</t>
  </si>
  <si>
    <t xml:space="preserve">Default rate of the loans</t>
  </si>
  <si>
    <t xml:space="preserve">Credit losses</t>
  </si>
  <si>
    <t xml:space="preserve">Expected total return (NII - credit losses)</t>
  </si>
  <si>
    <t xml:space="preserve">Fund-level fees excluding interest (of NAV)</t>
  </si>
  <si>
    <t xml:space="preserve">Fund-level fees including interest (of NAV)</t>
  </si>
  <si>
    <t xml:space="preserve">Fees as a share of gross income</t>
  </si>
  <si>
    <t xml:space="preserve">Fees and interest as a share of gross income</t>
  </si>
  <si>
    <t xml:space="preserve">Year-one management fee on the investor's money</t>
  </si>
  <si>
    <t xml:space="preserve">Year-one other expenses and servicing</t>
  </si>
  <si>
    <t xml:space="preserve">Year-one incentive fee</t>
  </si>
  <si>
    <t xml:space="preserve">Year-one fees, total</t>
  </si>
  <si>
    <t xml:space="preserve">Year-one interest on the fund's borrowing</t>
  </si>
  <si>
    <t xml:space="preserve">An adviser's wrap fee (input)</t>
  </si>
  <si>
    <t xml:space="preserve">Expected return after the wrap fee</t>
  </si>
  <si>
    <t xml:space="preserve">Change in NAV over three years</t>
  </si>
  <si>
    <t xml:space="preserve">Coverage of the distribution, quarter 1</t>
  </si>
  <si>
    <t xml:space="preserve">Distributions received over three years</t>
  </si>
  <si>
    <t xml:space="preserve">Value at NAV at quarter 12</t>
  </si>
  <si>
    <t xml:space="preserve">Quarterly repurchase offer</t>
  </si>
  <si>
    <t xml:space="preserve">Ashcombe Private Credit Interval Fund: base case, rates up 2 points, recession, gate only</t>
  </si>
  <si>
    <t xml:space="preserve">Tendered in full at quarter 12; a gate fills a share of each tender for some quarters, then pays the rest.</t>
  </si>
  <si>
    <t xml:space="preserve">Interval fund: loss multiplier, quarters 5 to 8</t>
  </si>
  <si>
    <t xml:space="preserve">Interval fund: annual default rate</t>
  </si>
  <si>
    <t xml:space="preserve">Gate: share of each tender filled (100% = no gate)</t>
  </si>
  <si>
    <t xml:space="preserve">Gate: number of gated quarters from quarter 12 (then paid in full)</t>
  </si>
  <si>
    <t xml:space="preserve">Ashcombe Private Credit Interval Fund: fee stack (of NAV, a year), NAV and tenders</t>
  </si>
  <si>
    <t xml:space="preserve">Asset yield (SOFR + spread + fees and discount)</t>
  </si>
  <si>
    <t xml:space="preserve">quarters 13 to 16 at the quarter-12 rate</t>
  </si>
  <si>
    <t xml:space="preserve">Pre-incentive NII</t>
  </si>
  <si>
    <t xml:space="preserve">Incentive fee (if the hurdle is passed)</t>
  </si>
  <si>
    <t xml:space="preserve">Credit losses (PD x LGD x assets)</t>
  </si>
  <si>
    <t xml:space="preserve">Coverage (NII / distribution)</t>
  </si>
  <si>
    <t xml:space="preserve">Shares repurchased in the quarter</t>
  </si>
  <si>
    <t xml:space="preserve">Shares held (end of quarter)</t>
  </si>
  <si>
    <t xml:space="preserve">Distributions received</t>
  </si>
  <si>
    <t xml:space="preserve">Ashcombe Private Credit Interval Fund</t>
  </si>
  <si>
    <t xml:space="preserve">Interval fund</t>
  </si>
  <si>
    <t xml:space="preserve">Sleeve: Interval fund</t>
  </si>
  <si>
    <t xml:space="preserve">Gate only: inputs</t>
  </si>
  <si>
    <t xml:space="preserve">A quarterly exit is a promise to try: pro rata tenders and the gate</t>
  </si>
  <si>
    <t xml:space="preserve">If requests exceed the offer, each tender is filled pro rata. Presenting everything each quarter, the share out after n quarters is 1 - (1 - fill)^n.</t>
  </si>
  <si>
    <t xml:space="preserve">Requests (share of the fund)</t>
  </si>
  <si>
    <t xml:space="preserve">Fill rate</t>
  </si>
  <si>
    <t xml:space="preserve">Quarters to get out</t>
  </si>
  <si>
    <t xml:space="preserve">Share of the position to get out</t>
  </si>
  <si>
    <t xml:space="preserve">The gate (gate only: the base case with the gate)</t>
  </si>
  <si>
    <t xml:space="preserve">Share of each tender filled while gated</t>
  </si>
  <si>
    <t xml:space="preserve">Gated quarters from quarter 12</t>
  </si>
  <si>
    <t xml:space="preserve">Cash from the interval fund, quarter 12</t>
  </si>
  <si>
    <t xml:space="preserve">Cash from the interval fund, quarter 13</t>
  </si>
  <si>
    <t xml:space="preserve">Cash from the interval fund, quarter 14</t>
  </si>
  <si>
    <t xml:space="preserve">Cash from the interval fund, quarter 15</t>
  </si>
  <si>
    <t xml:space="preserve">Cash from the interval fund, quarter 16</t>
  </si>
  <si>
    <t xml:space="preserve">Share of the position still held after the gated quarters</t>
  </si>
  <si>
    <t xml:space="preserve">Fees across vehicles, tax, and the base portfolio these vehicles make</t>
  </si>
  <si>
    <t xml:space="preserve">Tax: an ASSUMED marginal rate on ordinary income, for illustration only; not a statement of anyone's rate.</t>
  </si>
  <si>
    <t xml:space="preserve">Treasury bill reserve (base case): inputs</t>
  </si>
  <si>
    <t xml:space="preserve">Treasury bills</t>
  </si>
  <si>
    <t xml:space="preserve">Reserve</t>
  </si>
  <si>
    <t xml:space="preserve">Sleeve: Reserve</t>
  </si>
  <si>
    <t xml:space="preserve">The seventeen lines at purchase: cost and displayed yield</t>
  </si>
  <si>
    <t xml:space="preserve">Displayed yield</t>
  </si>
  <si>
    <t xml:space="preserve">Interval fund sleeve cost</t>
  </si>
  <si>
    <t xml:space="preserve">Portfolio displayed yield (cost-weighted)</t>
  </si>
  <si>
    <t xml:space="preserve">The base portfolio, quarter by quarter (sum of the sleeves above and on the flow sheets)</t>
  </si>
  <si>
    <t xml:space="preserve">Base portfolio</t>
  </si>
  <si>
    <t xml:space="preserve">Gate only</t>
  </si>
  <si>
    <t xml:space="preserve">Column C: IRR a year of the row.</t>
  </si>
  <si>
    <t xml:space="preserve">Fees across vehicles (a year)</t>
  </si>
  <si>
    <t xml:space="preserve">Loan fund expenses (of NAV)</t>
  </si>
  <si>
    <t xml:space="preserve">Interval fund fees excluding interest (of NAV)</t>
  </si>
  <si>
    <t xml:space="preserve">Ledgerwood Capital fees (of NAV)</t>
  </si>
  <si>
    <t xml:space="preserve">Tax: after-tax yields at an assumed rate (before any state tax effect)</t>
  </si>
  <si>
    <t xml:space="preserve">Assumed marginal rate on ordinary income</t>
  </si>
  <si>
    <t xml:space="preserve">Treasury bill yield</t>
  </si>
  <si>
    <t xml:space="preserve">Treasury bill after tax</t>
  </si>
  <si>
    <t xml:space="preserve">Portfolio displayed yield after tax</t>
  </si>
  <si>
    <t xml:space="preserve">Realized base IRR after tax, roughly (income taxed each year)</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</si>
  <si>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</si>
  <si>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</si>
  <si>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</si>
  <si>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</si>
  <si>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</si>
  <si>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</si>
  <si>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DER_040</t>
  </si>
  <si>
    <t xml:space="preserve">round(HY_SLEEVE_IRR_ND, 2) - round(HY_SLEEVE_IRR, 2)  (06.md)</t>
  </si>
  <si>
    <t xml:space="preserve">4.10</t>
  </si>
  <si>
    <t xml:space="preserve">HY_OVER_BILL</t>
  </si>
  <si>
    <t xml:space="preserve">round(HY_SLEEVE_IRR, 2) - RF  (06.md)</t>
  </si>
  <si>
    <t xml:space="preserve">0.22</t>
  </si>
  <si>
    <t xml:space="preserve">DER_049</t>
  </si>
  <si>
    <t xml:space="preserve">LF_SHARES * LF_NAV0  (07.md)</t>
  </si>
  <si>
    <t xml:space="preserve">$75,000.00</t>
  </si>
  <si>
    <t xml:space="preserve">DER_050</t>
  </si>
  <si>
    <t xml:space="preserve">LF_SHARES * round(LF_NAV4, 3)  (07.md)</t>
  </si>
  <si>
    <t xml:space="preserve">$74,212.50</t>
  </si>
  <si>
    <t xml:space="preserve">DER_051</t>
  </si>
  <si>
    <t xml:space="preserve">LF_SHARES * round(LF_NAV8, 3)  (07.md)</t>
  </si>
  <si>
    <t xml:space="preserve">$73,440.00</t>
  </si>
  <si>
    <t xml:space="preserve">DER_052</t>
  </si>
  <si>
    <t xml:space="preserve">LF_SHARES * round(LF_NAV12, 3)  (07.md)</t>
  </si>
  <si>
    <t xml:space="preserve">$72,675.00</t>
  </si>
  <si>
    <t xml:space="preserve">DER_053</t>
  </si>
  <si>
    <t xml:space="preserve">(round(LF_NAV8, 3) - round(LF_NAV12, 3)) * 100  (07.md)</t>
  </si>
  <si>
    <t xml:space="preserve">10.2</t>
  </si>
  <si>
    <t xml:space="preserve">LF_LOSS_CENTS</t>
  </si>
  <si>
    <t xml:space="preserve">(LF_NAV0 - round(LF_NAV12, 3)) * 100  (07.md)</t>
  </si>
  <si>
    <t xml:space="preserve">31</t>
  </si>
  <si>
    <t xml:space="preserve">DER_055</t>
  </si>
  <si>
    <t xml:space="preserve">LF_SHARES * LF_LOSS_CENTS / 100  (07.md)</t>
  </si>
  <si>
    <t xml:space="preserve">$2,325</t>
  </si>
  <si>
    <t xml:space="preserve">DER_072</t>
  </si>
  <si>
    <t xml:space="preserve">round(BDC_TAMSIN_DISP, 2) - round(BDC_TAMSIN_IRR, 2)  (09.md)</t>
  </si>
  <si>
    <t xml:space="preserve">1.58</t>
  </si>
  <si>
    <t xml:space="preserve">DER_074</t>
  </si>
  <si>
    <t xml:space="preserve">5 * BDC_CORLET_DIV + 7 * CORL_DIV2  (09.md)</t>
  </si>
  <si>
    <t xml:space="preserve">$3.40</t>
  </si>
  <si>
    <t xml:space="preserve">CORL_NAVFALL12</t>
  </si>
  <si>
    <t xml:space="preserve">(1 - BDC_CORLET_NAV12 / BDC_CORLET_NAV0) * 100  (09.md)</t>
  </si>
  <si>
    <t xml:space="preserve">11.6</t>
  </si>
  <si>
    <t xml:space="preserve">DER_076</t>
  </si>
  <si>
    <t xml:space="preserve">BDC_CORLET_PX - round(BDC_CORLET_PX12, 3)  (09.md)</t>
  </si>
  <si>
    <t xml:space="preserve">$1.543</t>
  </si>
  <si>
    <t xml:space="preserve">DER_077</t>
  </si>
  <si>
    <t xml:space="preserve">-(round(BDC_CORLET_NAVEFF) + round(BDC_CORLET_DISCEFF))  (09.md)</t>
  </si>
  <si>
    <t xml:space="preserve">$4,285</t>
  </si>
  <si>
    <t xml:space="preserve">LEDG_GROSS</t>
  </si>
  <si>
    <t xml:space="preserve">(1 + BDC_LEDGER_LEV) * BDC_LEDGER_AY  (10.md)</t>
  </si>
  <si>
    <t xml:space="preserve">22.89</t>
  </si>
  <si>
    <t xml:space="preserve">DER_079</t>
  </si>
  <si>
    <t xml:space="preserve">LEDG_GROSS * (1 - BDC_LEDGER_NA1 / 100)  (10.md)</t>
  </si>
  <si>
    <t xml:space="preserve">22.66</t>
  </si>
  <si>
    <t xml:space="preserve">DER_081</t>
  </si>
  <si>
    <t xml:space="preserve">(1 + BDC_CORLET_LEV) * BDC_CORLET_AY  (10.md)</t>
  </si>
  <si>
    <t xml:space="preserve">28.91</t>
  </si>
  <si>
    <t xml:space="preserve">CORL_INCN</t>
  </si>
  <si>
    <t xml:space="preserve">round(BDC_CORLET_PRE, 2) - round(BDC_CORLET_NII, 2)  (10.md)</t>
  </si>
  <si>
    <t xml:space="preserve">2.67</t>
  </si>
  <si>
    <t xml:space="preserve">CORL_BASEN</t>
  </si>
  <si>
    <t xml:space="preserve">(1 + BDC_CORLET_LEV) * BDC_CORLET_BASE  (10.md)</t>
  </si>
  <si>
    <t xml:space="preserve">4.11</t>
  </si>
  <si>
    <t xml:space="preserve">CORL_FEESN</t>
  </si>
  <si>
    <t xml:space="preserve">round(CORL_BASEN, 2) + BDC_CORLET_OPEX + CORL_INCN  (10.md)</t>
  </si>
  <si>
    <t xml:space="preserve">7.88</t>
  </si>
  <si>
    <t xml:space="preserve">DER_093</t>
  </si>
  <si>
    <t xml:space="preserve">4 * CORL_DIV2 / BDC_CORLET_PX * 100  (10.md)</t>
  </si>
  <si>
    <t xml:space="preserve">11.11</t>
  </si>
  <si>
    <t xml:space="preserve">DER_094</t>
  </si>
  <si>
    <t xml:space="preserve">(1 - round(BDC_CORLET_PX12, 3) / BDC_CORLET_PX) * 100  (11.md)</t>
  </si>
  <si>
    <t xml:space="preserve">17.1</t>
  </si>
  <si>
    <t xml:space="preserve">DER_097</t>
  </si>
  <si>
    <t xml:space="preserve">4 * IF_DIST / round(IF_NAV4, 3) * 100  (11.md)</t>
  </si>
  <si>
    <t xml:space="preserve">9.17%</t>
  </si>
  <si>
    <t xml:space="preserve">DER_098</t>
  </si>
  <si>
    <t xml:space="preserve">4 * IF_DIST / round(IF_NAV8, 3) * 100  (11.md)</t>
  </si>
  <si>
    <t xml:space="preserve">9.36%</t>
  </si>
  <si>
    <t xml:space="preserve">DER_099</t>
  </si>
  <si>
    <t xml:space="preserve">4 * IF_DIST / round(IF_NAV12, 3) * 100  (11.md)</t>
  </si>
  <si>
    <t xml:space="preserve">9.58%</t>
  </si>
  <si>
    <t xml:space="preserve">DER_100</t>
  </si>
  <si>
    <t xml:space="preserve">9.17</t>
  </si>
  <si>
    <t xml:space="preserve">DER_101</t>
  </si>
  <si>
    <t xml:space="preserve">9.36</t>
  </si>
  <si>
    <t xml:space="preserve">DER_102</t>
  </si>
  <si>
    <t xml:space="preserve">9.58</t>
  </si>
  <si>
    <t xml:space="preserve">IF_NAV_LOSS</t>
  </si>
  <si>
    <t xml:space="preserve">COST_INTERVAL_FUND - round(IF_VAL12)  (11.md)</t>
  </si>
  <si>
    <t xml:space="preserve">$6,013</t>
  </si>
  <si>
    <t xml:space="preserve">DER_105</t>
  </si>
  <si>
    <t xml:space="preserve">round(IF_NAV12, 3) + 12 * IF_DIST  (11.md)</t>
  </si>
  <si>
    <t xml:space="preserve">$30.247</t>
  </si>
  <si>
    <t xml:space="preserve">DER_106</t>
  </si>
  <si>
    <t xml:space="preserve">(IF_OFFER + 2) / 7.5 * 100  (12.md)</t>
  </si>
  <si>
    <t xml:space="preserve">93.3</t>
  </si>
  <si>
    <t xml:space="preserve">DER_107</t>
  </si>
  <si>
    <t xml:space="preserve">100 - PRO_250_FILL  (12.md)</t>
  </si>
  <si>
    <t xml:space="preserve">80</t>
  </si>
  <si>
    <t xml:space="preserve">GATE_SH1</t>
  </si>
  <si>
    <t xml:space="preserve">IF_SHARES * GATE_FILL / 100  (12.md)</t>
  </si>
  <si>
    <t xml:space="preserve">1,000</t>
  </si>
  <si>
    <t xml:space="preserve">GATE_REM1</t>
  </si>
  <si>
    <t xml:space="preserve">IF_SHARES - GATE_SH1  (12.md)</t>
  </si>
  <si>
    <t xml:space="preserve">3,000</t>
  </si>
  <si>
    <t xml:space="preserve">GATE_SH2</t>
  </si>
  <si>
    <t xml:space="preserve">GATE_REM1 * GATE_FILL / 100  (12.md)</t>
  </si>
  <si>
    <t xml:space="preserve">750</t>
  </si>
  <si>
    <t xml:space="preserve">GATE_REM2</t>
  </si>
  <si>
    <t xml:space="preserve">GATE_REM1 - GATE_SH2  (12.md)</t>
  </si>
  <si>
    <t xml:space="preserve">2,250</t>
  </si>
  <si>
    <t xml:space="preserve">DER_112</t>
  </si>
  <si>
    <t xml:space="preserve">GATE_REM2 * GATE_FILL / 100  (12.md)</t>
  </si>
  <si>
    <t xml:space="preserve">562.5</t>
  </si>
  <si>
    <t xml:space="preserve">DER_113</t>
  </si>
  <si>
    <t xml:space="preserve">(1 - GATE_FILL / 100) ** 2 * 100  (12.md)</t>
  </si>
  <si>
    <t xml:space="preserve">56.25</t>
  </si>
  <si>
    <t xml:space="preserve">DER_114</t>
  </si>
  <si>
    <t xml:space="preserve">(1 - GATE_FILL / 100) ** 3 * 100  (12.md)</t>
  </si>
  <si>
    <t xml:space="preserve">42.2</t>
  </si>
  <si>
    <t xml:space="preserve">DER_115</t>
  </si>
  <si>
    <t xml:space="preserve">GATE_SH1 * round(IF_NAV12, 3)  (12.md)</t>
  </si>
  <si>
    <t xml:space="preserve">$23,497</t>
  </si>
  <si>
    <t xml:space="preserve">IF_DIST_Q_USD</t>
  </si>
  <si>
    <t xml:space="preserve">IF_SHARES * IF_DIST  (12.md)</t>
  </si>
  <si>
    <t xml:space="preserve">$2,250</t>
  </si>
  <si>
    <t xml:space="preserve">GATE_TOTAL</t>
  </si>
  <si>
    <t xml:space="preserve">round(GATE_C12) + round(GATE_C13) + round(GATE_C14) + round(GATE_C15) + round(GATE_C16)  (12.md)</t>
  </si>
  <si>
    <t xml:space="preserve">$99,676</t>
  </si>
  <si>
    <t xml:space="preserve">IF_BASE_Q12</t>
  </si>
  <si>
    <t xml:space="preserve">round(IF_VAL12) + IF_DIST_Q_USD  (12.md)</t>
  </si>
  <si>
    <t xml:space="preserve">$96,237</t>
  </si>
  <si>
    <t xml:space="preserve">DER_119</t>
  </si>
  <si>
    <t xml:space="preserve">GATE_TOTAL - IF_BASE_Q12  (12.md)</t>
  </si>
  <si>
    <t xml:space="preserve">$3,439</t>
  </si>
  <si>
    <t xml:space="preserve">DER_122</t>
  </si>
  <si>
    <t xml:space="preserve">IF_HURDLE  (13.md)</t>
  </si>
  <si>
    <t xml:space="preserve">5.00</t>
  </si>
  <si>
    <t xml:space="preserve">IF_OVER_HURDLE</t>
  </si>
  <si>
    <t xml:space="preserve">round(IF_PRE, 2) - IF_HURDLE  (13.md)</t>
  </si>
  <si>
    <t xml:space="preserve">5.21</t>
  </si>
  <si>
    <t xml:space="preserve">DER_124</t>
  </si>
  <si>
    <t xml:space="preserve">IF_INC_RATE / 100 * IF_OVER_HURDLE  (13.md)</t>
  </si>
  <si>
    <t xml:space="preserve">0.65</t>
  </si>
  <si>
    <t xml:space="preserve">DER_125</t>
  </si>
  <si>
    <t xml:space="preserve">round(IF_FEES_USD) + round(IF_DEBT_USD)  (13.md)</t>
  </si>
  <si>
    <t xml:space="preserve">$9,002</t>
  </si>
  <si>
    <t xml:space="preserve">DER_126</t>
  </si>
  <si>
    <t xml:space="preserve">IF_DIST_Q_USD  (13.md)</t>
  </si>
  <si>
    <t xml:space="preserve">DER_127</t>
  </si>
  <si>
    <t xml:space="preserve">4 * IF_DIST_Q_USD  (13.md)</t>
  </si>
  <si>
    <t xml:space="preserve">$9,000</t>
  </si>
  <si>
    <t xml:space="preserve">DER_129</t>
  </si>
  <si>
    <t xml:space="preserve">1 - TAX_ORD / 100  (14.md)</t>
  </si>
  <si>
    <t xml:space="preserve">DER_132</t>
  </si>
  <si>
    <t xml:space="preserve">round(TAX_IRR, 2) - round(TAX_RF, 2)  (14.md)</t>
  </si>
  <si>
    <t xml:space="preserve">1.31</t>
  </si>
  <si>
    <t xml:space="preserve">DER_133</t>
  </si>
  <si>
    <t xml:space="preserve">IF_DISTS * TAX_ORD / 100  (14.md)</t>
  </si>
  <si>
    <t xml:space="preserve">$9,450</t>
  </si>
  <si>
    <t xml:space="preserve">DER_134</t>
  </si>
  <si>
    <t xml:space="preserve">IF_NAV_LOSS  (14.md)</t>
  </si>
  <si>
    <t xml:space="preserve">DER_135</t>
  </si>
  <si>
    <t xml:space="preserve">round(BDC_CORLET_DIVS) * TAX_ORD / 100  (14.md)</t>
  </si>
  <si>
    <t xml:space="preserve">$3,305</t>
  </si>
  <si>
    <t xml:space="preserve">CORL_CUT_Q</t>
  </si>
  <si>
    <t xml:space="preserve">(BDC_CORLET_DIV - CORL_DIV2) * BDC_CORLET_SH  (16.md)</t>
  </si>
  <si>
    <t xml:space="preserve">$222</t>
  </si>
  <si>
    <t xml:space="preserve">HARR_CPN_USD</t>
  </si>
  <si>
    <t xml:space="preserve">HY_FACE * HARR_CPN / 100  (02.md)</t>
  </si>
  <si>
    <t xml:space="preserve">$1,062.50</t>
  </si>
  <si>
    <t xml:space="preserve">HARR_CPN_SEMI</t>
  </si>
  <si>
    <t xml:space="preserve">HARR_CPN_USD / 2  (02.md)</t>
  </si>
  <si>
    <t xml:space="preserve">$531.25</t>
  </si>
  <si>
    <t xml:space="preserve">DER_153</t>
  </si>
  <si>
    <t xml:space="preserve">HARR_CPN_SEMI + CORL_CUT_Q  (16.md)</t>
  </si>
  <si>
    <t xml:space="preserve">$753</t>
  </si>
  <si>
    <t xml:space="preserve">DER_162</t>
  </si>
  <si>
    <t xml:space="preserve">round(LF_DISP, 2) - round(LF_IRR, 2)  (16.md)</t>
  </si>
  <si>
    <t xml:space="preserve">0.93</t>
  </si>
  <si>
    <t xml:space="preserve">DER_164</t>
  </si>
  <si>
    <t xml:space="preserve">round(BDC_CORLET_DISP, 2) - round(BDC_LEDGER_DISP, 2)  (16.md)</t>
  </si>
  <si>
    <t xml:space="preserve">4.56</t>
  </si>
  <si>
    <t xml:space="preserve">DER_165</t>
  </si>
  <si>
    <t xml:space="preserve">BDC_LEDGER_GAIN / BDC_LEDGER_COST * 100  (16.md)</t>
  </si>
  <si>
    <t xml:space="preserve">29.2</t>
  </si>
  <si>
    <t xml:space="preserve">DER_166</t>
  </si>
  <si>
    <t xml:space="preserve">BDC_CORLET_GAIN / BDC_CORLET_COST * 100  (16.md)</t>
  </si>
  <si>
    <t xml:space="preserve">20.6</t>
  </si>
  <si>
    <t xml:space="preserve">DER_180</t>
  </si>
  <si>
    <t xml:space="preserve">HY_OVER_BILL  (17.md)</t>
  </si>
  <si>
    <t xml:space="preserve">CORL_Y2_FALL</t>
  </si>
  <si>
    <t xml:space="preserve">round(BDC_CORLET_NAV4, 3) - round(BDC_CORLET_NAV8, 3)  (18.md)</t>
  </si>
  <si>
    <t xml:space="preserve">$0.395</t>
  </si>
  <si>
    <t xml:space="preserve">DER_182</t>
  </si>
  <si>
    <t xml:space="preserve">CORL_Y2_FALL / round(BDC_CORLET_NAV4, 3) * 100  (18.md)</t>
  </si>
  <si>
    <t xml:space="preserve">3.7</t>
  </si>
  <si>
    <t xml:space="preserve">IF_Y1_FALL</t>
  </si>
  <si>
    <t xml:space="preserve">IF_NAV0 - round(IF_NAV4, 3)  (18.md)</t>
  </si>
  <si>
    <t xml:space="preserve">$0.466</t>
  </si>
  <si>
    <t xml:space="preserve">DER_184</t>
  </si>
  <si>
    <t xml:space="preserve">IF_Y1_FALL / IF_NAV0 * 100  (18.md)</t>
  </si>
  <si>
    <t xml:space="preserve">1.9</t>
  </si>
  <si>
    <t xml:space="preserve">DER_185</t>
  </si>
  <si>
    <t xml:space="preserve">IF_SHARES * IF_Y1_FALL  (18.md)</t>
  </si>
  <si>
    <t xml:space="preserve">$1,864</t>
  </si>
  <si>
    <t xml:space="preserve">DER_186</t>
  </si>
  <si>
    <t xml:space="preserve">4 * IF_SHARES * IF_DIST  (18.md)</t>
  </si>
  <si>
    <t xml:space="preserve">DER_187</t>
  </si>
  <si>
    <t xml:space="preserve">round(BDC_CORLET_DISP, 2) - round(BDC_CORLET_IRR, 2)  (18.md)</t>
  </si>
  <si>
    <t xml:space="preserve">6.91</t>
  </si>
  <si>
    <t xml:space="preserve">DER_188</t>
  </si>
  <si>
    <t xml:space="preserve">round(BDC_CORLET_NAV8, 3) - round(BDC_CORLET_NAV12, 3)  (18.md)</t>
  </si>
  <si>
    <t xml:space="preserve">$0.386</t>
  </si>
  <si>
    <t xml:space="preserve">DER_189</t>
  </si>
  <si>
    <t xml:space="preserve">BDC_CORLET_NAV0 - round(BDC_CORLET_NAV12, 3)  (18.md)</t>
  </si>
  <si>
    <t xml:space="preserve">$1.307</t>
  </si>
  <si>
    <t xml:space="preserve">DER_190</t>
  </si>
  <si>
    <t xml:space="preserve">CORL_NAVFALL12  (18.md)</t>
  </si>
  <si>
    <t xml:space="preserve">DER_191</t>
  </si>
  <si>
    <t xml:space="preserve">BDC_LEDGER_NAV0 - round(BDC_LEDGER_NAV12, 3)  (18.md)</t>
  </si>
  <si>
    <t xml:space="preserve">$0.215</t>
  </si>
  <si>
    <t xml:space="preserve">DER_192</t>
  </si>
  <si>
    <t xml:space="preserve">(BDC_LEDGER_NAV0 - round(BDC_LEDGER_NAV12, 3)) / BDC_LEDGER_NAV0 * 100  (18.md)</t>
  </si>
  <si>
    <t xml:space="preserve">1.1</t>
  </si>
  <si>
    <t xml:space="preserve">DER_195</t>
  </si>
  <si>
    <t xml:space="preserve">CORL_INCN  (19.md)</t>
  </si>
  <si>
    <t xml:space="preserve">DER_196</t>
  </si>
  <si>
    <t xml:space="preserve">CORL_FEESN  (19.md)</t>
  </si>
  <si>
    <t xml:space="preserve">DER_209</t>
  </si>
  <si>
    <t xml:space="preserve">LF_DR_RATES * (100 - REC_LOAN) / 100  (07.md)</t>
  </si>
  <si>
    <t xml:space="preserve">1.40</t>
  </si>
  <si>
    <t xml:space="preserve">DER_210</t>
  </si>
  <si>
    <t xml:space="preserve">RF + 2 + LF_SPREAD - LF_FEE - LF_DR_RATES * (100 - REC_LOAN) / 100  (07.md)</t>
  </si>
  <si>
    <t xml:space="preserve">7.25</t>
  </si>
  <si>
    <t xml:space="preserve">DER_217</t>
  </si>
  <si>
    <t xml:space="preserve">4 * CORL_DIV2  (10.md)</t>
  </si>
  <si>
    <t xml:space="preserve">$1.00</t>
  </si>
  <si>
    <t xml:space="preserve">DER_220</t>
  </si>
  <si>
    <t xml:space="preserve">1 + IF_LEV  (13.md)</t>
  </si>
  <si>
    <t xml:space="preserve">1.75</t>
  </si>
  <si>
    <t xml:space="preserve">DER_221</t>
  </si>
  <si>
    <t xml:space="preserve">round(TAX_DISP, 2) - round(TAX_RF, 2)  (14.md)</t>
  </si>
  <si>
    <t xml:space="preserve">2.25</t>
  </si>
  <si>
    <t xml:space="preserve">DER_223</t>
  </si>
  <si>
    <t xml:space="preserve">DER_188 / round(BDC_CORLET_NAV8, 3) * 100  (18.md)</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</si>
  <si>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</si>
  <si>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</si>
  <si>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</si>
  <si>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</si>
  <si>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</si>
  <si>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</si>
  <si>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</si>
  <si>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</si>
  <si>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</si>
  <si>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</si>
  <si>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</si>
  <si>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</si>
  <si>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</si>
  <si>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</si>
  <si>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</si>
  <si>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</si>
  <si>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</si>
  <si>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</si>
  <si>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</si>
  <si>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</si>
  <si>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</si>
  <si>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</si>
  <si>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</si>
  <si>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</si>
  <si>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</si>
  <si>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</si>
  <si>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</si>
  <si>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</si>
  <si>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</si>
  <si>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</si>
  <si>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</si>
  <si>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</si>
  <si>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</si>
  <si>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</si>
  <si>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</si>
  <si>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</si>
  <si>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</si>
  <si>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</si>
  <si>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</si>
  <si>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</si>
  <si>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</si>
  <si>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</si>
  <si>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</si>
  <si>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</si>
  <si>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</si>
  <si>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</si>
  <si>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</si>
  <si>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</si>
  <si>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</si>
  <si>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</si>
  <si>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</si>
  <si>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</si>
  <si>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</si>
  <si>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</si>
  <si>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Bond_Flows</t>
  </si>
  <si>
    <t xml:space="preserve">Base: IRR of every line is a number</t>
  </si>
  <si>
    <t xml:space="preserve">holds</t>
  </si>
  <si>
    <t xml:space="preserve">Rates up 2 points: IRR of every line is a number</t>
  </si>
  <si>
    <t xml:space="preserve">No default: IRR of every line is a number</t>
  </si>
  <si>
    <t xml:space="preserve">Loan_Fund_Paths</t>
  </si>
  <si>
    <t xml:space="preserve">Recession: IRR of every line is a number</t>
  </si>
  <si>
    <t xml:space="preserve">BDC_Paths</t>
  </si>
  <si>
    <t xml:space="preserve">Interval_Fund_Paths</t>
  </si>
  <si>
    <t xml:space="preserve">Gate only: IRR of every line is a number</t>
  </si>
  <si>
    <t xml:space="preserve">Bonds</t>
  </si>
  <si>
    <t xml:space="preserve">IG_ALDERM_SPR: Aldermoor Utilities, spread</t>
  </si>
  <si>
    <t xml:space="preserve">IG_ALDERM_CPN: Aldermoor Utilities, coupon</t>
  </si>
  <si>
    <t xml:space="preserve">IG_ALDERM_IRR: Aldermoor Utilities, IRR over three years</t>
  </si>
  <si>
    <t xml:space="preserve">IG_CARROW_SPR: Carrow Rail, spread</t>
  </si>
  <si>
    <t xml:space="preserve">IG_CARROW_CPN: Carrow Rail, coupon</t>
  </si>
  <si>
    <t xml:space="preserve">IG_CARROW_IRR: Carrow Rail, IRR over three years</t>
  </si>
  <si>
    <t xml:space="preserve">IG_HESKET_SPR: Hesketh Foods, spread</t>
  </si>
  <si>
    <t xml:space="preserve">IG_HESKET_CPN: Hesketh Foods, coupon</t>
  </si>
  <si>
    <t xml:space="preserve">IG_HESKET_IRR: Hesketh Foods, IRR over three years</t>
  </si>
  <si>
    <t xml:space="preserve">IG_PENRIT_SPR: Penrith Medical, spread</t>
  </si>
  <si>
    <t xml:space="preserve">IG_PENRIT_CPN: Penrith Medical, coupon</t>
  </si>
  <si>
    <t xml:space="preserve">IG_PENRIT_IRR: Penrith Medical, IRR over three years</t>
  </si>
  <si>
    <t xml:space="preserve">IG_STANWI_SPR: Stanwick Networks, spread</t>
  </si>
  <si>
    <t xml:space="preserve">IG_STANWI_CPN: Stanwick Networks, coupon</t>
  </si>
  <si>
    <t xml:space="preserve">IG_STANWI_IRR: Stanwick Networks, IRR over three years</t>
  </si>
  <si>
    <t xml:space="preserve">IG_SLEEVE_IRR: IG sleeve IRR</t>
  </si>
  <si>
    <t xml:space="preserve">IG_SLEEVE_IRR_RATES: IG sleeve IRR, rates up 2 points</t>
  </si>
  <si>
    <t xml:space="preserve">IG_COUPONS: Coupons received by the IG sleeve over three years</t>
  </si>
  <si>
    <t xml:space="preserve">IG coupons equal the sum of the IG sleeve's coupon flows (excluding principal and sales)</t>
  </si>
  <si>
    <t xml:space="preserve">HY_BLAKEN_CPN: Blakeney Packaging, coupon</t>
  </si>
  <si>
    <t xml:space="preserve">HY_BLAKEN_PX: Blakeney Packaging, price</t>
  </si>
  <si>
    <t xml:space="preserve">HY_BLAKEN_YTM: Blakeney Packaging, yield to maturity</t>
  </si>
  <si>
    <t xml:space="preserve">HY_BLAKEN_IRR: Blakeney Packaging, IRR over three years</t>
  </si>
  <si>
    <t xml:space="preserve">HY_DUNMOR_CPN: Dunmore Leisure, coupon</t>
  </si>
  <si>
    <t xml:space="preserve">HY_DUNMOR_PX: Dunmore Leisure, price</t>
  </si>
  <si>
    <t xml:space="preserve">HY_DUNMOR_YTM: Dunmore Leisure, yield to maturity</t>
  </si>
  <si>
    <t xml:space="preserve">HY_DUNMOR_IRR: Dunmore Leisure, IRR over three years</t>
  </si>
  <si>
    <t xml:space="preserve">HY_FENWIC_CPN: Fenwick Chemicals, coupon</t>
  </si>
  <si>
    <t xml:space="preserve">HY_FENWIC_PX: Fenwick Chemicals, price</t>
  </si>
  <si>
    <t xml:space="preserve">HY_FENWIC_YTM: Fenwick Chemicals, yield to maturity</t>
  </si>
  <si>
    <t xml:space="preserve">HY_FENWIC_IRR: Fenwick Chemicals, IRR over three years</t>
  </si>
  <si>
    <t xml:space="preserve">HY_GARSID_CPN: Garside Auto Parts, coupon</t>
  </si>
  <si>
    <t xml:space="preserve">HY_GARSID_PX: Garside Auto Parts, price</t>
  </si>
  <si>
    <t xml:space="preserve">HY_GARSID_YTM: Garside Auto Parts, yield to maturity</t>
  </si>
  <si>
    <t xml:space="preserve">HY_GARSID_IRR: Garside Auto Parts, IRR over three years</t>
  </si>
  <si>
    <t xml:space="preserve">HY_MARLOW_CPN: Marlow Home Brands, coupon</t>
  </si>
  <si>
    <t xml:space="preserve">HY_MARLOW_PX: Marlow Home Brands, price</t>
  </si>
  <si>
    <t xml:space="preserve">HY_MARLOW_YTM: Marlow Home Brands, yield to maturity</t>
  </si>
  <si>
    <t xml:space="preserve">HY_MARLOW_IRR: Marlow Home Brands, IRR over three years</t>
  </si>
  <si>
    <t xml:space="preserve">HY_HARROW_CPN: Harrowgate Pneumatics, coupon</t>
  </si>
  <si>
    <t xml:space="preserve">HY_HARROW_PX: Harrowgate Pneumatics, price</t>
  </si>
  <si>
    <t xml:space="preserve">HY_HARROW_YTM: Harrowgate Pneumatics, yield to maturity</t>
  </si>
  <si>
    <t xml:space="preserve">HY_HARROW_IRR: Harrowgate Pneumatics, IRR over three years</t>
  </si>
  <si>
    <t xml:space="preserve">HARR_REC_2: Harrowgate: recovery received (face x recovery)</t>
  </si>
  <si>
    <t xml:space="preserve">HARR_PNL: Harrowgate: dollar result (sum of its flows)</t>
  </si>
  <si>
    <t xml:space="preserve">HY_SLEEVE_IRR: HY sleeve IRR</t>
  </si>
  <si>
    <t xml:space="preserve">HY_SLEEVE_IRR_ND: HY sleeve IRR without the default</t>
  </si>
  <si>
    <t xml:space="preserve">The Harrowgate default costs the HY sleeve IRR</t>
  </si>
  <si>
    <t xml:space="preserve">Loan_Fund</t>
  </si>
  <si>
    <t xml:space="preserve">LF_NAV0: NAV at purchase</t>
  </si>
  <si>
    <t xml:space="preserve">LF_SHARES: Shares bought</t>
  </si>
  <si>
    <t xml:space="preserve">LF_DISP_2: Distribution yield (SOFR + spread - expenses)</t>
  </si>
  <si>
    <t xml:space="preserve">LF_EL_2: Credit losses a year (default rate x LGD), out of the NAV</t>
  </si>
  <si>
    <t xml:space="preserve">LF_NAV4: NAV at quarter 4</t>
  </si>
  <si>
    <t xml:space="preserve">LF_NAV8: NAV at quarter 8</t>
  </si>
  <si>
    <t xml:space="preserve">LF_NAV12: NAV at quarter 12</t>
  </si>
  <si>
    <t xml:space="preserve">LF_DIST: Distributions over three years</t>
  </si>
  <si>
    <t xml:space="preserve">LF_IRR: IRR, base case</t>
  </si>
  <si>
    <t xml:space="preserve">LF_IRR_RATES: IRR, rates up 2 points</t>
  </si>
  <si>
    <t xml:space="preserve">LF_DISP_RATES: Distribution yield, rates up 2 points</t>
  </si>
  <si>
    <t xml:space="preserve">LF_DR_RATES: Default rate assumed, rates up 2 points</t>
  </si>
  <si>
    <t xml:space="preserve">LF_IRR_REC: IRR, recession</t>
  </si>
  <si>
    <t xml:space="preserve">LF_FEE_2: Fund expenses</t>
  </si>
  <si>
    <t xml:space="preserve">Loan fund: base IRR below the distribution yield (the losses come out of the NAV)</t>
  </si>
  <si>
    <t xml:space="preserve">BDCs</t>
  </si>
  <si>
    <t xml:space="preserve">BDC_LEDGER_PX: Ledgerwood Capital, share price</t>
  </si>
  <si>
    <t xml:space="preserve">BDC_TAMSIN_PX: Tamsin Lending, share price</t>
  </si>
  <si>
    <t xml:space="preserve">BDC_CORLET_PX: Corlett Credit, share price</t>
  </si>
  <si>
    <t xml:space="preserve">BDC_LEDGER_NAV0: Ledgerwood Capital, nAV per share</t>
  </si>
  <si>
    <t xml:space="preserve">BDC_TAMSIN_NAV0: Tamsin Lending, nAV per share</t>
  </si>
  <si>
    <t xml:space="preserve">BDC_CORLET_NAV0: Corlett Credit, nAV per share</t>
  </si>
  <si>
    <t xml:space="preserve">BDC_LEDGER_D0: Ledgerwood Capital, discount (-) or premium</t>
  </si>
  <si>
    <t xml:space="preserve">BDC_TAMSIN_D0: Tamsin Lending, discount (-) or premium</t>
  </si>
  <si>
    <t xml:space="preserve">BDC_CORLET_D0: Corlett Credit, discount (-) or premium</t>
  </si>
  <si>
    <t xml:space="preserve">BDC_LEDGER_DY: Ledgerwood Capital, dividend yield (4 x dividend / price)</t>
  </si>
  <si>
    <t xml:space="preserve">BDC_TAMSIN_DY: Tamsin Lending, dividend yield (4 x dividend / price)</t>
  </si>
  <si>
    <t xml:space="preserve">BDC_CORLET_DY: Corlett Credit, dividend yield (4 x dividend / price)</t>
  </si>
  <si>
    <t xml:space="preserve">BDC_LEDGER_AC: Ledgerwood Capital, asset coverage (assets / debt)</t>
  </si>
  <si>
    <t xml:space="preserve">BDC_TAMSIN_AC: Tamsin Lending, asset coverage (assets / debt)</t>
  </si>
  <si>
    <t xml:space="preserve">BDC_CORLET_AC: Corlett Credit, asset coverage (assets / debt)</t>
  </si>
  <si>
    <t xml:space="preserve">BDC_LEDGER_AY: Ledgerwood Capital, asset yield at quarter 1 (SOFR + spread)</t>
  </si>
  <si>
    <t xml:space="preserve">BDC_TAMSIN_AY: Tamsin Lending, asset yield at quarter 1 (SOFR + spread)</t>
  </si>
  <si>
    <t xml:space="preserve">BDC_CORLET_AY: Corlett Credit, asset yield at quarter 1 (SOFR + spread)</t>
  </si>
  <si>
    <t xml:space="preserve">BDC_LEDGER_NA1: Ledgerwood Capital, non-accruals, quarters 1 to 4</t>
  </si>
  <si>
    <t xml:space="preserve">BDC_TAMSIN_NA1: Tamsin Lending, non-accruals, quarters 1 to 4</t>
  </si>
  <si>
    <t xml:space="preserve">BDC_CORLET_NA1: Corlett Credit, non-accruals, quarters 1 to 4</t>
  </si>
  <si>
    <t xml:space="preserve">BDC_LEDGER_COD: Ledgerwood Capital, interest cost of the debt</t>
  </si>
  <si>
    <t xml:space="preserve">BDC_TAMSIN_COD: Tamsin Lending, interest cost of the debt</t>
  </si>
  <si>
    <t xml:space="preserve">BDC_CORLET_COD: Corlett Credit, interest cost of the debt</t>
  </si>
  <si>
    <t xml:space="preserve">BDC_LEDGER_OPEX: Ledgerwood Capital, other expenses</t>
  </si>
  <si>
    <t xml:space="preserve">BDC_TAMSIN_OPEX: Tamsin Lending, other expenses</t>
  </si>
  <si>
    <t xml:space="preserve">BDC_CORLET_OPEX: Corlett Credit, other expenses</t>
  </si>
  <si>
    <t xml:space="preserve">BDC_LEDGER_INC: Ledgerwood Capital, incentive fee</t>
  </si>
  <si>
    <t xml:space="preserve">BDC_TAMSIN_INC: Tamsin Lending, incentive fee</t>
  </si>
  <si>
    <t xml:space="preserve">BDC_CORLET_INC: Corlett Credit, incentive fee</t>
  </si>
  <si>
    <t xml:space="preserve">BDC_LEDGER_PRE: Ledgerwood Capital, pre-incentive NII at quarter 1 (of NAV, a year)</t>
  </si>
  <si>
    <t xml:space="preserve">BDC_TAMSIN_PRE: Tamsin Lending, pre-incentive NII at quarter 1 (of NAV, a year)</t>
  </si>
  <si>
    <t xml:space="preserve">BDC_CORLET_PRE: Corlett Credit, pre-incentive NII at quarter 1 (of NAV, a year)</t>
  </si>
  <si>
    <t xml:space="preserve">BDC_LEDGER_NII: Ledgerwood Capital, nII at quarter 1 (of NAV, a year)</t>
  </si>
  <si>
    <t xml:space="preserve">BDC_TAMSIN_NII: Tamsin Lending, nII at quarter 1 (of NAV, a year)</t>
  </si>
  <si>
    <t xml:space="preserve">BDC_CORLET_NII: Corlett Credit, nII at quarter 1 (of NAV, a year)</t>
  </si>
  <si>
    <t xml:space="preserve">BDC_LEDGER_NIIQ1: Ledgerwood Capital, nII per share, quarter 1</t>
  </si>
  <si>
    <t xml:space="preserve">BDC_TAMSIN_NIIQ1: Tamsin Lending, nII per share, quarter 1</t>
  </si>
  <si>
    <t xml:space="preserve">BDC_CORLET_NIIQ1: Corlett Credit, nII per share, quarter 1</t>
  </si>
  <si>
    <t xml:space="preserve">BDC_LEDGER_DIV: Ledgerwood Capital, dividend per share, quarter 1</t>
  </si>
  <si>
    <t xml:space="preserve">BDC_TAMSIN_DIV: Tamsin Lending, dividend per share, quarter 1</t>
  </si>
  <si>
    <t xml:space="preserve">BDC_CORLET_DIV: Corlett Credit, dividend per share, quarter 1</t>
  </si>
  <si>
    <t xml:space="preserve">BDC_LEDGER_LOSS: Ledgerwood Capital, nAV losses assumed a year</t>
  </si>
  <si>
    <t xml:space="preserve">BDC_TAMSIN_LOSS: Tamsin Lending, nAV losses assumed a year</t>
  </si>
  <si>
    <t xml:space="preserve">BDC_CORLET_LOSS: Corlett Credit, nAV losses assumed a year</t>
  </si>
  <si>
    <t xml:space="preserve">BDC_LEDGER_NAV4: Ledgerwood Capital, nAV per share, quarter 4</t>
  </si>
  <si>
    <t xml:space="preserve">BDC_TAMSIN_NAV4: Tamsin Lending, nAV per share, quarter 4</t>
  </si>
  <si>
    <t xml:space="preserve">BDC_CORLET_NAV4: Corlett Credit, nAV per share, quarter 4</t>
  </si>
  <si>
    <t xml:space="preserve">BDC_LEDGER_NAV8: Ledgerwood Capital, nAV per share, quarter 8</t>
  </si>
  <si>
    <t xml:space="preserve">BDC_TAMSIN_NAV8: Tamsin Lending, nAV per share, quarter 8</t>
  </si>
  <si>
    <t xml:space="preserve">BDC_CORLET_NAV8: Corlett Credit, nAV per share, quarter 8</t>
  </si>
  <si>
    <t xml:space="preserve">BDC_LEDGER_NAV12: Ledgerwood Capital, nAV per share, quarter 12</t>
  </si>
  <si>
    <t xml:space="preserve">BDC_TAMSIN_NAV12: Tamsin Lending, nAV per share, quarter 12</t>
  </si>
  <si>
    <t xml:space="preserve">BDC_CORLET_NAV12: Corlett Credit, nAV per share, quarter 12</t>
  </si>
  <si>
    <t xml:space="preserve">BDC_LEDGER_D12: Ledgerwood Capital, discount at quarter 12</t>
  </si>
  <si>
    <t xml:space="preserve">BDC_TAMSIN_D12: Tamsin Lending, discount at quarter 12</t>
  </si>
  <si>
    <t xml:space="preserve">BDC_CORLET_D12: Corlett Credit, discount at quarter 12</t>
  </si>
  <si>
    <t xml:space="preserve">BDC_LEDGER_PX12: Ledgerwood Capital, price at quarter 12</t>
  </si>
  <si>
    <t xml:space="preserve">BDC_TAMSIN_PX12: Tamsin Lending, price at quarter 12</t>
  </si>
  <si>
    <t xml:space="preserve">BDC_CORLET_PX12: Corlett Credit, price at quarter 12</t>
  </si>
  <si>
    <t xml:space="preserve">BDC_LEDGER_SH: Ledgerwood Capital, shares bought</t>
  </si>
  <si>
    <t xml:space="preserve">BDC_TAMSIN_SH: Tamsin Lending, shares bought</t>
  </si>
  <si>
    <t xml:space="preserve">BDC_CORLET_SH: Corlett Credit, shares bought</t>
  </si>
  <si>
    <t xml:space="preserve">BDC_LEDGER_DIVS: Ledgerwood Capital, dividends received</t>
  </si>
  <si>
    <t xml:space="preserve">BDC_TAMSIN_DIVS: Tamsin Lending, dividends received</t>
  </si>
  <si>
    <t xml:space="preserve">BDC_CORLET_DIVS: Corlett Credit, dividends received</t>
  </si>
  <si>
    <t xml:space="preserve">BDC_LEDGER_NAVEFF: Ledgerwood Capital, nAV effect: shares x (NAV q12 - NAV q0) x (1 + discount at purchase)</t>
  </si>
  <si>
    <t xml:space="preserve">BDC_TAMSIN_NAVEFF: Tamsin Lending, nAV effect: shares x (NAV q12 - NAV q0) x (1 + discount at purchase)</t>
  </si>
  <si>
    <t xml:space="preserve">BDC_CORLET_NAVEFF: Corlett Credit, nAV effect: shares x (NAV q12 - NAV q0) x (1 + discount at purchase)</t>
  </si>
  <si>
    <t xml:space="preserve">BDC_LEDGER_DISCEFF: Ledgerwood Capital, discount effect: shares x NAV q12 x (discount q12 - discount q0)</t>
  </si>
  <si>
    <t xml:space="preserve">BDC_TAMSIN_DISCEFF: Tamsin Lending, discount effect: shares x NAV q12 x (discount q12 - discount q0)</t>
  </si>
  <si>
    <t xml:space="preserve">BDC_CORLET_DISCEFF: Corlett Credit, discount effect: shares x NAV q12 x (discount q12 - discount q0)</t>
  </si>
  <si>
    <t xml:space="preserve">BDC_LEDGER_GAIN: Ledgerwood Capital, total gain: dividends + NAV effect + discount effect</t>
  </si>
  <si>
    <t xml:space="preserve">BDC_TAMSIN_GAIN: Tamsin Lending, total gain: dividends + NAV effect + discount effect</t>
  </si>
  <si>
    <t xml:space="preserve">BDC_CORLET_GAIN: Corlett Credit, total gain: dividends + NAV effect + discount effect</t>
  </si>
  <si>
    <t xml:space="preserve">BDC_LEDGER_IRR: Ledgerwood Capital, iRR</t>
  </si>
  <si>
    <t xml:space="preserve">BDC_TAMSIN_IRR: Tamsin Lending, iRR</t>
  </si>
  <si>
    <t xml:space="preserve">BDC_CORLET_IRR: Corlett Credit, iRR</t>
  </si>
  <si>
    <t xml:space="preserve">Ledgerwood Capital: dividends + NAV effect + discount effect = the sum of its cash flows</t>
  </si>
  <si>
    <t xml:space="preserve">Tamsin Lending: dividends + NAV effect + discount effect = the sum of its cash flows</t>
  </si>
  <si>
    <t xml:space="preserve">Corlett Credit: dividends + NAV effect + discount effect = the sum of its cash flows</t>
  </si>
  <si>
    <t xml:space="preserve">BDC_SLEEVE_IRR: BDC sleeve IRR</t>
  </si>
  <si>
    <t xml:space="preserve">CORL_COV1: Corlett Credit coverage, quarter 1</t>
  </si>
  <si>
    <t xml:space="preserve">CORL_COV2: Corlett Credit coverage, quarter 2</t>
  </si>
  <si>
    <t xml:space="preserve">CORL_COV3: Corlett Credit coverage, quarter 3</t>
  </si>
  <si>
    <t xml:space="preserve">CORL_COV4: Corlett Credit coverage, quarter 4</t>
  </si>
  <si>
    <t xml:space="preserve">CORL_COV5: Corlett Credit coverage, quarter 5</t>
  </si>
  <si>
    <t xml:space="preserve">CORL_COV6: Corlett Credit coverage, quarter 6</t>
  </si>
  <si>
    <t xml:space="preserve">CORL_COV7: Corlett Credit coverage, quarter 7</t>
  </si>
  <si>
    <t xml:space="preserve">CORL_COV8: Corlett Credit coverage, quarter 8</t>
  </si>
  <si>
    <t xml:space="preserve">CORL_COV9: Corlett Credit coverage, quarter 9</t>
  </si>
  <si>
    <t xml:space="preserve">CORL_COV10: Corlett Credit coverage, quarter 10</t>
  </si>
  <si>
    <t xml:space="preserve">CORL_COV11: Corlett Credit coverage, quarter 11</t>
  </si>
  <si>
    <t xml:space="preserve">CORL_COV12: Corlett Credit coverage, quarter 12</t>
  </si>
  <si>
    <t xml:space="preserve">CORL_NA1: Corlett Credit, non-accruals, quarters 1 to 4</t>
  </si>
  <si>
    <t xml:space="preserve">CORL_NA2: Corlett Credit, non-accruals, quarters 5 to 8</t>
  </si>
  <si>
    <t xml:space="preserve">CORL_NA3: Corlett Credit, non-accruals, quarters 9 to 12</t>
  </si>
  <si>
    <t xml:space="preserve">CORL_DIV_2: Corlett Credit, quarterly dividend per share</t>
  </si>
  <si>
    <t xml:space="preserve">CORL_DIV2: Corlett Credit, dividend after the cut</t>
  </si>
  <si>
    <t xml:space="preserve">CORL_CUTQ: Corlett Credit, dividend cut from quarter (base case)</t>
  </si>
  <si>
    <t xml:space="preserve">TAMS_OPEX_2: Tamsin Lending, other expenses (of nav)</t>
  </si>
  <si>
    <t xml:space="preserve">LEV_MAX150: Maximum debt / equity: 1 / (floor - 1)</t>
  </si>
  <si>
    <t xml:space="preserve">LEV_MAX200: Maximum debt / equity: 1 / (floor - 1)</t>
  </si>
  <si>
    <t xml:space="preserve">LEDG_BASEN: Base fee: rate x (1 + leverage)</t>
  </si>
  <si>
    <t xml:space="preserve">LEDG_OPEX_2: Other expenses</t>
  </si>
  <si>
    <t xml:space="preserve">LEDG_INCN: Incentive fee: rate x pre-incentive NII</t>
  </si>
  <si>
    <t xml:space="preserve">LEDG_FEESN: Total fees</t>
  </si>
  <si>
    <t xml:space="preserve">BDC_LEDGER_BASEN: Base fee: rate x (1 + leverage)</t>
  </si>
  <si>
    <t xml:space="preserve">BDC_LEDGER_OPEXN: Other expenses</t>
  </si>
  <si>
    <t xml:space="preserve">BDC_LEDGER_INCN: Incentive fee: rate x pre-incentive NII</t>
  </si>
  <si>
    <t xml:space="preserve">BDC_LEDGER_FEESN: Total fees</t>
  </si>
  <si>
    <t xml:space="preserve">BDC_LEDGER_INTN: Interest on debt: rate x leverage</t>
  </si>
  <si>
    <t xml:space="preserve">BDC_LEDGER_COSTN: Fees and interest</t>
  </si>
  <si>
    <t xml:space="preserve">BDC_TAMSIN_BASEN: Base fee: rate x (1 + leverage)</t>
  </si>
  <si>
    <t xml:space="preserve">BDC_TAMSIN_OPEXN: Other expenses</t>
  </si>
  <si>
    <t xml:space="preserve">BDC_TAMSIN_INCN: Incentive fee: rate x pre-incentive NII</t>
  </si>
  <si>
    <t xml:space="preserve">BDC_TAMSIN_FEESN: Total fees</t>
  </si>
  <si>
    <t xml:space="preserve">BDC_TAMSIN_INTN: Interest on debt: rate x leverage</t>
  </si>
  <si>
    <t xml:space="preserve">BDC_TAMSIN_COSTN: Fees and interest</t>
  </si>
  <si>
    <t xml:space="preserve">BDC_CORLET_BASEN: Base fee: rate x (1 + leverage)</t>
  </si>
  <si>
    <t xml:space="preserve">BDC_CORLET_OPEXN: Other expenses</t>
  </si>
  <si>
    <t xml:space="preserve">BDC_CORLET_INCN: Incentive fee: rate x pre-incentive NII</t>
  </si>
  <si>
    <t xml:space="preserve">BDC_CORLET_FEESN: Total fees</t>
  </si>
  <si>
    <t xml:space="preserve">BDC_CORLET_INTN: Interest on debt: rate x leverage</t>
  </si>
  <si>
    <t xml:space="preserve">BDC_CORLET_COSTN: Fees and interest</t>
  </si>
  <si>
    <t xml:space="preserve">Interval_Fund</t>
  </si>
  <si>
    <t xml:space="preserve">IF_NAV0: NAV at purchase</t>
  </si>
  <si>
    <t xml:space="preserve">IF_SHARES: Shares bought</t>
  </si>
  <si>
    <t xml:space="preserve">IF_DISP_2: Distribution rate on the starting NAV</t>
  </si>
  <si>
    <t xml:space="preserve">IF_SPREAD: Loan spread over SOFR</t>
  </si>
  <si>
    <t xml:space="preserve">IF_OID: Fees and discount on the loans</t>
  </si>
  <si>
    <t xml:space="preserve">IF_AY: Asset yield</t>
  </si>
  <si>
    <t xml:space="preserve">IF_LEV: Leverage</t>
  </si>
  <si>
    <t xml:space="preserve">IF_ASSETS: Assets per 1 of NAV</t>
  </si>
  <si>
    <t xml:space="preserve">IF_GROSS: Gross income on assets</t>
  </si>
  <si>
    <t xml:space="preserve">IF_DEBT: Interest on the fund's borrowing</t>
  </si>
  <si>
    <t xml:space="preserve">IF_MGMT_RATE: Management fee rate on gross assets</t>
  </si>
  <si>
    <t xml:space="preserve">IF_MGMT: Management fee</t>
  </si>
  <si>
    <t xml:space="preserve">IF_OPEX: Other expenses</t>
  </si>
  <si>
    <t xml:space="preserve">IF_SERV: Servicing fee</t>
  </si>
  <si>
    <t xml:space="preserve">IF_OTHER: Other expenses and servicing fee</t>
  </si>
  <si>
    <t xml:space="preserve">IF_PRE: Pre-incentive net investment income</t>
  </si>
  <si>
    <t xml:space="preserve">IF_INC_RATE: Incentive fee rate</t>
  </si>
  <si>
    <t xml:space="preserve">IF_HURDLE: Hurdle</t>
  </si>
  <si>
    <t xml:space="preserve">IF_INC: Incentive fee</t>
  </si>
  <si>
    <t xml:space="preserve">IF_NII: Net investment income</t>
  </si>
  <si>
    <t xml:space="preserve">IF_PD: Default rate of the loans</t>
  </si>
  <si>
    <t xml:space="preserve">IF_LGD: Loss given default</t>
  </si>
  <si>
    <t xml:space="preserve">IF_LOSS: Credit losses</t>
  </si>
  <si>
    <t xml:space="preserve">IF_EXP_2: Expected total return (NII - credit losses)</t>
  </si>
  <si>
    <t xml:space="preserve">IF_FEES_NAV: Fund-level fees excluding interest (of NAV)</t>
  </si>
  <si>
    <t xml:space="preserve">IF_FEES_INT: Fund-level fees including interest (of NAV)</t>
  </si>
  <si>
    <t xml:space="preserve">IF_FEESHARE: Fees as a share of gross income</t>
  </si>
  <si>
    <t xml:space="preserve">IF_COSTSHARE: Fees and interest as a share of gross income</t>
  </si>
  <si>
    <t xml:space="preserve">IF_MGMT_USD: Year-one management fee on the investor's money</t>
  </si>
  <si>
    <t xml:space="preserve">IF_OTHER_USD: Year-one other expenses and servicing</t>
  </si>
  <si>
    <t xml:space="preserve">IF_INC_USD: Year-one incentive fee</t>
  </si>
  <si>
    <t xml:space="preserve">IF_FEES_USD: Year-one fees, total</t>
  </si>
  <si>
    <t xml:space="preserve">IF_DEBT_USD: Year-one interest on the fund's borrowing</t>
  </si>
  <si>
    <t xml:space="preserve">IF_EXP_WRAP: Expected return after the wrap fee</t>
  </si>
  <si>
    <t xml:space="preserve">IF_NAV4: NAV at quarter 4</t>
  </si>
  <si>
    <t xml:space="preserve">IF_NAV8: NAV at quarter 8</t>
  </si>
  <si>
    <t xml:space="preserve">IF_NAV12: NAV at quarter 12</t>
  </si>
  <si>
    <t xml:space="preserve">IF_NAVCH: Change in NAV over three years</t>
  </si>
  <si>
    <t xml:space="preserve">IF_NIIQ1: NII per share, quarter 1</t>
  </si>
  <si>
    <t xml:space="preserve">IF_COV1: Coverage of the distribution, quarter 1</t>
  </si>
  <si>
    <t xml:space="preserve">IF_DISTS: Distributions received over three years</t>
  </si>
  <si>
    <t xml:space="preserve">IF_VAL12: Value at NAV at quarter 12</t>
  </si>
  <si>
    <t xml:space="preserve">IF_IRR: IRR, base case</t>
  </si>
  <si>
    <t xml:space="preserve">IF_IRR_RATES: IRR, rates up 2 points</t>
  </si>
  <si>
    <t xml:space="preserve">IF_IRR_REC: IRR, recession</t>
  </si>
  <si>
    <t xml:space="preserve">IF_OFFER: Quarterly repurchase offer</t>
  </si>
  <si>
    <t xml:space="preserve">IF_DIST_2: Distribution per share a quarter</t>
  </si>
  <si>
    <t xml:space="preserve">IF_FEES_NAV_2: Fund-level fees excluding interest (of NAV)</t>
  </si>
  <si>
    <t xml:space="preserve">The fee stack adds up: gross - interest - fees - incentive = NII</t>
  </si>
  <si>
    <t xml:space="preserve">Distribution covered by income but not by income net of losses: the NAV erodes</t>
  </si>
  <si>
    <t xml:space="preserve">Liquidity</t>
  </si>
  <si>
    <t xml:space="preserve">PRO_50_Q50: Requests 5%: quarters to get 50% out</t>
  </si>
  <si>
    <t xml:space="preserve">PRO_50_Q90: Requests 5%: quarters to get 90% out</t>
  </si>
  <si>
    <t xml:space="preserve">PRO_50_FILL: Requests 5%: fill rate</t>
  </si>
  <si>
    <t xml:space="preserve">PRO_75_Q50: Requests 7.5%: quarters to get 50% out</t>
  </si>
  <si>
    <t xml:space="preserve">PRO_75_Q90: Requests 7.5%: quarters to get 90% out</t>
  </si>
  <si>
    <t xml:space="preserve">PRO_75_FILL: Requests 7.5%: fill rate</t>
  </si>
  <si>
    <t xml:space="preserve">PRO_100_Q50: Requests 10%: quarters to get 50% out</t>
  </si>
  <si>
    <t xml:space="preserve">PRO_100_Q90: Requests 10%: quarters to get 90% out</t>
  </si>
  <si>
    <t xml:space="preserve">PRO_100_FILL: Requests 10%: fill rate</t>
  </si>
  <si>
    <t xml:space="preserve">PRO_150_Q50: Requests 15%: quarters to get 50% out</t>
  </si>
  <si>
    <t xml:space="preserve">PRO_150_Q90: Requests 15%: quarters to get 90% out</t>
  </si>
  <si>
    <t xml:space="preserve">PRO_150_FILL: Requests 15%: fill rate</t>
  </si>
  <si>
    <t xml:space="preserve">PRO_200_Q50: Requests 20%: quarters to get 50% out</t>
  </si>
  <si>
    <t xml:space="preserve">PRO_200_Q90: Requests 20%: quarters to get 90% out</t>
  </si>
  <si>
    <t xml:space="preserve">PRO_200_FILL: Requests 20%: fill rate</t>
  </si>
  <si>
    <t xml:space="preserve">PRO_250_Q50: Requests 25%: quarters to get 50% out</t>
  </si>
  <si>
    <t xml:space="preserve">PRO_250_Q90: Requests 25%: quarters to get 90% out</t>
  </si>
  <si>
    <t xml:space="preserve">PRO_250_FILL: Requests 25%: fill rate</t>
  </si>
  <si>
    <t xml:space="preserve">GATE_FILL: Share of each tender filled while gated</t>
  </si>
  <si>
    <t xml:space="preserve">GATE_Q: Gated quarters from quarter 12</t>
  </si>
  <si>
    <t xml:space="preserve">GATE_LEFT: Share of the position still held after the gated quarters</t>
  </si>
  <si>
    <t xml:space="preserve">GATE_C12: Cash from the interval fund, quarter 12</t>
  </si>
  <si>
    <t xml:space="preserve">GATE_C13: Cash from the interval fund, quarter 13</t>
  </si>
  <si>
    <t xml:space="preserve">GATE_C14: Cash from the interval fund, quarter 14</t>
  </si>
  <si>
    <t xml:space="preserve">GATE_C15: Cash from the interval fund, quarter 15</t>
  </si>
  <si>
    <t xml:space="preserve">GATE_C16: Cash from the interval fund, quarter 16</t>
  </si>
  <si>
    <t xml:space="preserve">The gate delays the cash, it does not keep it: all shares are repurchased by quarter 16</t>
  </si>
  <si>
    <t xml:space="preserve">Fees_Tax</t>
  </si>
  <si>
    <t xml:space="preserve">IG_ALDERM_COST: Aldermoor Utilities, cost</t>
  </si>
  <si>
    <t xml:space="preserve">IG_ALDERM_DISP: Aldermoor Utilities, displayed yield</t>
  </si>
  <si>
    <t xml:space="preserve">IG_CARROW_COST: Carrow Rail, cost</t>
  </si>
  <si>
    <t xml:space="preserve">IG_CARROW_DISP: Carrow Rail, displayed yield</t>
  </si>
  <si>
    <t xml:space="preserve">IG_HESKET_COST: Hesketh Foods, cost</t>
  </si>
  <si>
    <t xml:space="preserve">IG_HESKET_DISP: Hesketh Foods, displayed yield</t>
  </si>
  <si>
    <t xml:space="preserve">IG_PENRIT_COST: Penrith Medical, cost</t>
  </si>
  <si>
    <t xml:space="preserve">IG_PENRIT_DISP: Penrith Medical, displayed yield</t>
  </si>
  <si>
    <t xml:space="preserve">IG_STANWI_COST: Stanwick Networks, cost</t>
  </si>
  <si>
    <t xml:space="preserve">IG_STANWI_DISP: Stanwick Networks, displayed yield</t>
  </si>
  <si>
    <t xml:space="preserve">HY_BLAKEN_COST: Blakeney Packaging, cost</t>
  </si>
  <si>
    <t xml:space="preserve">HY_BLAKEN_DISP: Blakeney Packaging, displayed yield</t>
  </si>
  <si>
    <t xml:space="preserve">HY_DUNMOR_COST: Dunmore Leisure, cost</t>
  </si>
  <si>
    <t xml:space="preserve">HY_DUNMOR_DISP: Dunmore Leisure, displayed yield</t>
  </si>
  <si>
    <t xml:space="preserve">HY_FENWIC_COST: Fenwick Chemicals, cost</t>
  </si>
  <si>
    <t xml:space="preserve">HY_FENWIC_DISP: Fenwick Chemicals, displayed yield</t>
  </si>
  <si>
    <t xml:space="preserve">HY_GARSID_COST: Garside Auto Parts, cost</t>
  </si>
  <si>
    <t xml:space="preserve">HY_GARSID_DISP: Garside Auto Parts, displayed yield</t>
  </si>
  <si>
    <t xml:space="preserve">HY_MARLOW_COST: Marlow Home Brands, cost</t>
  </si>
  <si>
    <t xml:space="preserve">HY_MARLOW_DISP: Marlow Home Brands, displayed yield</t>
  </si>
  <si>
    <t xml:space="preserve">HY_HARROW_COST: Harrowgate Pneumatics, cost</t>
  </si>
  <si>
    <t xml:space="preserve">HY_HARROW_DISP: Harrowgate Pneumatics, displayed yield</t>
  </si>
  <si>
    <t xml:space="preserve">LF_COST: Brindle Floating Rate Fund, cost</t>
  </si>
  <si>
    <t xml:space="preserve">LF_DISP: Brindle Floating Rate Fund, displayed yield</t>
  </si>
  <si>
    <t xml:space="preserve">BDC_LEDGER_COST: Ledgerwood Capital, cost</t>
  </si>
  <si>
    <t xml:space="preserve">BDC_LEDGER_DISP: Ledgerwood Capital, displayed yield</t>
  </si>
  <si>
    <t xml:space="preserve">BDC_TAMSIN_COST: Tamsin Lending, cost</t>
  </si>
  <si>
    <t xml:space="preserve">BDC_TAMSIN_DISP: Tamsin Lending, displayed yield</t>
  </si>
  <si>
    <t xml:space="preserve">BDC_CORLET_COST: Corlett Credit, cost</t>
  </si>
  <si>
    <t xml:space="preserve">BDC_CORLET_DISP: Corlett Credit, displayed yield</t>
  </si>
  <si>
    <t xml:space="preserve">IF_COST: Ashcombe Private Credit Interval Fund, cost</t>
  </si>
  <si>
    <t xml:space="preserve">IF_DISP: Ashcombe Private Credit Interval Fund, displayed yield</t>
  </si>
  <si>
    <t xml:space="preserve">RES_COST: Treasury bills, cost</t>
  </si>
  <si>
    <t xml:space="preserve">RES_DISP: Treasury bills, displayed yield</t>
  </si>
  <si>
    <t xml:space="preserve">COST_INTERVAL_FUND: Interval fund sleeve cost</t>
  </si>
  <si>
    <t xml:space="preserve">PORT_IRR_BASE_2: Portfolio IRR, base portfolio</t>
  </si>
  <si>
    <t xml:space="preserve">PORT_IRR_GATE: Portfolio IRR, gate only</t>
  </si>
  <si>
    <t xml:space="preserve">TAX_ORD: Assumed marginal rate on ordinary income</t>
  </si>
  <si>
    <t xml:space="preserve">RF_3: Treasury bill yield</t>
  </si>
  <si>
    <t xml:space="preserve">TAX_RF: Treasury bill after tax</t>
  </si>
  <si>
    <t xml:space="preserve">TAX_DISP: Portfolio displayed yield after tax</t>
  </si>
  <si>
    <t xml:space="preserve">TAX_IRR: Realized base IRR after tax, roughly (income taxed each year)</t>
  </si>
  <si>
    <t xml:space="preserve">The seventeen costs add up to the budget</t>
  </si>
  <si>
    <t xml:space="preserve">Derived</t>
  </si>
  <si>
    <t xml:space="preserve">DER_040: round(HY_SLEEVE_IRR_ND, 2) - round(HY_SLEEVE_IRR, 2)</t>
  </si>
  <si>
    <t xml:space="preserve">HY_OVER_BILL: round(HY_SLEEVE_IRR, 2) - RF</t>
  </si>
  <si>
    <t xml:space="preserve">DER_049: LF_SHARES * LF_NAV0</t>
  </si>
  <si>
    <t xml:space="preserve">DER_050: LF_SHARES * round(LF_NAV4, 3)</t>
  </si>
  <si>
    <t xml:space="preserve">DER_051: LF_SHARES * round(LF_NAV8, 3)</t>
  </si>
  <si>
    <t xml:space="preserve">DER_052: LF_SHARES * round(LF_NAV12, 3)</t>
  </si>
  <si>
    <t xml:space="preserve">DER_053: (round(LF_NAV8, 3) - round(LF_NAV12, 3)) * 100</t>
  </si>
  <si>
    <t xml:space="preserve">LF_LOSS_CENTS: (LF_NAV0 - round(LF_NAV12, 3)) * 100</t>
  </si>
  <si>
    <t xml:space="preserve">DER_055: LF_SHARES * LF_LOSS_CENTS / 100</t>
  </si>
  <si>
    <t xml:space="preserve">DER_072: round(BDC_TAMSIN_DISP, 2) - round(BDC_TAMSIN_IRR, 2)</t>
  </si>
  <si>
    <t xml:space="preserve">DER_074: 5 * BDC_CORLET_DIV + 7 * CORL_DIV2</t>
  </si>
  <si>
    <t xml:space="preserve">CORL_NAVFALL12: (1 - BDC_CORLET_NAV12 / BDC_CORLET_NAV0) * 100</t>
  </si>
  <si>
    <t xml:space="preserve">DER_076: BDC_CORLET_PX - round(BDC_CORLET_PX12, 3)</t>
  </si>
  <si>
    <t xml:space="preserve">DER_077: -(round(BDC_CORLET_NAVEFF) + round(BDC_CORLET_DISCEFF))</t>
  </si>
  <si>
    <t xml:space="preserve">LEDG_GROSS: (1 + BDC_LEDGER_LEV) * BDC_LEDGER_AY</t>
  </si>
  <si>
    <t xml:space="preserve">DER_079: LEDG_GROSS * (1 - BDC_LEDGER_NA1 / 100)</t>
  </si>
  <si>
    <t xml:space="preserve">DER_081: (1 + BDC_CORLET_LEV) * BDC_CORLET_AY</t>
  </si>
  <si>
    <t xml:space="preserve">CORL_INCN: round(BDC_CORLET_PRE, 2) - round(BDC_CORLET_NII, 2)</t>
  </si>
  <si>
    <t xml:space="preserve">CORL_FEESN: round(CORL_BASEN, 2) + BDC_CORLET_OPEX + CORL_INCN</t>
  </si>
  <si>
    <t xml:space="preserve">DER_093: 4 * CORL_DIV2 / BDC_CORLET_PX * 100</t>
  </si>
  <si>
    <t xml:space="preserve">DER_094: (1 - round(BDC_CORLET_PX12, 3) / BDC_CORLET_PX) * 100</t>
  </si>
  <si>
    <t xml:space="preserve">DER_097: 4 * IF_DIST / round(IF_NAV4, 3) * 100</t>
  </si>
  <si>
    <t xml:space="preserve">DER_098: 4 * IF_DIST / round(IF_NAV8, 3) * 100</t>
  </si>
  <si>
    <t xml:space="preserve">DER_099: 4 * IF_DIST / round(IF_NAV12, 3) * 100</t>
  </si>
  <si>
    <t xml:space="preserve">DER_100: 4 * IF_DIST / round(IF_NAV4, 3) * 100</t>
  </si>
  <si>
    <t xml:space="preserve">DER_101: 4 * IF_DIST / round(IF_NAV8, 3) * 100</t>
  </si>
  <si>
    <t xml:space="preserve">DER_102: 4 * IF_DIST / round(IF_NAV12, 3) * 100</t>
  </si>
  <si>
    <t xml:space="preserve">IF_NAV_LOSS: COST_INTERVAL_FUND - round(IF_VAL12)</t>
  </si>
  <si>
    <t xml:space="preserve">DER_105: round(IF_NAV12, 3) + 12 * IF_DIST</t>
  </si>
  <si>
    <t xml:space="preserve">DER_106: (IF_OFFER + 2) / 7.5 * 100</t>
  </si>
  <si>
    <t xml:space="preserve">DER_107: 100 - PRO_250_FILL</t>
  </si>
  <si>
    <t xml:space="preserve">GATE_SH1: IF_SHARES * GATE_FILL / 100</t>
  </si>
  <si>
    <t xml:space="preserve">GATE_REM1: IF_SHARES - GATE_SH1</t>
  </si>
  <si>
    <t xml:space="preserve">GATE_SH2: GATE_REM1 * GATE_FILL / 100</t>
  </si>
  <si>
    <t xml:space="preserve">GATE_REM2: GATE_REM1 - GATE_SH2</t>
  </si>
  <si>
    <t xml:space="preserve">DER_112: GATE_REM2 * GATE_FILL / 100</t>
  </si>
  <si>
    <t xml:space="preserve">DER_113: (1 - GATE_FILL / 100) ** 2 * 100</t>
  </si>
  <si>
    <t xml:space="preserve">DER_114: (1 - GATE_FILL / 100) ** 3 * 100</t>
  </si>
  <si>
    <t xml:space="preserve">DER_115: GATE_SH1 * round(IF_NAV12, 3)</t>
  </si>
  <si>
    <t xml:space="preserve">IF_DIST_Q_USD: IF_SHARES * IF_DIST</t>
  </si>
  <si>
    <t xml:space="preserve">GATE_TOTAL: round(GATE_C12) + round(GATE_C13) + round(GATE_C14) + round(GATE_C15) + round(GATE_C16)</t>
  </si>
  <si>
    <t xml:space="preserve">IF_BASE_Q12: round(IF_VAL12) + IF_DIST_Q_USD</t>
  </si>
  <si>
    <t xml:space="preserve">DER_119: GATE_TOTAL - IF_BASE_Q12</t>
  </si>
  <si>
    <t xml:space="preserve">DER_122: IF_HURDLE</t>
  </si>
  <si>
    <t xml:space="preserve">IF_OVER_HURDLE: round(IF_PRE, 2) - IF_HURDLE</t>
  </si>
  <si>
    <t xml:space="preserve">DER_124: IF_INC_RATE / 100 * IF_OVER_HURDLE</t>
  </si>
  <si>
    <t xml:space="preserve">DER_125: round(IF_FEES_USD) + round(IF_DEBT_USD)</t>
  </si>
  <si>
    <t xml:space="preserve">DER_126: IF_DIST_Q_USD</t>
  </si>
  <si>
    <t xml:space="preserve">DER_127: 4 * IF_DIST_Q_USD</t>
  </si>
  <si>
    <t xml:space="preserve">DER_129: 1 - TAX_ORD / 100</t>
  </si>
  <si>
    <t xml:space="preserve">DER_132: round(TAX_IRR, 2) - round(TAX_RF, 2)</t>
  </si>
  <si>
    <t xml:space="preserve">DER_133: IF_DISTS * TAX_ORD / 100</t>
  </si>
  <si>
    <t xml:space="preserve">DER_134: IF_NAV_LOSS</t>
  </si>
  <si>
    <t xml:space="preserve">DER_135: round(BDC_CORLET_DIVS) * TAX_ORD / 100</t>
  </si>
  <si>
    <t xml:space="preserve">CORL_CUT_Q: (BDC_CORLET_DIV - CORL_DIV2) * BDC_CORLET_SH</t>
  </si>
  <si>
    <t xml:space="preserve">DER_153: HARR_CPN_SEMI + CORL_CUT_Q</t>
  </si>
  <si>
    <t xml:space="preserve">DER_162: round(LF_DISP, 2) - round(LF_IRR, 2)</t>
  </si>
  <si>
    <t xml:space="preserve">DER_164: round(BDC_CORLET_DISP, 2) - round(BDC_LEDGER_DISP, 2)</t>
  </si>
  <si>
    <t xml:space="preserve">DER_165: BDC_LEDGER_GAIN / BDC_LEDGER_COST * 100</t>
  </si>
  <si>
    <t xml:space="preserve">DER_166: BDC_CORLET_GAIN / BDC_CORLET_COST * 100</t>
  </si>
  <si>
    <t xml:space="preserve">DER_180: HY_OVER_BILL</t>
  </si>
  <si>
    <t xml:space="preserve">CORL_Y2_FALL: round(BDC_CORLET_NAV4, 3) - round(BDC_CORLET_NAV8, 3)</t>
  </si>
  <si>
    <t xml:space="preserve">DER_182: CORL_Y2_FALL / round(BDC_CORLET_NAV4, 3) * 100</t>
  </si>
  <si>
    <t xml:space="preserve">IF_Y1_FALL: IF_NAV0 - round(IF_NAV4, 3)</t>
  </si>
  <si>
    <t xml:space="preserve">DER_184: IF_Y1_FALL / IF_NAV0 * 100</t>
  </si>
  <si>
    <t xml:space="preserve">DER_185: IF_SHARES * IF_Y1_FALL</t>
  </si>
  <si>
    <t xml:space="preserve">DER_186: 4 * IF_SHARES * IF_DIST</t>
  </si>
  <si>
    <t xml:space="preserve">DER_187: round(BDC_CORLET_DISP, 2) - round(BDC_CORLET_IRR, 2)</t>
  </si>
  <si>
    <t xml:space="preserve">DER_188: round(BDC_CORLET_NAV8, 3) - round(BDC_CORLET_NAV12, 3)</t>
  </si>
  <si>
    <t xml:space="preserve">DER_189: BDC_CORLET_NAV0 - round(BDC_CORLET_NAV12, 3)</t>
  </si>
  <si>
    <t xml:space="preserve">DER_190: CORL_NAVFALL12</t>
  </si>
  <si>
    <t xml:space="preserve">DER_191: BDC_LEDGER_NAV0 - round(BDC_LEDGER_NAV12, 3)</t>
  </si>
  <si>
    <t xml:space="preserve">DER_192: (BDC_LEDGER_NAV0 - round(BDC_LEDGER_NAV12, 3)) / BDC_LEDGER_NAV0 * 100</t>
  </si>
  <si>
    <t xml:space="preserve">DER_195: CORL_INCN</t>
  </si>
  <si>
    <t xml:space="preserve">DER_196: CORL_FEESN</t>
  </si>
  <si>
    <t xml:space="preserve">DER_209: LF_DR_RATES * (100 - REC_LOAN) / 100</t>
  </si>
  <si>
    <t xml:space="preserve">DER_210: RF + 2 + LF_SPREAD - LF_FEE - LF_DR_RATES * (100 - REC_LOAN) / 100</t>
  </si>
  <si>
    <t xml:space="preserve">DER_217: 4 * CORL_DIV2</t>
  </si>
  <si>
    <t xml:space="preserve">DER_220: 1 + IF_LEV</t>
  </si>
  <si>
    <t xml:space="preserve">DER_221: round(TAX_DISP, 2) - round(TAX_RF, 2)</t>
  </si>
  <si>
    <t xml:space="preserve">DER_223: DER_188 / round(BDC_CORLET_NAV8, 3) * 100</t>
  </si>
</sst>
</file>

<file path=xl/styles.xml><?xml version="1.0" encoding="utf-8"?>
<styleSheet xmlns="http://schemas.openxmlformats.org/spreadsheetml/2006/main">
  <numFmts count="21">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000000"/>
    <numFmt numFmtId="175" formatCode="#,##0"/>
    <numFmt numFmtId="176" formatCode="\$#,##0.000;&quot;-$&quot;#,##0.000;\$0.000"/>
    <numFmt numFmtId="177" formatCode="0.0\x"/>
    <numFmt numFmtId="178" formatCode="#,##0.0"/>
    <numFmt numFmtId="179" formatCode="#,##0.0000"/>
    <numFmt numFmtId="180" formatCode="#,##0.000"/>
    <numFmt numFmtId="181" formatCode="#,##0.00000"/>
    <numFmt numFmtId="182" formatCode="0.0000%"/>
    <numFmt numFmtId="183" formatCode="#,##0.000000"/>
    <numFmt numFmtId="184" formatCode="0.0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73" fontId="6" fillId="5" borderId="1" xfId="0" applyFont="true" applyBorder="true" applyAlignment="false" applyProtection="false">
      <alignment horizontal="general" vertical="bottom" textRotation="0" wrapText="false" indent="0" shrinkToFit="false"/>
      <protection locked="true" hidden="false"/>
    </xf>
    <xf numFmtId="172" fontId="6"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7" fontId="7" fillId="5" borderId="1" xfId="0" applyFont="true" applyBorder="true" applyAlignment="false" applyProtection="false">
      <alignment horizontal="general"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right"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82" fontId="6" fillId="5"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3" fontId="6" fillId="5" borderId="1" xfId="0" applyFont="true" applyBorder="true" applyAlignment="false" applyProtection="false">
      <alignment horizontal="general" vertical="bottom" textRotation="0" wrapText="false" indent="0" shrinkToFit="false"/>
      <protection locked="true" hidden="false"/>
    </xf>
    <xf numFmtId="184"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0"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60"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45"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0"/>
    <col collapsed="false" customWidth="true" hidden="false" outlineLevel="0" max="7" min="4" style="0" width="12"/>
    <col collapsed="false" customWidth="true" hidden="false" outlineLevel="0" max="8" min="8" style="0" width="14"/>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15" hidden="false" customHeight="false" outlineLevel="0" collapsed="false">
      <c r="B5" s="7" t="s">
        <v>100</v>
      </c>
      <c r="C5" s="8"/>
      <c r="D5" s="8"/>
      <c r="E5" s="8"/>
      <c r="F5" s="8"/>
      <c r="G5" s="8"/>
    </row>
    <row r="6" customFormat="false" ht="30" hidden="false" customHeight="true" outlineLevel="0" collapsed="false">
      <c r="B6" s="13" t="s">
        <v>32</v>
      </c>
      <c r="C6" s="14" t="s">
        <v>23</v>
      </c>
      <c r="D6" s="14" t="s">
        <v>33</v>
      </c>
      <c r="E6" s="14" t="s">
        <v>44</v>
      </c>
      <c r="F6" s="14" t="s">
        <v>101</v>
      </c>
      <c r="G6" s="14" t="s">
        <v>102</v>
      </c>
    </row>
    <row r="7" customFormat="false" ht="15" hidden="false" customHeight="false" outlineLevel="0" collapsed="false">
      <c r="B7" s="9" t="s">
        <v>36</v>
      </c>
      <c r="C7" s="27" t="str">
        <f aca="false">Assumptions!$C$22</f>
        <v>A</v>
      </c>
      <c r="D7" s="17" t="n">
        <f aca="false">Assumptions!$D$22</f>
        <v>0.008</v>
      </c>
      <c r="E7" s="17" t="n">
        <f aca="false">Assumptions!$F$22</f>
        <v>0.048</v>
      </c>
      <c r="F7" s="28" t="n">
        <f aca="false">Assumptions!$E$22</f>
        <v>2</v>
      </c>
      <c r="G7" s="29" t="n">
        <f aca="false">Bond_Flows!$H$23</f>
        <v>0.0485759999999997</v>
      </c>
    </row>
    <row r="8" customFormat="false" ht="15" hidden="false" customHeight="false" outlineLevel="0" collapsed="false">
      <c r="B8" s="9" t="s">
        <v>37</v>
      </c>
      <c r="C8" s="27" t="str">
        <f aca="false">Assumptions!$C$23</f>
        <v>A</v>
      </c>
      <c r="D8" s="17" t="n">
        <f aca="false">Assumptions!$D$23</f>
        <v>0.0095</v>
      </c>
      <c r="E8" s="17" t="n">
        <f aca="false">Assumptions!$F$23</f>
        <v>0.0495</v>
      </c>
      <c r="F8" s="28" t="n">
        <f aca="false">Assumptions!$E$23</f>
        <v>3</v>
      </c>
      <c r="G8" s="29" t="n">
        <f aca="false">Bond_Flows!$H$24</f>
        <v>0.0501125624999987</v>
      </c>
    </row>
    <row r="9" customFormat="false" ht="15" hidden="false" customHeight="false" outlineLevel="0" collapsed="false">
      <c r="B9" s="9" t="s">
        <v>38</v>
      </c>
      <c r="C9" s="27" t="str">
        <f aca="false">Assumptions!$C$24</f>
        <v>BBB</v>
      </c>
      <c r="D9" s="17" t="n">
        <f aca="false">Assumptions!$D$24</f>
        <v>0.0115</v>
      </c>
      <c r="E9" s="17" t="n">
        <f aca="false">Assumptions!$F$24</f>
        <v>0.0515</v>
      </c>
      <c r="F9" s="28" t="n">
        <f aca="false">Assumptions!$E$24</f>
        <v>4</v>
      </c>
      <c r="G9" s="29" t="n">
        <f aca="false">Bond_Flows!$H$25</f>
        <v>0.0521630624999945</v>
      </c>
    </row>
    <row r="10" customFormat="false" ht="15" hidden="false" customHeight="false" outlineLevel="0" collapsed="false">
      <c r="B10" s="9" t="s">
        <v>39</v>
      </c>
      <c r="C10" s="27" t="str">
        <f aca="false">Assumptions!$C$25</f>
        <v>BBB</v>
      </c>
      <c r="D10" s="17" t="n">
        <f aca="false">Assumptions!$D$25</f>
        <v>0.013</v>
      </c>
      <c r="E10" s="17" t="n">
        <f aca="false">Assumptions!$F$25</f>
        <v>0.053</v>
      </c>
      <c r="F10" s="28" t="n">
        <f aca="false">Assumptions!$E$25</f>
        <v>5</v>
      </c>
      <c r="G10" s="29" t="n">
        <f aca="false">Bond_Flows!$H$26</f>
        <v>0.0537022499999846</v>
      </c>
    </row>
    <row r="11" customFormat="false" ht="15" hidden="false" customHeight="false" outlineLevel="0" collapsed="false">
      <c r="B11" s="9" t="s">
        <v>40</v>
      </c>
      <c r="C11" s="27" t="str">
        <f aca="false">Assumptions!$C$26</f>
        <v>BBB</v>
      </c>
      <c r="D11" s="17" t="n">
        <f aca="false">Assumptions!$D$26</f>
        <v>0.0145</v>
      </c>
      <c r="E11" s="17" t="n">
        <f aca="false">Assumptions!$F$26</f>
        <v>0.0545</v>
      </c>
      <c r="F11" s="28" t="n">
        <f aca="false">Assumptions!$E$26</f>
        <v>6</v>
      </c>
      <c r="G11" s="29" t="n">
        <f aca="false">Bond_Flows!$H$27</f>
        <v>0.0552425624999637</v>
      </c>
    </row>
    <row r="12" customFormat="false" ht="15" hidden="false" customHeight="false" outlineLevel="0" collapsed="false">
      <c r="B12" s="30" t="s">
        <v>103</v>
      </c>
      <c r="C12" s="29" t="n">
        <f aca="false">Bond_Flows!$H$35</f>
        <v>0.0521866825360082</v>
      </c>
    </row>
    <row r="13" customFormat="false" ht="15" hidden="false" customHeight="false" outlineLevel="0" collapsed="false">
      <c r="B13" s="30" t="s">
        <v>104</v>
      </c>
      <c r="C13" s="29" t="n">
        <f aca="false">Bond_Flows!$H$55</f>
        <v>0.0447056272742963</v>
      </c>
    </row>
    <row r="14" customFormat="false" ht="15" hidden="false" customHeight="false" outlineLevel="0" collapsed="false">
      <c r="B14" s="9" t="s">
        <v>105</v>
      </c>
      <c r="C14" s="26" t="n">
        <f aca="false">Assumptions!$C$20*Assumptions!$F$22/2*MIN(Assumptions!$E$22*2,6)+Assumptions!$C$20*Assumptions!$F$23/2*MIN(Assumptions!$E$23*2,6)+Assumptions!$C$20*Assumptions!$F$24/2*MIN(Assumptions!$E$24*2,6)+Assumptions!$C$20*Assumptions!$F$25/2*MIN(Assumptions!$E$25*2,6)+Assumptions!$C$20*Assumptions!$F$26/2*MIN(Assumptions!$E$26*2,6)</f>
        <v>18037.5</v>
      </c>
    </row>
    <row r="16" customFormat="false" ht="15" hidden="false" customHeight="false" outlineLevel="0" collapsed="false">
      <c r="B16" s="7" t="s">
        <v>106</v>
      </c>
      <c r="C16" s="8"/>
      <c r="D16" s="8"/>
      <c r="E16" s="8"/>
      <c r="F16" s="8"/>
      <c r="G16" s="8"/>
    </row>
    <row r="17" customFormat="false" ht="30" hidden="false" customHeight="true" outlineLevel="0" collapsed="false">
      <c r="B17" s="13" t="s">
        <v>32</v>
      </c>
      <c r="C17" s="14" t="s">
        <v>23</v>
      </c>
      <c r="D17" s="14" t="s">
        <v>44</v>
      </c>
      <c r="E17" s="14" t="s">
        <v>107</v>
      </c>
      <c r="F17" s="14" t="s">
        <v>108</v>
      </c>
      <c r="G17" s="14" t="s">
        <v>102</v>
      </c>
    </row>
    <row r="18" customFormat="false" ht="15" hidden="false" customHeight="false" outlineLevel="0" collapsed="false">
      <c r="B18" s="9" t="s">
        <v>47</v>
      </c>
      <c r="C18" s="27" t="str">
        <f aca="false">Assumptions!$C$32</f>
        <v>BB</v>
      </c>
      <c r="D18" s="17" t="n">
        <f aca="false">Assumptions!$D$32</f>
        <v>0.0675</v>
      </c>
      <c r="E18" s="31" t="n">
        <f aca="false">Assumptions!$E$32</f>
        <v>99</v>
      </c>
      <c r="F18" s="17" t="n">
        <f aca="false">Bond_Flows!$F$28</f>
        <v>0.0699042470751673</v>
      </c>
      <c r="G18" s="29" t="n">
        <f aca="false">Bond_Flows!$H$28</f>
        <v>0.0711258980149541</v>
      </c>
    </row>
    <row r="19" customFormat="false" ht="15" hidden="false" customHeight="false" outlineLevel="0" collapsed="false">
      <c r="B19" s="9" t="s">
        <v>48</v>
      </c>
      <c r="C19" s="27" t="str">
        <f aca="false">Assumptions!$C$33</f>
        <v>BB</v>
      </c>
      <c r="D19" s="17" t="n">
        <f aca="false">Assumptions!$D$33</f>
        <v>0.07</v>
      </c>
      <c r="E19" s="31" t="n">
        <f aca="false">Assumptions!$E$33</f>
        <v>98.5</v>
      </c>
      <c r="F19" s="17" t="n">
        <f aca="false">Bond_Flows!$F$29</f>
        <v>0.0736404123832243</v>
      </c>
      <c r="G19" s="29" t="n">
        <f aca="false">Bond_Flows!$H$29</f>
        <v>0.0749961399672177</v>
      </c>
    </row>
    <row r="20" customFormat="false" ht="15" hidden="false" customHeight="false" outlineLevel="0" collapsed="false">
      <c r="B20" s="9" t="s">
        <v>49</v>
      </c>
      <c r="C20" s="27" t="str">
        <f aca="false">Assumptions!$C$34</f>
        <v>B</v>
      </c>
      <c r="D20" s="17" t="n">
        <f aca="false">Assumptions!$D$34</f>
        <v>0.0725</v>
      </c>
      <c r="E20" s="31" t="n">
        <f aca="false">Assumptions!$E$34</f>
        <v>98</v>
      </c>
      <c r="F20" s="17" t="n">
        <f aca="false">Bond_Flows!$F$30</f>
        <v>0.0773997713205988</v>
      </c>
      <c r="G20" s="29" t="n">
        <f aca="false">Bond_Flows!$H$30</f>
        <v>0.0788974524707193</v>
      </c>
    </row>
    <row r="21" customFormat="false" ht="15" hidden="false" customHeight="false" outlineLevel="0" collapsed="false">
      <c r="B21" s="9" t="s">
        <v>50</v>
      </c>
      <c r="C21" s="27" t="str">
        <f aca="false">Assumptions!$C$35</f>
        <v>B</v>
      </c>
      <c r="D21" s="17" t="n">
        <f aca="false">Assumptions!$D$35</f>
        <v>0.075</v>
      </c>
      <c r="E21" s="31" t="n">
        <f aca="false">Assumptions!$E$35</f>
        <v>97.5</v>
      </c>
      <c r="F21" s="17" t="n">
        <f aca="false">Bond_Flows!$F$31</f>
        <v>0.0811827080590467</v>
      </c>
      <c r="G21" s="29" t="n">
        <f aca="false">Bond_Flows!$H$31</f>
        <v>0.0828303660809961</v>
      </c>
    </row>
    <row r="22" customFormat="false" ht="15" hidden="false" customHeight="false" outlineLevel="0" collapsed="false">
      <c r="B22" s="9" t="s">
        <v>51</v>
      </c>
      <c r="C22" s="27" t="str">
        <f aca="false">Assumptions!$C$36</f>
        <v>B</v>
      </c>
      <c r="D22" s="17" t="n">
        <f aca="false">Assumptions!$D$36</f>
        <v>0.08</v>
      </c>
      <c r="E22" s="31" t="n">
        <f aca="false">Assumptions!$E$36</f>
        <v>97</v>
      </c>
      <c r="F22" s="17" t="n">
        <f aca="false">Bond_Flows!$F$32</f>
        <v>0.0875368825411204</v>
      </c>
      <c r="G22" s="29" t="n">
        <f aca="false">Bond_Flows!$H$32</f>
        <v>0.0894525589923749</v>
      </c>
    </row>
    <row r="23" customFormat="false" ht="15" hidden="false" customHeight="false" outlineLevel="0" collapsed="false">
      <c r="B23" s="9" t="s">
        <v>52</v>
      </c>
      <c r="C23" s="27" t="str">
        <f aca="false">Assumptions!$C$37</f>
        <v>CCC</v>
      </c>
      <c r="D23" s="17" t="n">
        <f aca="false">Assumptions!$D$37</f>
        <v>0.085</v>
      </c>
      <c r="E23" s="31" t="n">
        <f aca="false">Assumptions!$E$37</f>
        <v>94</v>
      </c>
      <c r="F23" s="17" t="n">
        <f aca="false">Bond_Flows!$F$33</f>
        <v>0.100561753609911</v>
      </c>
      <c r="G23" s="29" t="n">
        <f aca="false">Bond_Flows!$H$33</f>
        <v>-0.254569160102313</v>
      </c>
    </row>
    <row r="24" customFormat="false" ht="15" hidden="false" customHeight="false" outlineLevel="0" collapsed="false">
      <c r="B24" s="9" t="s">
        <v>109</v>
      </c>
      <c r="C24" s="26" t="n">
        <f aca="false">Assumptions!$C$29*Bond_Flows!$D$16</f>
        <v>5000</v>
      </c>
    </row>
    <row r="25" customFormat="false" ht="15" hidden="false" customHeight="false" outlineLevel="0" collapsed="false">
      <c r="B25" s="9" t="s">
        <v>110</v>
      </c>
      <c r="C25" s="26" t="n">
        <f aca="false">Bond_Flows!$G$33</f>
        <v>-5687.5</v>
      </c>
    </row>
    <row r="26" customFormat="false" ht="15" hidden="false" customHeight="false" outlineLevel="0" collapsed="false">
      <c r="B26" s="30" t="s">
        <v>111</v>
      </c>
      <c r="C26" s="29" t="n">
        <f aca="false">Bond_Flows!$H$36</f>
        <v>0.0421815773308225</v>
      </c>
    </row>
    <row r="27" customFormat="false" ht="15" hidden="false" customHeight="false" outlineLevel="0" collapsed="false">
      <c r="B27" s="30" t="s">
        <v>112</v>
      </c>
      <c r="C27" s="29" t="n">
        <f aca="false">Bond_Flows!$H$82</f>
        <v>0.0832358496413976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113</v>
      </c>
    </row>
    <row r="3" customFormat="false" ht="15" hidden="false" customHeight="false" outlineLevel="0" collapsed="false">
      <c r="B3" s="6" t="s">
        <v>114</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119</v>
      </c>
      <c r="C8" s="10" t="n">
        <v>0</v>
      </c>
      <c r="D8" s="6" t="s">
        <v>117</v>
      </c>
    </row>
    <row r="9" customFormat="false" ht="15" hidden="false" customHeight="false" outlineLevel="0" collapsed="false">
      <c r="B9" s="9" t="s">
        <v>120</v>
      </c>
      <c r="C9" s="10" t="n">
        <v>0</v>
      </c>
      <c r="D9" s="6" t="s">
        <v>117</v>
      </c>
    </row>
    <row r="10" customFormat="false" ht="30" hidden="false" customHeight="true" outlineLevel="0" collapsed="false">
      <c r="B10" s="13" t="s">
        <v>121</v>
      </c>
      <c r="C10" s="14" t="s">
        <v>122</v>
      </c>
      <c r="D10" s="14" t="s">
        <v>123</v>
      </c>
      <c r="E10" s="14" t="s">
        <v>124</v>
      </c>
    </row>
    <row r="11" customFormat="false" ht="15" hidden="false" customHeight="false" outlineLevel="0" collapsed="false">
      <c r="B11" s="9" t="s">
        <v>47</v>
      </c>
      <c r="C11" s="24" t="s">
        <v>80</v>
      </c>
      <c r="D11" s="32" t="s">
        <v>125</v>
      </c>
      <c r="E11" s="24" t="s">
        <v>125</v>
      </c>
    </row>
    <row r="12" customFormat="false" ht="15" hidden="false" customHeight="false" outlineLevel="0" collapsed="false">
      <c r="B12" s="9" t="s">
        <v>48</v>
      </c>
      <c r="C12" s="24" t="s">
        <v>80</v>
      </c>
      <c r="D12" s="32" t="s">
        <v>125</v>
      </c>
      <c r="E12" s="24" t="s">
        <v>125</v>
      </c>
    </row>
    <row r="13" customFormat="false" ht="15" hidden="false" customHeight="false" outlineLevel="0" collapsed="false">
      <c r="B13" s="9" t="s">
        <v>49</v>
      </c>
      <c r="C13" s="24" t="s">
        <v>80</v>
      </c>
      <c r="D13" s="32" t="s">
        <v>125</v>
      </c>
      <c r="E13" s="24" t="s">
        <v>125</v>
      </c>
    </row>
    <row r="14" customFormat="false" ht="15" hidden="false" customHeight="false" outlineLevel="0" collapsed="false">
      <c r="B14" s="9" t="s">
        <v>50</v>
      </c>
      <c r="C14" s="24" t="s">
        <v>80</v>
      </c>
      <c r="D14" s="32" t="s">
        <v>125</v>
      </c>
      <c r="E14" s="24" t="s">
        <v>125</v>
      </c>
    </row>
    <row r="15" customFormat="false" ht="15" hidden="false" customHeight="false" outlineLevel="0" collapsed="false">
      <c r="B15" s="9" t="s">
        <v>51</v>
      </c>
      <c r="C15" s="24" t="s">
        <v>80</v>
      </c>
      <c r="D15" s="32" t="s">
        <v>125</v>
      </c>
      <c r="E15" s="24" t="s">
        <v>125</v>
      </c>
    </row>
    <row r="16" customFormat="false" ht="15" hidden="false" customHeight="false" outlineLevel="0" collapsed="false">
      <c r="B16" s="9" t="s">
        <v>52</v>
      </c>
      <c r="C16" s="24" t="n">
        <v>6</v>
      </c>
      <c r="D16" s="32" t="n">
        <v>0.4</v>
      </c>
      <c r="E16" s="24" t="n">
        <v>10</v>
      </c>
    </row>
    <row r="18" customFormat="false" ht="15" hidden="false" customHeight="false" outlineLevel="0" collapsed="false">
      <c r="B18" s="7" t="s">
        <v>126</v>
      </c>
      <c r="I18" s="33" t="n">
        <v>0</v>
      </c>
      <c r="J18" s="33" t="n">
        <v>1</v>
      </c>
      <c r="K18" s="33" t="n">
        <v>2</v>
      </c>
      <c r="L18" s="33" t="n">
        <v>3</v>
      </c>
      <c r="M18" s="33" t="n">
        <v>4</v>
      </c>
      <c r="N18" s="33" t="n">
        <v>5</v>
      </c>
      <c r="O18" s="33" t="n">
        <v>6</v>
      </c>
      <c r="P18" s="33" t="n">
        <v>7</v>
      </c>
      <c r="Q18" s="33" t="n">
        <v>8</v>
      </c>
      <c r="R18" s="33" t="n">
        <v>9</v>
      </c>
      <c r="S18" s="33" t="n">
        <v>10</v>
      </c>
      <c r="T18" s="33" t="n">
        <v>11</v>
      </c>
      <c r="U18" s="33" t="n">
        <v>12</v>
      </c>
      <c r="V18" s="33" t="n">
        <v>13</v>
      </c>
      <c r="W18" s="33" t="n">
        <v>14</v>
      </c>
      <c r="X18" s="33" t="n">
        <v>15</v>
      </c>
      <c r="Y18" s="33" t="n">
        <v>16</v>
      </c>
    </row>
    <row r="19" customFormat="false" ht="15" hidden="false" customHeight="false" outlineLevel="0" collapsed="false">
      <c r="B19" s="9" t="s">
        <v>127</v>
      </c>
      <c r="I19" s="17" t="n">
        <f aca="false">IF(I$18=0,Assumptions!$C$6,Assumptions!$C$6+$C$6+IF(I$18&gt;=5,$C$7,0))</f>
        <v>0.04</v>
      </c>
      <c r="J19" s="17" t="n">
        <f aca="false">IF(J$18=0,Assumptions!$C$6,Assumptions!$C$6+$C$6+IF(J$18&gt;=5,$C$7,0))</f>
        <v>0.04</v>
      </c>
      <c r="K19" s="17" t="n">
        <f aca="false">IF(K$18=0,Assumptions!$C$6,Assumptions!$C$6+$C$6+IF(K$18&gt;=5,$C$7,0))</f>
        <v>0.04</v>
      </c>
      <c r="L19" s="17" t="n">
        <f aca="false">IF(L$18=0,Assumptions!$C$6,Assumptions!$C$6+$C$6+IF(L$18&gt;=5,$C$7,0))</f>
        <v>0.04</v>
      </c>
      <c r="M19" s="17" t="n">
        <f aca="false">IF(M$18=0,Assumptions!$C$6,Assumptions!$C$6+$C$6+IF(M$18&gt;=5,$C$7,0))</f>
        <v>0.04</v>
      </c>
      <c r="N19" s="17" t="n">
        <f aca="false">IF(N$18=0,Assumptions!$C$6,Assumptions!$C$6+$C$6+IF(N$18&gt;=5,$C$7,0))</f>
        <v>0.04</v>
      </c>
      <c r="O19" s="17" t="n">
        <f aca="false">IF(O$18=0,Assumptions!$C$6,Assumptions!$C$6+$C$6+IF(O$18&gt;=5,$C$7,0))</f>
        <v>0.04</v>
      </c>
      <c r="P19" s="17" t="n">
        <f aca="false">IF(P$18=0,Assumptions!$C$6,Assumptions!$C$6+$C$6+IF(P$18&gt;=5,$C$7,0))</f>
        <v>0.04</v>
      </c>
      <c r="Q19" s="17" t="n">
        <f aca="false">IF(Q$18=0,Assumptions!$C$6,Assumptions!$C$6+$C$6+IF(Q$18&gt;=5,$C$7,0))</f>
        <v>0.04</v>
      </c>
      <c r="R19" s="17" t="n">
        <f aca="false">IF(R$18=0,Assumptions!$C$6,Assumptions!$C$6+$C$6+IF(R$18&gt;=5,$C$7,0))</f>
        <v>0.04</v>
      </c>
      <c r="S19" s="17" t="n">
        <f aca="false">IF(S$18=0,Assumptions!$C$6,Assumptions!$C$6+$C$6+IF(S$18&gt;=5,$C$7,0))</f>
        <v>0.04</v>
      </c>
      <c r="T19" s="17" t="n">
        <f aca="false">IF(T$18=0,Assumptions!$C$6,Assumptions!$C$6+$C$6+IF(T$18&gt;=5,$C$7,0))</f>
        <v>0.04</v>
      </c>
      <c r="U19" s="17" t="n">
        <f aca="false">IF(U$18=0,Assumptions!$C$6,Assumptions!$C$6+$C$6+IF(U$18&gt;=5,$C$7,0))</f>
        <v>0.04</v>
      </c>
      <c r="V19" s="17" t="n">
        <f aca="false">IF(V$18=0,Assumptions!$C$6,Assumptions!$C$6+$C$6+IF(V$18&gt;=5,$C$7,0))</f>
        <v>0.04</v>
      </c>
      <c r="W19" s="17" t="n">
        <f aca="false">IF(W$18=0,Assumptions!$C$6,Assumptions!$C$6+$C$6+IF(W$18&gt;=5,$C$7,0))</f>
        <v>0.04</v>
      </c>
      <c r="X19" s="17" t="n">
        <f aca="false">IF(X$18=0,Assumptions!$C$6,Assumptions!$C$6+$C$6+IF(X$18&gt;=5,$C$7,0))</f>
        <v>0.04</v>
      </c>
      <c r="Y19" s="17" t="n">
        <f aca="false">IF(Y$18=0,Assumptions!$C$6,Assumptions!$C$6+$C$6+IF(Y$18&gt;=5,$C$7,0))</f>
        <v>0.04</v>
      </c>
    </row>
    <row r="21" customFormat="false" ht="15" hidden="false" customHeight="false" outlineLevel="0" collapsed="false">
      <c r="B21" s="7" t="s">
        <v>128</v>
      </c>
      <c r="C21" s="8"/>
      <c r="D21" s="8"/>
      <c r="E21" s="8"/>
      <c r="F21" s="8"/>
      <c r="G21" s="8"/>
      <c r="H21" s="8"/>
      <c r="I21" s="8"/>
      <c r="J21" s="8"/>
      <c r="K21" s="8"/>
      <c r="L21" s="8"/>
      <c r="M21" s="8"/>
      <c r="N21" s="8"/>
      <c r="O21" s="8"/>
      <c r="P21" s="8"/>
      <c r="Q21" s="8"/>
      <c r="R21" s="8"/>
      <c r="S21" s="8"/>
      <c r="T21" s="8"/>
      <c r="U21" s="8"/>
      <c r="V21" s="8"/>
      <c r="W21" s="8"/>
      <c r="X21" s="8"/>
      <c r="Y21" s="8"/>
    </row>
    <row r="22" customFormat="false" ht="43.5" hidden="false" customHeight="true" outlineLevel="0" collapsed="false">
      <c r="B22" s="13" t="s">
        <v>129</v>
      </c>
      <c r="C22" s="14" t="s">
        <v>130</v>
      </c>
      <c r="D22" s="14" t="s">
        <v>46</v>
      </c>
      <c r="E22" s="14" t="s">
        <v>131</v>
      </c>
      <c r="F22" s="14" t="s">
        <v>132</v>
      </c>
      <c r="G22" s="14" t="s">
        <v>133</v>
      </c>
      <c r="H22" s="14" t="s">
        <v>134</v>
      </c>
      <c r="I22" s="33" t="n">
        <v>0</v>
      </c>
      <c r="J22" s="33" t="n">
        <v>1</v>
      </c>
      <c r="K22" s="33" t="n">
        <v>2</v>
      </c>
      <c r="L22" s="33" t="n">
        <v>3</v>
      </c>
      <c r="M22" s="33" t="n">
        <v>4</v>
      </c>
      <c r="N22" s="33" t="n">
        <v>5</v>
      </c>
      <c r="O22" s="33" t="n">
        <v>6</v>
      </c>
      <c r="P22" s="33" t="n">
        <v>7</v>
      </c>
      <c r="Q22" s="33" t="n">
        <v>8</v>
      </c>
      <c r="R22" s="33" t="n">
        <v>9</v>
      </c>
      <c r="S22" s="33" t="n">
        <v>10</v>
      </c>
      <c r="T22" s="33" t="n">
        <v>11</v>
      </c>
      <c r="U22" s="33" t="n">
        <v>12</v>
      </c>
      <c r="V22" s="33" t="n">
        <v>13</v>
      </c>
      <c r="W22" s="33" t="n">
        <v>14</v>
      </c>
      <c r="X22" s="33" t="n">
        <v>15</v>
      </c>
      <c r="Y22" s="33" t="n">
        <v>16</v>
      </c>
    </row>
    <row r="23" customFormat="false" ht="15" hidden="false" customHeight="false" outlineLevel="0" collapsed="false">
      <c r="B23" s="9" t="s">
        <v>36</v>
      </c>
      <c r="C23" s="9" t="s">
        <v>135</v>
      </c>
      <c r="D23" s="26" t="n">
        <f aca="false">Assumptions!$C$20</f>
        <v>25000</v>
      </c>
      <c r="E23" s="34" t="n">
        <f aca="false">IF(Assumptions!$E$22*4&lt;=12,100,PV((Assumptions!$F$22+$C$6+$C$8)/2,(Assumptions!$E$22*4-12)/2,-Assumptions!$F$22*100/2,-100))</f>
        <v>100</v>
      </c>
      <c r="F23" s="17" t="n">
        <f aca="false">Assumptions!$F$22</f>
        <v>0.048</v>
      </c>
      <c r="G23" s="26" t="n">
        <f aca="false">SUM(I23:Y23)</f>
        <v>2400</v>
      </c>
      <c r="H23" s="29" t="n">
        <f aca="false">(1+IRR(I23:Y23,IF(SUM(I23:Y23)&lt;0,-0.05,0.01)))^4-1</f>
        <v>0.0485759999999997</v>
      </c>
      <c r="I23" s="35" t="n">
        <f aca="false">IF(I$22=0,-$D23,0)+IF(AND(I$22&gt;=2,MOD(I$22,2)=0,I$22&lt;=MIN(Assumptions!$E$22*4,12)),$D23*Assumptions!$F$22/2,0)+IF(Assumptions!$E$22*4&lt;=12,IF(I$22=Assumptions!$E$22*4,$D23,0),IF(I$22=12,$D23*$E23/100,0))</f>
        <v>-25000</v>
      </c>
      <c r="J23" s="35" t="n">
        <f aca="false">IF(J$22=0,-$D23,0)+IF(AND(J$22&gt;=2,MOD(J$22,2)=0,J$22&lt;=MIN(Assumptions!$E$22*4,12)),$D23*Assumptions!$F$22/2,0)+IF(Assumptions!$E$22*4&lt;=12,IF(J$22=Assumptions!$E$22*4,$D23,0),IF(J$22=12,$D23*$E23/100,0))</f>
        <v>0</v>
      </c>
      <c r="K23" s="35" t="n">
        <f aca="false">IF(K$22=0,-$D23,0)+IF(AND(K$22&gt;=2,MOD(K$22,2)=0,K$22&lt;=MIN(Assumptions!$E$22*4,12)),$D23*Assumptions!$F$22/2,0)+IF(Assumptions!$E$22*4&lt;=12,IF(K$22=Assumptions!$E$22*4,$D23,0),IF(K$22=12,$D23*$E23/100,0))</f>
        <v>600</v>
      </c>
      <c r="L23" s="35" t="n">
        <f aca="false">IF(L$22=0,-$D23,0)+IF(AND(L$22&gt;=2,MOD(L$22,2)=0,L$22&lt;=MIN(Assumptions!$E$22*4,12)),$D23*Assumptions!$F$22/2,0)+IF(Assumptions!$E$22*4&lt;=12,IF(L$22=Assumptions!$E$22*4,$D23,0),IF(L$22=12,$D23*$E23/100,0))</f>
        <v>0</v>
      </c>
      <c r="M23" s="35" t="n">
        <f aca="false">IF(M$22=0,-$D23,0)+IF(AND(M$22&gt;=2,MOD(M$22,2)=0,M$22&lt;=MIN(Assumptions!$E$22*4,12)),$D23*Assumptions!$F$22/2,0)+IF(Assumptions!$E$22*4&lt;=12,IF(M$22=Assumptions!$E$22*4,$D23,0),IF(M$22=12,$D23*$E23/100,0))</f>
        <v>600</v>
      </c>
      <c r="N23" s="35" t="n">
        <f aca="false">IF(N$22=0,-$D23,0)+IF(AND(N$22&gt;=2,MOD(N$22,2)=0,N$22&lt;=MIN(Assumptions!$E$22*4,12)),$D23*Assumptions!$F$22/2,0)+IF(Assumptions!$E$22*4&lt;=12,IF(N$22=Assumptions!$E$22*4,$D23,0),IF(N$22=12,$D23*$E23/100,0))</f>
        <v>0</v>
      </c>
      <c r="O23" s="35" t="n">
        <f aca="false">IF(O$22=0,-$D23,0)+IF(AND(O$22&gt;=2,MOD(O$22,2)=0,O$22&lt;=MIN(Assumptions!$E$22*4,12)),$D23*Assumptions!$F$22/2,0)+IF(Assumptions!$E$22*4&lt;=12,IF(O$22=Assumptions!$E$22*4,$D23,0),IF(O$22=12,$D23*$E23/100,0))</f>
        <v>600</v>
      </c>
      <c r="P23" s="35" t="n">
        <f aca="false">IF(P$22=0,-$D23,0)+IF(AND(P$22&gt;=2,MOD(P$22,2)=0,P$22&lt;=MIN(Assumptions!$E$22*4,12)),$D23*Assumptions!$F$22/2,0)+IF(Assumptions!$E$22*4&lt;=12,IF(P$22=Assumptions!$E$22*4,$D23,0),IF(P$22=12,$D23*$E23/100,0))</f>
        <v>0</v>
      </c>
      <c r="Q23" s="35" t="n">
        <f aca="false">IF(Q$22=0,-$D23,0)+IF(AND(Q$22&gt;=2,MOD(Q$22,2)=0,Q$22&lt;=MIN(Assumptions!$E$22*4,12)),$D23*Assumptions!$F$22/2,0)+IF(Assumptions!$E$22*4&lt;=12,IF(Q$22=Assumptions!$E$22*4,$D23,0),IF(Q$22=12,$D23*$E23/100,0))</f>
        <v>25600</v>
      </c>
      <c r="R23" s="35" t="n">
        <f aca="false">IF(R$22=0,-$D23,0)+IF(AND(R$22&gt;=2,MOD(R$22,2)=0,R$22&lt;=MIN(Assumptions!$E$22*4,12)),$D23*Assumptions!$F$22/2,0)+IF(Assumptions!$E$22*4&lt;=12,IF(R$22=Assumptions!$E$22*4,$D23,0),IF(R$22=12,$D23*$E23/100,0))</f>
        <v>0</v>
      </c>
      <c r="S23" s="35" t="n">
        <f aca="false">IF(S$22=0,-$D23,0)+IF(AND(S$22&gt;=2,MOD(S$22,2)=0,S$22&lt;=MIN(Assumptions!$E$22*4,12)),$D23*Assumptions!$F$22/2,0)+IF(Assumptions!$E$22*4&lt;=12,IF(S$22=Assumptions!$E$22*4,$D23,0),IF(S$22=12,$D23*$E23/100,0))</f>
        <v>0</v>
      </c>
      <c r="T23" s="35" t="n">
        <f aca="false">IF(T$22=0,-$D23,0)+IF(AND(T$22&gt;=2,MOD(T$22,2)=0,T$22&lt;=MIN(Assumptions!$E$22*4,12)),$D23*Assumptions!$F$22/2,0)+IF(Assumptions!$E$22*4&lt;=12,IF(T$22=Assumptions!$E$22*4,$D23,0),IF(T$22=12,$D23*$E23/100,0))</f>
        <v>0</v>
      </c>
      <c r="U23" s="35" t="n">
        <f aca="false">IF(U$22=0,-$D23,0)+IF(AND(U$22&gt;=2,MOD(U$22,2)=0,U$22&lt;=MIN(Assumptions!$E$22*4,12)),$D23*Assumptions!$F$22/2,0)+IF(Assumptions!$E$22*4&lt;=12,IF(U$22=Assumptions!$E$22*4,$D23,0),IF(U$22=12,$D23*$E23/100,0))</f>
        <v>0</v>
      </c>
      <c r="V23" s="35" t="n">
        <f aca="false">IF(V$22=0,-$D23,0)+IF(AND(V$22&gt;=2,MOD(V$22,2)=0,V$22&lt;=MIN(Assumptions!$E$22*4,12)),$D23*Assumptions!$F$22/2,0)+IF(Assumptions!$E$22*4&lt;=12,IF(V$22=Assumptions!$E$22*4,$D23,0),IF(V$22=12,$D23*$E23/100,0))</f>
        <v>0</v>
      </c>
      <c r="W23" s="35" t="n">
        <f aca="false">IF(W$22=0,-$D23,0)+IF(AND(W$22&gt;=2,MOD(W$22,2)=0,W$22&lt;=MIN(Assumptions!$E$22*4,12)),$D23*Assumptions!$F$22/2,0)+IF(Assumptions!$E$22*4&lt;=12,IF(W$22=Assumptions!$E$22*4,$D23,0),IF(W$22=12,$D23*$E23/100,0))</f>
        <v>0</v>
      </c>
      <c r="X23" s="35" t="n">
        <f aca="false">IF(X$22=0,-$D23,0)+IF(AND(X$22&gt;=2,MOD(X$22,2)=0,X$22&lt;=MIN(Assumptions!$E$22*4,12)),$D23*Assumptions!$F$22/2,0)+IF(Assumptions!$E$22*4&lt;=12,IF(X$22=Assumptions!$E$22*4,$D23,0),IF(X$22=12,$D23*$E23/100,0))</f>
        <v>0</v>
      </c>
      <c r="Y23" s="35" t="n">
        <f aca="false">IF(Y$22=0,-$D23,0)+IF(AND(Y$22&gt;=2,MOD(Y$22,2)=0,Y$22&lt;=MIN(Assumptions!$E$22*4,12)),$D23*Assumptions!$F$22/2,0)+IF(Assumptions!$E$22*4&lt;=12,IF(Y$22=Assumptions!$E$22*4,$D23,0),IF(Y$22=12,$D23*$E23/100,0))</f>
        <v>0</v>
      </c>
    </row>
    <row r="24" customFormat="false" ht="15" hidden="false" customHeight="false" outlineLevel="0" collapsed="false">
      <c r="B24" s="9" t="s">
        <v>37</v>
      </c>
      <c r="C24" s="9" t="s">
        <v>135</v>
      </c>
      <c r="D24" s="26" t="n">
        <f aca="false">Assumptions!$C$20</f>
        <v>25000</v>
      </c>
      <c r="E24" s="34" t="n">
        <f aca="false">IF(Assumptions!$E$23*4&lt;=12,100,PV((Assumptions!$F$23+$C$6+$C$8)/2,(Assumptions!$E$23*4-12)/2,-Assumptions!$F$23*100/2,-100))</f>
        <v>100</v>
      </c>
      <c r="F24" s="17" t="n">
        <f aca="false">Assumptions!$F$23</f>
        <v>0.0495</v>
      </c>
      <c r="G24" s="26" t="n">
        <f aca="false">SUM(I24:Y24)</f>
        <v>3712.5</v>
      </c>
      <c r="H24" s="29" t="n">
        <f aca="false">(1+IRR(I24:Y24,IF(SUM(I24:Y24)&lt;0,-0.05,0.01)))^4-1</f>
        <v>0.0501125624999987</v>
      </c>
      <c r="I24" s="35" t="n">
        <f aca="false">IF(I$22=0,-$D24,0)+IF(AND(I$22&gt;=2,MOD(I$22,2)=0,I$22&lt;=MIN(Assumptions!$E$23*4,12)),$D24*Assumptions!$F$23/2,0)+IF(Assumptions!$E$23*4&lt;=12,IF(I$22=Assumptions!$E$23*4,$D24,0),IF(I$22=12,$D24*$E24/100,0))</f>
        <v>-25000</v>
      </c>
      <c r="J24" s="35" t="n">
        <f aca="false">IF(J$22=0,-$D24,0)+IF(AND(J$22&gt;=2,MOD(J$22,2)=0,J$22&lt;=MIN(Assumptions!$E$23*4,12)),$D24*Assumptions!$F$23/2,0)+IF(Assumptions!$E$23*4&lt;=12,IF(J$22=Assumptions!$E$23*4,$D24,0),IF(J$22=12,$D24*$E24/100,0))</f>
        <v>0</v>
      </c>
      <c r="K24" s="35" t="n">
        <f aca="false">IF(K$22=0,-$D24,0)+IF(AND(K$22&gt;=2,MOD(K$22,2)=0,K$22&lt;=MIN(Assumptions!$E$23*4,12)),$D24*Assumptions!$F$23/2,0)+IF(Assumptions!$E$23*4&lt;=12,IF(K$22=Assumptions!$E$23*4,$D24,0),IF(K$22=12,$D24*$E24/100,0))</f>
        <v>618.75</v>
      </c>
      <c r="L24" s="35" t="n">
        <f aca="false">IF(L$22=0,-$D24,0)+IF(AND(L$22&gt;=2,MOD(L$22,2)=0,L$22&lt;=MIN(Assumptions!$E$23*4,12)),$D24*Assumptions!$F$23/2,0)+IF(Assumptions!$E$23*4&lt;=12,IF(L$22=Assumptions!$E$23*4,$D24,0),IF(L$22=12,$D24*$E24/100,0))</f>
        <v>0</v>
      </c>
      <c r="M24" s="35" t="n">
        <f aca="false">IF(M$22=0,-$D24,0)+IF(AND(M$22&gt;=2,MOD(M$22,2)=0,M$22&lt;=MIN(Assumptions!$E$23*4,12)),$D24*Assumptions!$F$23/2,0)+IF(Assumptions!$E$23*4&lt;=12,IF(M$22=Assumptions!$E$23*4,$D24,0),IF(M$22=12,$D24*$E24/100,0))</f>
        <v>618.75</v>
      </c>
      <c r="N24" s="35" t="n">
        <f aca="false">IF(N$22=0,-$D24,0)+IF(AND(N$22&gt;=2,MOD(N$22,2)=0,N$22&lt;=MIN(Assumptions!$E$23*4,12)),$D24*Assumptions!$F$23/2,0)+IF(Assumptions!$E$23*4&lt;=12,IF(N$22=Assumptions!$E$23*4,$D24,0),IF(N$22=12,$D24*$E24/100,0))</f>
        <v>0</v>
      </c>
      <c r="O24" s="35" t="n">
        <f aca="false">IF(O$22=0,-$D24,0)+IF(AND(O$22&gt;=2,MOD(O$22,2)=0,O$22&lt;=MIN(Assumptions!$E$23*4,12)),$D24*Assumptions!$F$23/2,0)+IF(Assumptions!$E$23*4&lt;=12,IF(O$22=Assumptions!$E$23*4,$D24,0),IF(O$22=12,$D24*$E24/100,0))</f>
        <v>618.75</v>
      </c>
      <c r="P24" s="35" t="n">
        <f aca="false">IF(P$22=0,-$D24,0)+IF(AND(P$22&gt;=2,MOD(P$22,2)=0,P$22&lt;=MIN(Assumptions!$E$23*4,12)),$D24*Assumptions!$F$23/2,0)+IF(Assumptions!$E$23*4&lt;=12,IF(P$22=Assumptions!$E$23*4,$D24,0),IF(P$22=12,$D24*$E24/100,0))</f>
        <v>0</v>
      </c>
      <c r="Q24" s="35" t="n">
        <f aca="false">IF(Q$22=0,-$D24,0)+IF(AND(Q$22&gt;=2,MOD(Q$22,2)=0,Q$22&lt;=MIN(Assumptions!$E$23*4,12)),$D24*Assumptions!$F$23/2,0)+IF(Assumptions!$E$23*4&lt;=12,IF(Q$22=Assumptions!$E$23*4,$D24,0),IF(Q$22=12,$D24*$E24/100,0))</f>
        <v>618.75</v>
      </c>
      <c r="R24" s="35" t="n">
        <f aca="false">IF(R$22=0,-$D24,0)+IF(AND(R$22&gt;=2,MOD(R$22,2)=0,R$22&lt;=MIN(Assumptions!$E$23*4,12)),$D24*Assumptions!$F$23/2,0)+IF(Assumptions!$E$23*4&lt;=12,IF(R$22=Assumptions!$E$23*4,$D24,0),IF(R$22=12,$D24*$E24/100,0))</f>
        <v>0</v>
      </c>
      <c r="S24" s="35" t="n">
        <f aca="false">IF(S$22=0,-$D24,0)+IF(AND(S$22&gt;=2,MOD(S$22,2)=0,S$22&lt;=MIN(Assumptions!$E$23*4,12)),$D24*Assumptions!$F$23/2,0)+IF(Assumptions!$E$23*4&lt;=12,IF(S$22=Assumptions!$E$23*4,$D24,0),IF(S$22=12,$D24*$E24/100,0))</f>
        <v>618.75</v>
      </c>
      <c r="T24" s="35" t="n">
        <f aca="false">IF(T$22=0,-$D24,0)+IF(AND(T$22&gt;=2,MOD(T$22,2)=0,T$22&lt;=MIN(Assumptions!$E$23*4,12)),$D24*Assumptions!$F$23/2,0)+IF(Assumptions!$E$23*4&lt;=12,IF(T$22=Assumptions!$E$23*4,$D24,0),IF(T$22=12,$D24*$E24/100,0))</f>
        <v>0</v>
      </c>
      <c r="U24" s="35" t="n">
        <f aca="false">IF(U$22=0,-$D24,0)+IF(AND(U$22&gt;=2,MOD(U$22,2)=0,U$22&lt;=MIN(Assumptions!$E$23*4,12)),$D24*Assumptions!$F$23/2,0)+IF(Assumptions!$E$23*4&lt;=12,IF(U$22=Assumptions!$E$23*4,$D24,0),IF(U$22=12,$D24*$E24/100,0))</f>
        <v>25618.75</v>
      </c>
      <c r="V24" s="35" t="n">
        <f aca="false">IF(V$22=0,-$D24,0)+IF(AND(V$22&gt;=2,MOD(V$22,2)=0,V$22&lt;=MIN(Assumptions!$E$23*4,12)),$D24*Assumptions!$F$23/2,0)+IF(Assumptions!$E$23*4&lt;=12,IF(V$22=Assumptions!$E$23*4,$D24,0),IF(V$22=12,$D24*$E24/100,0))</f>
        <v>0</v>
      </c>
      <c r="W24" s="35" t="n">
        <f aca="false">IF(W$22=0,-$D24,0)+IF(AND(W$22&gt;=2,MOD(W$22,2)=0,W$22&lt;=MIN(Assumptions!$E$23*4,12)),$D24*Assumptions!$F$23/2,0)+IF(Assumptions!$E$23*4&lt;=12,IF(W$22=Assumptions!$E$23*4,$D24,0),IF(W$22=12,$D24*$E24/100,0))</f>
        <v>0</v>
      </c>
      <c r="X24" s="35" t="n">
        <f aca="false">IF(X$22=0,-$D24,0)+IF(AND(X$22&gt;=2,MOD(X$22,2)=0,X$22&lt;=MIN(Assumptions!$E$23*4,12)),$D24*Assumptions!$F$23/2,0)+IF(Assumptions!$E$23*4&lt;=12,IF(X$22=Assumptions!$E$23*4,$D24,0),IF(X$22=12,$D24*$E24/100,0))</f>
        <v>0</v>
      </c>
      <c r="Y24" s="35" t="n">
        <f aca="false">IF(Y$22=0,-$D24,0)+IF(AND(Y$22&gt;=2,MOD(Y$22,2)=0,Y$22&lt;=MIN(Assumptions!$E$23*4,12)),$D24*Assumptions!$F$23/2,0)+IF(Assumptions!$E$23*4&lt;=12,IF(Y$22=Assumptions!$E$23*4,$D24,0),IF(Y$22=12,$D24*$E24/100,0))</f>
        <v>0</v>
      </c>
    </row>
    <row r="25" customFormat="false" ht="15" hidden="false" customHeight="false" outlineLevel="0" collapsed="false">
      <c r="B25" s="9" t="s">
        <v>38</v>
      </c>
      <c r="C25" s="9" t="s">
        <v>135</v>
      </c>
      <c r="D25" s="26" t="n">
        <f aca="false">Assumptions!$C$20</f>
        <v>25000</v>
      </c>
      <c r="E25" s="34" t="n">
        <f aca="false">IF(Assumptions!$E$24*4&lt;=12,100,PV((Assumptions!$F$24+$C$6+$C$8)/2,(Assumptions!$E$24*4-12)/2,-Assumptions!$F$24*100/2,-100))</f>
        <v>100</v>
      </c>
      <c r="F25" s="17" t="n">
        <f aca="false">Assumptions!$F$24</f>
        <v>0.0515</v>
      </c>
      <c r="G25" s="26" t="n">
        <f aca="false">SUM(I25:Y25)</f>
        <v>3862.5</v>
      </c>
      <c r="H25" s="29" t="n">
        <f aca="false">(1+IRR(I25:Y25,IF(SUM(I25:Y25)&lt;0,-0.05,0.01)))^4-1</f>
        <v>0.0521630624999945</v>
      </c>
      <c r="I25" s="35" t="n">
        <f aca="false">IF(I$22=0,-$D25,0)+IF(AND(I$22&gt;=2,MOD(I$22,2)=0,I$22&lt;=MIN(Assumptions!$E$24*4,12)),$D25*Assumptions!$F$24/2,0)+IF(Assumptions!$E$24*4&lt;=12,IF(I$22=Assumptions!$E$24*4,$D25,0),IF(I$22=12,$D25*$E25/100,0))</f>
        <v>-25000</v>
      </c>
      <c r="J25" s="35" t="n">
        <f aca="false">IF(J$22=0,-$D25,0)+IF(AND(J$22&gt;=2,MOD(J$22,2)=0,J$22&lt;=MIN(Assumptions!$E$24*4,12)),$D25*Assumptions!$F$24/2,0)+IF(Assumptions!$E$24*4&lt;=12,IF(J$22=Assumptions!$E$24*4,$D25,0),IF(J$22=12,$D25*$E25/100,0))</f>
        <v>0</v>
      </c>
      <c r="K25" s="35" t="n">
        <f aca="false">IF(K$22=0,-$D25,0)+IF(AND(K$22&gt;=2,MOD(K$22,2)=0,K$22&lt;=MIN(Assumptions!$E$24*4,12)),$D25*Assumptions!$F$24/2,0)+IF(Assumptions!$E$24*4&lt;=12,IF(K$22=Assumptions!$E$24*4,$D25,0),IF(K$22=12,$D25*$E25/100,0))</f>
        <v>643.75</v>
      </c>
      <c r="L25" s="35" t="n">
        <f aca="false">IF(L$22=0,-$D25,0)+IF(AND(L$22&gt;=2,MOD(L$22,2)=0,L$22&lt;=MIN(Assumptions!$E$24*4,12)),$D25*Assumptions!$F$24/2,0)+IF(Assumptions!$E$24*4&lt;=12,IF(L$22=Assumptions!$E$24*4,$D25,0),IF(L$22=12,$D25*$E25/100,0))</f>
        <v>0</v>
      </c>
      <c r="M25" s="35" t="n">
        <f aca="false">IF(M$22=0,-$D25,0)+IF(AND(M$22&gt;=2,MOD(M$22,2)=0,M$22&lt;=MIN(Assumptions!$E$24*4,12)),$D25*Assumptions!$F$24/2,0)+IF(Assumptions!$E$24*4&lt;=12,IF(M$22=Assumptions!$E$24*4,$D25,0),IF(M$22=12,$D25*$E25/100,0))</f>
        <v>643.75</v>
      </c>
      <c r="N25" s="35" t="n">
        <f aca="false">IF(N$22=0,-$D25,0)+IF(AND(N$22&gt;=2,MOD(N$22,2)=0,N$22&lt;=MIN(Assumptions!$E$24*4,12)),$D25*Assumptions!$F$24/2,0)+IF(Assumptions!$E$24*4&lt;=12,IF(N$22=Assumptions!$E$24*4,$D25,0),IF(N$22=12,$D25*$E25/100,0))</f>
        <v>0</v>
      </c>
      <c r="O25" s="35" t="n">
        <f aca="false">IF(O$22=0,-$D25,0)+IF(AND(O$22&gt;=2,MOD(O$22,2)=0,O$22&lt;=MIN(Assumptions!$E$24*4,12)),$D25*Assumptions!$F$24/2,0)+IF(Assumptions!$E$24*4&lt;=12,IF(O$22=Assumptions!$E$24*4,$D25,0),IF(O$22=12,$D25*$E25/100,0))</f>
        <v>643.75</v>
      </c>
      <c r="P25" s="35" t="n">
        <f aca="false">IF(P$22=0,-$D25,0)+IF(AND(P$22&gt;=2,MOD(P$22,2)=0,P$22&lt;=MIN(Assumptions!$E$24*4,12)),$D25*Assumptions!$F$24/2,0)+IF(Assumptions!$E$24*4&lt;=12,IF(P$22=Assumptions!$E$24*4,$D25,0),IF(P$22=12,$D25*$E25/100,0))</f>
        <v>0</v>
      </c>
      <c r="Q25" s="35" t="n">
        <f aca="false">IF(Q$22=0,-$D25,0)+IF(AND(Q$22&gt;=2,MOD(Q$22,2)=0,Q$22&lt;=MIN(Assumptions!$E$24*4,12)),$D25*Assumptions!$F$24/2,0)+IF(Assumptions!$E$24*4&lt;=12,IF(Q$22=Assumptions!$E$24*4,$D25,0),IF(Q$22=12,$D25*$E25/100,0))</f>
        <v>643.75</v>
      </c>
      <c r="R25" s="35" t="n">
        <f aca="false">IF(R$22=0,-$D25,0)+IF(AND(R$22&gt;=2,MOD(R$22,2)=0,R$22&lt;=MIN(Assumptions!$E$24*4,12)),$D25*Assumptions!$F$24/2,0)+IF(Assumptions!$E$24*4&lt;=12,IF(R$22=Assumptions!$E$24*4,$D25,0),IF(R$22=12,$D25*$E25/100,0))</f>
        <v>0</v>
      </c>
      <c r="S25" s="35" t="n">
        <f aca="false">IF(S$22=0,-$D25,0)+IF(AND(S$22&gt;=2,MOD(S$22,2)=0,S$22&lt;=MIN(Assumptions!$E$24*4,12)),$D25*Assumptions!$F$24/2,0)+IF(Assumptions!$E$24*4&lt;=12,IF(S$22=Assumptions!$E$24*4,$D25,0),IF(S$22=12,$D25*$E25/100,0))</f>
        <v>643.75</v>
      </c>
      <c r="T25" s="35" t="n">
        <f aca="false">IF(T$22=0,-$D25,0)+IF(AND(T$22&gt;=2,MOD(T$22,2)=0,T$22&lt;=MIN(Assumptions!$E$24*4,12)),$D25*Assumptions!$F$24/2,0)+IF(Assumptions!$E$24*4&lt;=12,IF(T$22=Assumptions!$E$24*4,$D25,0),IF(T$22=12,$D25*$E25/100,0))</f>
        <v>0</v>
      </c>
      <c r="U25" s="35" t="n">
        <f aca="false">IF(U$22=0,-$D25,0)+IF(AND(U$22&gt;=2,MOD(U$22,2)=0,U$22&lt;=MIN(Assumptions!$E$24*4,12)),$D25*Assumptions!$F$24/2,0)+IF(Assumptions!$E$24*4&lt;=12,IF(U$22=Assumptions!$E$24*4,$D25,0),IF(U$22=12,$D25*$E25/100,0))</f>
        <v>25643.75</v>
      </c>
      <c r="V25" s="35" t="n">
        <f aca="false">IF(V$22=0,-$D25,0)+IF(AND(V$22&gt;=2,MOD(V$22,2)=0,V$22&lt;=MIN(Assumptions!$E$24*4,12)),$D25*Assumptions!$F$24/2,0)+IF(Assumptions!$E$24*4&lt;=12,IF(V$22=Assumptions!$E$24*4,$D25,0),IF(V$22=12,$D25*$E25/100,0))</f>
        <v>0</v>
      </c>
      <c r="W25" s="35" t="n">
        <f aca="false">IF(W$22=0,-$D25,0)+IF(AND(W$22&gt;=2,MOD(W$22,2)=0,W$22&lt;=MIN(Assumptions!$E$24*4,12)),$D25*Assumptions!$F$24/2,0)+IF(Assumptions!$E$24*4&lt;=12,IF(W$22=Assumptions!$E$24*4,$D25,0),IF(W$22=12,$D25*$E25/100,0))</f>
        <v>0</v>
      </c>
      <c r="X25" s="35" t="n">
        <f aca="false">IF(X$22=0,-$D25,0)+IF(AND(X$22&gt;=2,MOD(X$22,2)=0,X$22&lt;=MIN(Assumptions!$E$24*4,12)),$D25*Assumptions!$F$24/2,0)+IF(Assumptions!$E$24*4&lt;=12,IF(X$22=Assumptions!$E$24*4,$D25,0),IF(X$22=12,$D25*$E25/100,0))</f>
        <v>0</v>
      </c>
      <c r="Y25" s="35" t="n">
        <f aca="false">IF(Y$22=0,-$D25,0)+IF(AND(Y$22&gt;=2,MOD(Y$22,2)=0,Y$22&lt;=MIN(Assumptions!$E$24*4,12)),$D25*Assumptions!$F$24/2,0)+IF(Assumptions!$E$24*4&lt;=12,IF(Y$22=Assumptions!$E$24*4,$D25,0),IF(Y$22=12,$D25*$E25/100,0))</f>
        <v>0</v>
      </c>
    </row>
    <row r="26" customFormat="false" ht="15" hidden="false" customHeight="false" outlineLevel="0" collapsed="false">
      <c r="B26" s="9" t="s">
        <v>39</v>
      </c>
      <c r="C26" s="9" t="s">
        <v>135</v>
      </c>
      <c r="D26" s="26" t="n">
        <f aca="false">Assumptions!$C$20</f>
        <v>25000</v>
      </c>
      <c r="E26" s="34" t="n">
        <f aca="false">IF(Assumptions!$E$25*4&lt;=12,100,PV((Assumptions!$F$25+$C$6+$C$8)/2,(Assumptions!$E$25*4-12)/2,-Assumptions!$F$25*100/2,-100))</f>
        <v>100</v>
      </c>
      <c r="F26" s="17" t="n">
        <f aca="false">Assumptions!$F$25</f>
        <v>0.053</v>
      </c>
      <c r="G26" s="26" t="n">
        <f aca="false">SUM(I26:Y26)</f>
        <v>3975</v>
      </c>
      <c r="H26" s="29" t="n">
        <f aca="false">(1+IRR(I26:Y26,IF(SUM(I26:Y26)&lt;0,-0.05,0.01)))^4-1</f>
        <v>0.0537022499999846</v>
      </c>
      <c r="I26" s="35" t="n">
        <f aca="false">IF(I$22=0,-$D26,0)+IF(AND(I$22&gt;=2,MOD(I$22,2)=0,I$22&lt;=MIN(Assumptions!$E$25*4,12)),$D26*Assumptions!$F$25/2,0)+IF(Assumptions!$E$25*4&lt;=12,IF(I$22=Assumptions!$E$25*4,$D26,0),IF(I$22=12,$D26*$E26/100,0))</f>
        <v>-25000</v>
      </c>
      <c r="J26" s="35" t="n">
        <f aca="false">IF(J$22=0,-$D26,0)+IF(AND(J$22&gt;=2,MOD(J$22,2)=0,J$22&lt;=MIN(Assumptions!$E$25*4,12)),$D26*Assumptions!$F$25/2,0)+IF(Assumptions!$E$25*4&lt;=12,IF(J$22=Assumptions!$E$25*4,$D26,0),IF(J$22=12,$D26*$E26/100,0))</f>
        <v>0</v>
      </c>
      <c r="K26" s="35" t="n">
        <f aca="false">IF(K$22=0,-$D26,0)+IF(AND(K$22&gt;=2,MOD(K$22,2)=0,K$22&lt;=MIN(Assumptions!$E$25*4,12)),$D26*Assumptions!$F$25/2,0)+IF(Assumptions!$E$25*4&lt;=12,IF(K$22=Assumptions!$E$25*4,$D26,0),IF(K$22=12,$D26*$E26/100,0))</f>
        <v>662.5</v>
      </c>
      <c r="L26" s="35" t="n">
        <f aca="false">IF(L$22=0,-$D26,0)+IF(AND(L$22&gt;=2,MOD(L$22,2)=0,L$22&lt;=MIN(Assumptions!$E$25*4,12)),$D26*Assumptions!$F$25/2,0)+IF(Assumptions!$E$25*4&lt;=12,IF(L$22=Assumptions!$E$25*4,$D26,0),IF(L$22=12,$D26*$E26/100,0))</f>
        <v>0</v>
      </c>
      <c r="M26" s="35" t="n">
        <f aca="false">IF(M$22=0,-$D26,0)+IF(AND(M$22&gt;=2,MOD(M$22,2)=0,M$22&lt;=MIN(Assumptions!$E$25*4,12)),$D26*Assumptions!$F$25/2,0)+IF(Assumptions!$E$25*4&lt;=12,IF(M$22=Assumptions!$E$25*4,$D26,0),IF(M$22=12,$D26*$E26/100,0))</f>
        <v>662.5</v>
      </c>
      <c r="N26" s="35" t="n">
        <f aca="false">IF(N$22=0,-$D26,0)+IF(AND(N$22&gt;=2,MOD(N$22,2)=0,N$22&lt;=MIN(Assumptions!$E$25*4,12)),$D26*Assumptions!$F$25/2,0)+IF(Assumptions!$E$25*4&lt;=12,IF(N$22=Assumptions!$E$25*4,$D26,0),IF(N$22=12,$D26*$E26/100,0))</f>
        <v>0</v>
      </c>
      <c r="O26" s="35" t="n">
        <f aca="false">IF(O$22=0,-$D26,0)+IF(AND(O$22&gt;=2,MOD(O$22,2)=0,O$22&lt;=MIN(Assumptions!$E$25*4,12)),$D26*Assumptions!$F$25/2,0)+IF(Assumptions!$E$25*4&lt;=12,IF(O$22=Assumptions!$E$25*4,$D26,0),IF(O$22=12,$D26*$E26/100,0))</f>
        <v>662.5</v>
      </c>
      <c r="P26" s="35" t="n">
        <f aca="false">IF(P$22=0,-$D26,0)+IF(AND(P$22&gt;=2,MOD(P$22,2)=0,P$22&lt;=MIN(Assumptions!$E$25*4,12)),$D26*Assumptions!$F$25/2,0)+IF(Assumptions!$E$25*4&lt;=12,IF(P$22=Assumptions!$E$25*4,$D26,0),IF(P$22=12,$D26*$E26/100,0))</f>
        <v>0</v>
      </c>
      <c r="Q26" s="35" t="n">
        <f aca="false">IF(Q$22=0,-$D26,0)+IF(AND(Q$22&gt;=2,MOD(Q$22,2)=0,Q$22&lt;=MIN(Assumptions!$E$25*4,12)),$D26*Assumptions!$F$25/2,0)+IF(Assumptions!$E$25*4&lt;=12,IF(Q$22=Assumptions!$E$25*4,$D26,0),IF(Q$22=12,$D26*$E26/100,0))</f>
        <v>662.5</v>
      </c>
      <c r="R26" s="35" t="n">
        <f aca="false">IF(R$22=0,-$D26,0)+IF(AND(R$22&gt;=2,MOD(R$22,2)=0,R$22&lt;=MIN(Assumptions!$E$25*4,12)),$D26*Assumptions!$F$25/2,0)+IF(Assumptions!$E$25*4&lt;=12,IF(R$22=Assumptions!$E$25*4,$D26,0),IF(R$22=12,$D26*$E26/100,0))</f>
        <v>0</v>
      </c>
      <c r="S26" s="35" t="n">
        <f aca="false">IF(S$22=0,-$D26,0)+IF(AND(S$22&gt;=2,MOD(S$22,2)=0,S$22&lt;=MIN(Assumptions!$E$25*4,12)),$D26*Assumptions!$F$25/2,0)+IF(Assumptions!$E$25*4&lt;=12,IF(S$22=Assumptions!$E$25*4,$D26,0),IF(S$22=12,$D26*$E26/100,0))</f>
        <v>662.5</v>
      </c>
      <c r="T26" s="35" t="n">
        <f aca="false">IF(T$22=0,-$D26,0)+IF(AND(T$22&gt;=2,MOD(T$22,2)=0,T$22&lt;=MIN(Assumptions!$E$25*4,12)),$D26*Assumptions!$F$25/2,0)+IF(Assumptions!$E$25*4&lt;=12,IF(T$22=Assumptions!$E$25*4,$D26,0),IF(T$22=12,$D26*$E26/100,0))</f>
        <v>0</v>
      </c>
      <c r="U26" s="35" t="n">
        <f aca="false">IF(U$22=0,-$D26,0)+IF(AND(U$22&gt;=2,MOD(U$22,2)=0,U$22&lt;=MIN(Assumptions!$E$25*4,12)),$D26*Assumptions!$F$25/2,0)+IF(Assumptions!$E$25*4&lt;=12,IF(U$22=Assumptions!$E$25*4,$D26,0),IF(U$22=12,$D26*$E26/100,0))</f>
        <v>25662.5</v>
      </c>
      <c r="V26" s="35" t="n">
        <f aca="false">IF(V$22=0,-$D26,0)+IF(AND(V$22&gt;=2,MOD(V$22,2)=0,V$22&lt;=MIN(Assumptions!$E$25*4,12)),$D26*Assumptions!$F$25/2,0)+IF(Assumptions!$E$25*4&lt;=12,IF(V$22=Assumptions!$E$25*4,$D26,0),IF(V$22=12,$D26*$E26/100,0))</f>
        <v>0</v>
      </c>
      <c r="W26" s="35" t="n">
        <f aca="false">IF(W$22=0,-$D26,0)+IF(AND(W$22&gt;=2,MOD(W$22,2)=0,W$22&lt;=MIN(Assumptions!$E$25*4,12)),$D26*Assumptions!$F$25/2,0)+IF(Assumptions!$E$25*4&lt;=12,IF(W$22=Assumptions!$E$25*4,$D26,0),IF(W$22=12,$D26*$E26/100,0))</f>
        <v>0</v>
      </c>
      <c r="X26" s="35" t="n">
        <f aca="false">IF(X$22=0,-$D26,0)+IF(AND(X$22&gt;=2,MOD(X$22,2)=0,X$22&lt;=MIN(Assumptions!$E$25*4,12)),$D26*Assumptions!$F$25/2,0)+IF(Assumptions!$E$25*4&lt;=12,IF(X$22=Assumptions!$E$25*4,$D26,0),IF(X$22=12,$D26*$E26/100,0))</f>
        <v>0</v>
      </c>
      <c r="Y26" s="35" t="n">
        <f aca="false">IF(Y$22=0,-$D26,0)+IF(AND(Y$22&gt;=2,MOD(Y$22,2)=0,Y$22&lt;=MIN(Assumptions!$E$25*4,12)),$D26*Assumptions!$F$25/2,0)+IF(Assumptions!$E$25*4&lt;=12,IF(Y$22=Assumptions!$E$25*4,$D26,0),IF(Y$22=12,$D26*$E26/100,0))</f>
        <v>0</v>
      </c>
    </row>
    <row r="27" customFormat="false" ht="15" hidden="false" customHeight="false" outlineLevel="0" collapsed="false">
      <c r="B27" s="9" t="s">
        <v>40</v>
      </c>
      <c r="C27" s="9" t="s">
        <v>135</v>
      </c>
      <c r="D27" s="26" t="n">
        <f aca="false">Assumptions!$C$20</f>
        <v>25000</v>
      </c>
      <c r="E27" s="34" t="n">
        <f aca="false">IF(Assumptions!$E$26*4&lt;=12,100,PV((Assumptions!$F$26+$C$6+$C$8)/2,(Assumptions!$E$26*4-12)/2,-Assumptions!$F$26*100/2,-100))</f>
        <v>100</v>
      </c>
      <c r="F27" s="17" t="n">
        <f aca="false">Assumptions!$F$26</f>
        <v>0.0545</v>
      </c>
      <c r="G27" s="26" t="n">
        <f aca="false">SUM(I27:Y27)</f>
        <v>4087.5</v>
      </c>
      <c r="H27" s="29" t="n">
        <f aca="false">(1+IRR(I27:Y27,IF(SUM(I27:Y27)&lt;0,-0.05,0.01)))^4-1</f>
        <v>0.0552425624999637</v>
      </c>
      <c r="I27" s="35" t="n">
        <f aca="false">IF(I$22=0,-$D27,0)+IF(AND(I$22&gt;=2,MOD(I$22,2)=0,I$22&lt;=MIN(Assumptions!$E$26*4,12)),$D27*Assumptions!$F$26/2,0)+IF(Assumptions!$E$26*4&lt;=12,IF(I$22=Assumptions!$E$26*4,$D27,0),IF(I$22=12,$D27*$E27/100,0))</f>
        <v>-25000</v>
      </c>
      <c r="J27" s="35" t="n">
        <f aca="false">IF(J$22=0,-$D27,0)+IF(AND(J$22&gt;=2,MOD(J$22,2)=0,J$22&lt;=MIN(Assumptions!$E$26*4,12)),$D27*Assumptions!$F$26/2,0)+IF(Assumptions!$E$26*4&lt;=12,IF(J$22=Assumptions!$E$26*4,$D27,0),IF(J$22=12,$D27*$E27/100,0))</f>
        <v>0</v>
      </c>
      <c r="K27" s="35" t="n">
        <f aca="false">IF(K$22=0,-$D27,0)+IF(AND(K$22&gt;=2,MOD(K$22,2)=0,K$22&lt;=MIN(Assumptions!$E$26*4,12)),$D27*Assumptions!$F$26/2,0)+IF(Assumptions!$E$26*4&lt;=12,IF(K$22=Assumptions!$E$26*4,$D27,0),IF(K$22=12,$D27*$E27/100,0))</f>
        <v>681.25</v>
      </c>
      <c r="L27" s="35" t="n">
        <f aca="false">IF(L$22=0,-$D27,0)+IF(AND(L$22&gt;=2,MOD(L$22,2)=0,L$22&lt;=MIN(Assumptions!$E$26*4,12)),$D27*Assumptions!$F$26/2,0)+IF(Assumptions!$E$26*4&lt;=12,IF(L$22=Assumptions!$E$26*4,$D27,0),IF(L$22=12,$D27*$E27/100,0))</f>
        <v>0</v>
      </c>
      <c r="M27" s="35" t="n">
        <f aca="false">IF(M$22=0,-$D27,0)+IF(AND(M$22&gt;=2,MOD(M$22,2)=0,M$22&lt;=MIN(Assumptions!$E$26*4,12)),$D27*Assumptions!$F$26/2,0)+IF(Assumptions!$E$26*4&lt;=12,IF(M$22=Assumptions!$E$26*4,$D27,0),IF(M$22=12,$D27*$E27/100,0))</f>
        <v>681.25</v>
      </c>
      <c r="N27" s="35" t="n">
        <f aca="false">IF(N$22=0,-$D27,0)+IF(AND(N$22&gt;=2,MOD(N$22,2)=0,N$22&lt;=MIN(Assumptions!$E$26*4,12)),$D27*Assumptions!$F$26/2,0)+IF(Assumptions!$E$26*4&lt;=12,IF(N$22=Assumptions!$E$26*4,$D27,0),IF(N$22=12,$D27*$E27/100,0))</f>
        <v>0</v>
      </c>
      <c r="O27" s="35" t="n">
        <f aca="false">IF(O$22=0,-$D27,0)+IF(AND(O$22&gt;=2,MOD(O$22,2)=0,O$22&lt;=MIN(Assumptions!$E$26*4,12)),$D27*Assumptions!$F$26/2,0)+IF(Assumptions!$E$26*4&lt;=12,IF(O$22=Assumptions!$E$26*4,$D27,0),IF(O$22=12,$D27*$E27/100,0))</f>
        <v>681.25</v>
      </c>
      <c r="P27" s="35" t="n">
        <f aca="false">IF(P$22=0,-$D27,0)+IF(AND(P$22&gt;=2,MOD(P$22,2)=0,P$22&lt;=MIN(Assumptions!$E$26*4,12)),$D27*Assumptions!$F$26/2,0)+IF(Assumptions!$E$26*4&lt;=12,IF(P$22=Assumptions!$E$26*4,$D27,0),IF(P$22=12,$D27*$E27/100,0))</f>
        <v>0</v>
      </c>
      <c r="Q27" s="35" t="n">
        <f aca="false">IF(Q$22=0,-$D27,0)+IF(AND(Q$22&gt;=2,MOD(Q$22,2)=0,Q$22&lt;=MIN(Assumptions!$E$26*4,12)),$D27*Assumptions!$F$26/2,0)+IF(Assumptions!$E$26*4&lt;=12,IF(Q$22=Assumptions!$E$26*4,$D27,0),IF(Q$22=12,$D27*$E27/100,0))</f>
        <v>681.25</v>
      </c>
      <c r="R27" s="35" t="n">
        <f aca="false">IF(R$22=0,-$D27,0)+IF(AND(R$22&gt;=2,MOD(R$22,2)=0,R$22&lt;=MIN(Assumptions!$E$26*4,12)),$D27*Assumptions!$F$26/2,0)+IF(Assumptions!$E$26*4&lt;=12,IF(R$22=Assumptions!$E$26*4,$D27,0),IF(R$22=12,$D27*$E27/100,0))</f>
        <v>0</v>
      </c>
      <c r="S27" s="35" t="n">
        <f aca="false">IF(S$22=0,-$D27,0)+IF(AND(S$22&gt;=2,MOD(S$22,2)=0,S$22&lt;=MIN(Assumptions!$E$26*4,12)),$D27*Assumptions!$F$26/2,0)+IF(Assumptions!$E$26*4&lt;=12,IF(S$22=Assumptions!$E$26*4,$D27,0),IF(S$22=12,$D27*$E27/100,0))</f>
        <v>681.25</v>
      </c>
      <c r="T27" s="35" t="n">
        <f aca="false">IF(T$22=0,-$D27,0)+IF(AND(T$22&gt;=2,MOD(T$22,2)=0,T$22&lt;=MIN(Assumptions!$E$26*4,12)),$D27*Assumptions!$F$26/2,0)+IF(Assumptions!$E$26*4&lt;=12,IF(T$22=Assumptions!$E$26*4,$D27,0),IF(T$22=12,$D27*$E27/100,0))</f>
        <v>0</v>
      </c>
      <c r="U27" s="35" t="n">
        <f aca="false">IF(U$22=0,-$D27,0)+IF(AND(U$22&gt;=2,MOD(U$22,2)=0,U$22&lt;=MIN(Assumptions!$E$26*4,12)),$D27*Assumptions!$F$26/2,0)+IF(Assumptions!$E$26*4&lt;=12,IF(U$22=Assumptions!$E$26*4,$D27,0),IF(U$22=12,$D27*$E27/100,0))</f>
        <v>25681.25</v>
      </c>
      <c r="V27" s="35" t="n">
        <f aca="false">IF(V$22=0,-$D27,0)+IF(AND(V$22&gt;=2,MOD(V$22,2)=0,V$22&lt;=MIN(Assumptions!$E$26*4,12)),$D27*Assumptions!$F$26/2,0)+IF(Assumptions!$E$26*4&lt;=12,IF(V$22=Assumptions!$E$26*4,$D27,0),IF(V$22=12,$D27*$E27/100,0))</f>
        <v>0</v>
      </c>
      <c r="W27" s="35" t="n">
        <f aca="false">IF(W$22=0,-$D27,0)+IF(AND(W$22&gt;=2,MOD(W$22,2)=0,W$22&lt;=MIN(Assumptions!$E$26*4,12)),$D27*Assumptions!$F$26/2,0)+IF(Assumptions!$E$26*4&lt;=12,IF(W$22=Assumptions!$E$26*4,$D27,0),IF(W$22=12,$D27*$E27/100,0))</f>
        <v>0</v>
      </c>
      <c r="X27" s="35" t="n">
        <f aca="false">IF(X$22=0,-$D27,0)+IF(AND(X$22&gt;=2,MOD(X$22,2)=0,X$22&lt;=MIN(Assumptions!$E$26*4,12)),$D27*Assumptions!$F$26/2,0)+IF(Assumptions!$E$26*4&lt;=12,IF(X$22=Assumptions!$E$26*4,$D27,0),IF(X$22=12,$D27*$E27/100,0))</f>
        <v>0</v>
      </c>
      <c r="Y27" s="35" t="n">
        <f aca="false">IF(Y$22=0,-$D27,0)+IF(AND(Y$22&gt;=2,MOD(Y$22,2)=0,Y$22&lt;=MIN(Assumptions!$E$26*4,12)),$D27*Assumptions!$F$26/2,0)+IF(Assumptions!$E$26*4&lt;=12,IF(Y$22=Assumptions!$E$26*4,$D27,0),IF(Y$22=12,$D27*$E27/100,0))</f>
        <v>0</v>
      </c>
    </row>
    <row r="28" customFormat="false" ht="15" hidden="false" customHeight="false" outlineLevel="0" collapsed="false">
      <c r="B28" s="9" t="s">
        <v>47</v>
      </c>
      <c r="C28" s="9" t="s">
        <v>136</v>
      </c>
      <c r="D28" s="19" t="n">
        <f aca="false">Assumptions!$F$32</f>
        <v>12375</v>
      </c>
      <c r="E28" s="34" t="n">
        <f aca="false">PV(($F28+$C$6+$C$9)/2,(Assumptions!$C$30*4-12)/2,-Assumptions!$D$32*100/2,-100)</f>
        <v>99.5584003138178</v>
      </c>
      <c r="F28" s="17" t="n">
        <f aca="false">RATE(Assumptions!$C$30*2,Assumptions!$D$32*100/2,-Assumptions!$E$32,100)*2</f>
        <v>0.0699042470751673</v>
      </c>
      <c r="G28" s="26" t="n">
        <f aca="false">SUM(I28:Y28)</f>
        <v>2601.05003922723</v>
      </c>
      <c r="H28" s="29" t="n">
        <f aca="false">(1+IRR(I28:Y28,IF(SUM(I28:Y28)&lt;0,-0.05,0.01)))^4-1</f>
        <v>0.0711258980149541</v>
      </c>
      <c r="I28" s="35" t="n">
        <f aca="false">IF(I$22=0,-Assumptions!$C$29*Assumptions!$E$32/100,0)+IF(AND(I$22&gt;=2,MOD(I$22,2)=0,I$22&lt;=IF(ISNUMBER($C$11),$C$11-2,12)),Assumptions!$C$29*Assumptions!$D$32/2,0)+IF(ISNUMBER($C$11),IF(I$22=$E$11,Assumptions!$C$29*$D$11,0),IF(I$22=12,Assumptions!$C$29*$E28/100,0))</f>
        <v>-12375</v>
      </c>
      <c r="J28" s="35" t="n">
        <f aca="false">IF(J$22=0,-Assumptions!$C$29*Assumptions!$E$32/100,0)+IF(AND(J$22&gt;=2,MOD(J$22,2)=0,J$22&lt;=IF(ISNUMBER($C$11),$C$11-2,12)),Assumptions!$C$29*Assumptions!$D$32/2,0)+IF(ISNUMBER($C$11),IF(J$22=$E$11,Assumptions!$C$29*$D$11,0),IF(J$22=12,Assumptions!$C$29*$E28/100,0))</f>
        <v>0</v>
      </c>
      <c r="K28" s="35" t="n">
        <f aca="false">IF(K$22=0,-Assumptions!$C$29*Assumptions!$E$32/100,0)+IF(AND(K$22&gt;=2,MOD(K$22,2)=0,K$22&lt;=IF(ISNUMBER($C$11),$C$11-2,12)),Assumptions!$C$29*Assumptions!$D$32/2,0)+IF(ISNUMBER($C$11),IF(K$22=$E$11,Assumptions!$C$29*$D$11,0),IF(K$22=12,Assumptions!$C$29*$E28/100,0))</f>
        <v>421.875</v>
      </c>
      <c r="L28" s="35" t="n">
        <f aca="false">IF(L$22=0,-Assumptions!$C$29*Assumptions!$E$32/100,0)+IF(AND(L$22&gt;=2,MOD(L$22,2)=0,L$22&lt;=IF(ISNUMBER($C$11),$C$11-2,12)),Assumptions!$C$29*Assumptions!$D$32/2,0)+IF(ISNUMBER($C$11),IF(L$22=$E$11,Assumptions!$C$29*$D$11,0),IF(L$22=12,Assumptions!$C$29*$E28/100,0))</f>
        <v>0</v>
      </c>
      <c r="M28" s="35" t="n">
        <f aca="false">IF(M$22=0,-Assumptions!$C$29*Assumptions!$E$32/100,0)+IF(AND(M$22&gt;=2,MOD(M$22,2)=0,M$22&lt;=IF(ISNUMBER($C$11),$C$11-2,12)),Assumptions!$C$29*Assumptions!$D$32/2,0)+IF(ISNUMBER($C$11),IF(M$22=$E$11,Assumptions!$C$29*$D$11,0),IF(M$22=12,Assumptions!$C$29*$E28/100,0))</f>
        <v>421.875</v>
      </c>
      <c r="N28" s="35" t="n">
        <f aca="false">IF(N$22=0,-Assumptions!$C$29*Assumptions!$E$32/100,0)+IF(AND(N$22&gt;=2,MOD(N$22,2)=0,N$22&lt;=IF(ISNUMBER($C$11),$C$11-2,12)),Assumptions!$C$29*Assumptions!$D$32/2,0)+IF(ISNUMBER($C$11),IF(N$22=$E$11,Assumptions!$C$29*$D$11,0),IF(N$22=12,Assumptions!$C$29*$E28/100,0))</f>
        <v>0</v>
      </c>
      <c r="O28" s="35" t="n">
        <f aca="false">IF(O$22=0,-Assumptions!$C$29*Assumptions!$E$32/100,0)+IF(AND(O$22&gt;=2,MOD(O$22,2)=0,O$22&lt;=IF(ISNUMBER($C$11),$C$11-2,12)),Assumptions!$C$29*Assumptions!$D$32/2,0)+IF(ISNUMBER($C$11),IF(O$22=$E$11,Assumptions!$C$29*$D$11,0),IF(O$22=12,Assumptions!$C$29*$E28/100,0))</f>
        <v>421.875</v>
      </c>
      <c r="P28" s="35" t="n">
        <f aca="false">IF(P$22=0,-Assumptions!$C$29*Assumptions!$E$32/100,0)+IF(AND(P$22&gt;=2,MOD(P$22,2)=0,P$22&lt;=IF(ISNUMBER($C$11),$C$11-2,12)),Assumptions!$C$29*Assumptions!$D$32/2,0)+IF(ISNUMBER($C$11),IF(P$22=$E$11,Assumptions!$C$29*$D$11,0),IF(P$22=12,Assumptions!$C$29*$E28/100,0))</f>
        <v>0</v>
      </c>
      <c r="Q28" s="35" t="n">
        <f aca="false">IF(Q$22=0,-Assumptions!$C$29*Assumptions!$E$32/100,0)+IF(AND(Q$22&gt;=2,MOD(Q$22,2)=0,Q$22&lt;=IF(ISNUMBER($C$11),$C$11-2,12)),Assumptions!$C$29*Assumptions!$D$32/2,0)+IF(ISNUMBER($C$11),IF(Q$22=$E$11,Assumptions!$C$29*$D$11,0),IF(Q$22=12,Assumptions!$C$29*$E28/100,0))</f>
        <v>421.875</v>
      </c>
      <c r="R28" s="35" t="n">
        <f aca="false">IF(R$22=0,-Assumptions!$C$29*Assumptions!$E$32/100,0)+IF(AND(R$22&gt;=2,MOD(R$22,2)=0,R$22&lt;=IF(ISNUMBER($C$11),$C$11-2,12)),Assumptions!$C$29*Assumptions!$D$32/2,0)+IF(ISNUMBER($C$11),IF(R$22=$E$11,Assumptions!$C$29*$D$11,0),IF(R$22=12,Assumptions!$C$29*$E28/100,0))</f>
        <v>0</v>
      </c>
      <c r="S28" s="35" t="n">
        <f aca="false">IF(S$22=0,-Assumptions!$C$29*Assumptions!$E$32/100,0)+IF(AND(S$22&gt;=2,MOD(S$22,2)=0,S$22&lt;=IF(ISNUMBER($C$11),$C$11-2,12)),Assumptions!$C$29*Assumptions!$D$32/2,0)+IF(ISNUMBER($C$11),IF(S$22=$E$11,Assumptions!$C$29*$D$11,0),IF(S$22=12,Assumptions!$C$29*$E28/100,0))</f>
        <v>421.875</v>
      </c>
      <c r="T28" s="35" t="n">
        <f aca="false">IF(T$22=0,-Assumptions!$C$29*Assumptions!$E$32/100,0)+IF(AND(T$22&gt;=2,MOD(T$22,2)=0,T$22&lt;=IF(ISNUMBER($C$11),$C$11-2,12)),Assumptions!$C$29*Assumptions!$D$32/2,0)+IF(ISNUMBER($C$11),IF(T$22=$E$11,Assumptions!$C$29*$D$11,0),IF(T$22=12,Assumptions!$C$29*$E28/100,0))</f>
        <v>0</v>
      </c>
      <c r="U28" s="35" t="n">
        <f aca="false">IF(U$22=0,-Assumptions!$C$29*Assumptions!$E$32/100,0)+IF(AND(U$22&gt;=2,MOD(U$22,2)=0,U$22&lt;=IF(ISNUMBER($C$11),$C$11-2,12)),Assumptions!$C$29*Assumptions!$D$32/2,0)+IF(ISNUMBER($C$11),IF(U$22=$E$11,Assumptions!$C$29*$D$11,0),IF(U$22=12,Assumptions!$C$29*$E28/100,0))</f>
        <v>12866.6750392272</v>
      </c>
      <c r="V28" s="35" t="n">
        <f aca="false">IF(V$22=0,-Assumptions!$C$29*Assumptions!$E$32/100,0)+IF(AND(V$22&gt;=2,MOD(V$22,2)=0,V$22&lt;=IF(ISNUMBER($C$11),$C$11-2,12)),Assumptions!$C$29*Assumptions!$D$32/2,0)+IF(ISNUMBER($C$11),IF(V$22=$E$11,Assumptions!$C$29*$D$11,0),IF(V$22=12,Assumptions!$C$29*$E28/100,0))</f>
        <v>0</v>
      </c>
      <c r="W28" s="35" t="n">
        <f aca="false">IF(W$22=0,-Assumptions!$C$29*Assumptions!$E$32/100,0)+IF(AND(W$22&gt;=2,MOD(W$22,2)=0,W$22&lt;=IF(ISNUMBER($C$11),$C$11-2,12)),Assumptions!$C$29*Assumptions!$D$32/2,0)+IF(ISNUMBER($C$11),IF(W$22=$E$11,Assumptions!$C$29*$D$11,0),IF(W$22=12,Assumptions!$C$29*$E28/100,0))</f>
        <v>0</v>
      </c>
      <c r="X28" s="35" t="n">
        <f aca="false">IF(X$22=0,-Assumptions!$C$29*Assumptions!$E$32/100,0)+IF(AND(X$22&gt;=2,MOD(X$22,2)=0,X$22&lt;=IF(ISNUMBER($C$11),$C$11-2,12)),Assumptions!$C$29*Assumptions!$D$32/2,0)+IF(ISNUMBER($C$11),IF(X$22=$E$11,Assumptions!$C$29*$D$11,0),IF(X$22=12,Assumptions!$C$29*$E28/100,0))</f>
        <v>0</v>
      </c>
      <c r="Y28" s="35" t="n">
        <f aca="false">IF(Y$22=0,-Assumptions!$C$29*Assumptions!$E$32/100,0)+IF(AND(Y$22&gt;=2,MOD(Y$22,2)=0,Y$22&lt;=IF(ISNUMBER($C$11),$C$11-2,12)),Assumptions!$C$29*Assumptions!$D$32/2,0)+IF(ISNUMBER($C$11),IF(Y$22=$E$11,Assumptions!$C$29*$D$11,0),IF(Y$22=12,Assumptions!$C$29*$E28/100,0))</f>
        <v>0</v>
      </c>
    </row>
    <row r="29" customFormat="false" ht="15" hidden="false" customHeight="false" outlineLevel="0" collapsed="false">
      <c r="B29" s="9" t="s">
        <v>48</v>
      </c>
      <c r="C29" s="9" t="s">
        <v>136</v>
      </c>
      <c r="D29" s="19" t="n">
        <f aca="false">Assumptions!$F$33</f>
        <v>12312.5</v>
      </c>
      <c r="E29" s="34" t="n">
        <f aca="false">PV(($F29+$C$6+$C$9)/2,(Assumptions!$C$30*4-12)/2,-Assumptions!$D$33*100/2,-100)</f>
        <v>99.3343027458663</v>
      </c>
      <c r="F29" s="17" t="n">
        <f aca="false">RATE(Assumptions!$C$30*2,Assumptions!$D$33*100/2,-Assumptions!$E$33,100)*2</f>
        <v>0.0736404123832243</v>
      </c>
      <c r="G29" s="26" t="n">
        <f aca="false">SUM(I29:Y29)</f>
        <v>2729.28784323328</v>
      </c>
      <c r="H29" s="29" t="n">
        <f aca="false">(1+IRR(I29:Y29,IF(SUM(I29:Y29)&lt;0,-0.05,0.01)))^4-1</f>
        <v>0.0749961399672177</v>
      </c>
      <c r="I29" s="35" t="n">
        <f aca="false">IF(I$22=0,-Assumptions!$C$29*Assumptions!$E$33/100,0)+IF(AND(I$22&gt;=2,MOD(I$22,2)=0,I$22&lt;=IF(ISNUMBER($C$12),$C$12-2,12)),Assumptions!$C$29*Assumptions!$D$33/2,0)+IF(ISNUMBER($C$12),IF(I$22=$E$12,Assumptions!$C$29*$D$12,0),IF(I$22=12,Assumptions!$C$29*$E29/100,0))</f>
        <v>-12312.5</v>
      </c>
      <c r="J29" s="35" t="n">
        <f aca="false">IF(J$22=0,-Assumptions!$C$29*Assumptions!$E$33/100,0)+IF(AND(J$22&gt;=2,MOD(J$22,2)=0,J$22&lt;=IF(ISNUMBER($C$12),$C$12-2,12)),Assumptions!$C$29*Assumptions!$D$33/2,0)+IF(ISNUMBER($C$12),IF(J$22=$E$12,Assumptions!$C$29*$D$12,0),IF(J$22=12,Assumptions!$C$29*$E29/100,0))</f>
        <v>0</v>
      </c>
      <c r="K29" s="35" t="n">
        <f aca="false">IF(K$22=0,-Assumptions!$C$29*Assumptions!$E$33/100,0)+IF(AND(K$22&gt;=2,MOD(K$22,2)=0,K$22&lt;=IF(ISNUMBER($C$12),$C$12-2,12)),Assumptions!$C$29*Assumptions!$D$33/2,0)+IF(ISNUMBER($C$12),IF(K$22=$E$12,Assumptions!$C$29*$D$12,0),IF(K$22=12,Assumptions!$C$29*$E29/100,0))</f>
        <v>437.5</v>
      </c>
      <c r="L29" s="35" t="n">
        <f aca="false">IF(L$22=0,-Assumptions!$C$29*Assumptions!$E$33/100,0)+IF(AND(L$22&gt;=2,MOD(L$22,2)=0,L$22&lt;=IF(ISNUMBER($C$12),$C$12-2,12)),Assumptions!$C$29*Assumptions!$D$33/2,0)+IF(ISNUMBER($C$12),IF(L$22=$E$12,Assumptions!$C$29*$D$12,0),IF(L$22=12,Assumptions!$C$29*$E29/100,0))</f>
        <v>0</v>
      </c>
      <c r="M29" s="35" t="n">
        <f aca="false">IF(M$22=0,-Assumptions!$C$29*Assumptions!$E$33/100,0)+IF(AND(M$22&gt;=2,MOD(M$22,2)=0,M$22&lt;=IF(ISNUMBER($C$12),$C$12-2,12)),Assumptions!$C$29*Assumptions!$D$33/2,0)+IF(ISNUMBER($C$12),IF(M$22=$E$12,Assumptions!$C$29*$D$12,0),IF(M$22=12,Assumptions!$C$29*$E29/100,0))</f>
        <v>437.5</v>
      </c>
      <c r="N29" s="35" t="n">
        <f aca="false">IF(N$22=0,-Assumptions!$C$29*Assumptions!$E$33/100,0)+IF(AND(N$22&gt;=2,MOD(N$22,2)=0,N$22&lt;=IF(ISNUMBER($C$12),$C$12-2,12)),Assumptions!$C$29*Assumptions!$D$33/2,0)+IF(ISNUMBER($C$12),IF(N$22=$E$12,Assumptions!$C$29*$D$12,0),IF(N$22=12,Assumptions!$C$29*$E29/100,0))</f>
        <v>0</v>
      </c>
      <c r="O29" s="35" t="n">
        <f aca="false">IF(O$22=0,-Assumptions!$C$29*Assumptions!$E$33/100,0)+IF(AND(O$22&gt;=2,MOD(O$22,2)=0,O$22&lt;=IF(ISNUMBER($C$12),$C$12-2,12)),Assumptions!$C$29*Assumptions!$D$33/2,0)+IF(ISNUMBER($C$12),IF(O$22=$E$12,Assumptions!$C$29*$D$12,0),IF(O$22=12,Assumptions!$C$29*$E29/100,0))</f>
        <v>437.5</v>
      </c>
      <c r="P29" s="35" t="n">
        <f aca="false">IF(P$22=0,-Assumptions!$C$29*Assumptions!$E$33/100,0)+IF(AND(P$22&gt;=2,MOD(P$22,2)=0,P$22&lt;=IF(ISNUMBER($C$12),$C$12-2,12)),Assumptions!$C$29*Assumptions!$D$33/2,0)+IF(ISNUMBER($C$12),IF(P$22=$E$12,Assumptions!$C$29*$D$12,0),IF(P$22=12,Assumptions!$C$29*$E29/100,0))</f>
        <v>0</v>
      </c>
      <c r="Q29" s="35" t="n">
        <f aca="false">IF(Q$22=0,-Assumptions!$C$29*Assumptions!$E$33/100,0)+IF(AND(Q$22&gt;=2,MOD(Q$22,2)=0,Q$22&lt;=IF(ISNUMBER($C$12),$C$12-2,12)),Assumptions!$C$29*Assumptions!$D$33/2,0)+IF(ISNUMBER($C$12),IF(Q$22=$E$12,Assumptions!$C$29*$D$12,0),IF(Q$22=12,Assumptions!$C$29*$E29/100,0))</f>
        <v>437.5</v>
      </c>
      <c r="R29" s="35" t="n">
        <f aca="false">IF(R$22=0,-Assumptions!$C$29*Assumptions!$E$33/100,0)+IF(AND(R$22&gt;=2,MOD(R$22,2)=0,R$22&lt;=IF(ISNUMBER($C$12),$C$12-2,12)),Assumptions!$C$29*Assumptions!$D$33/2,0)+IF(ISNUMBER($C$12),IF(R$22=$E$12,Assumptions!$C$29*$D$12,0),IF(R$22=12,Assumptions!$C$29*$E29/100,0))</f>
        <v>0</v>
      </c>
      <c r="S29" s="35" t="n">
        <f aca="false">IF(S$22=0,-Assumptions!$C$29*Assumptions!$E$33/100,0)+IF(AND(S$22&gt;=2,MOD(S$22,2)=0,S$22&lt;=IF(ISNUMBER($C$12),$C$12-2,12)),Assumptions!$C$29*Assumptions!$D$33/2,0)+IF(ISNUMBER($C$12),IF(S$22=$E$12,Assumptions!$C$29*$D$12,0),IF(S$22=12,Assumptions!$C$29*$E29/100,0))</f>
        <v>437.5</v>
      </c>
      <c r="T29" s="35" t="n">
        <f aca="false">IF(T$22=0,-Assumptions!$C$29*Assumptions!$E$33/100,0)+IF(AND(T$22&gt;=2,MOD(T$22,2)=0,T$22&lt;=IF(ISNUMBER($C$12),$C$12-2,12)),Assumptions!$C$29*Assumptions!$D$33/2,0)+IF(ISNUMBER($C$12),IF(T$22=$E$12,Assumptions!$C$29*$D$12,0),IF(T$22=12,Assumptions!$C$29*$E29/100,0))</f>
        <v>0</v>
      </c>
      <c r="U29" s="35" t="n">
        <f aca="false">IF(U$22=0,-Assumptions!$C$29*Assumptions!$E$33/100,0)+IF(AND(U$22&gt;=2,MOD(U$22,2)=0,U$22&lt;=IF(ISNUMBER($C$12),$C$12-2,12)),Assumptions!$C$29*Assumptions!$D$33/2,0)+IF(ISNUMBER($C$12),IF(U$22=$E$12,Assumptions!$C$29*$D$12,0),IF(U$22=12,Assumptions!$C$29*$E29/100,0))</f>
        <v>12854.2878432333</v>
      </c>
      <c r="V29" s="35" t="n">
        <f aca="false">IF(V$22=0,-Assumptions!$C$29*Assumptions!$E$33/100,0)+IF(AND(V$22&gt;=2,MOD(V$22,2)=0,V$22&lt;=IF(ISNUMBER($C$12),$C$12-2,12)),Assumptions!$C$29*Assumptions!$D$33/2,0)+IF(ISNUMBER($C$12),IF(V$22=$E$12,Assumptions!$C$29*$D$12,0),IF(V$22=12,Assumptions!$C$29*$E29/100,0))</f>
        <v>0</v>
      </c>
      <c r="W29" s="35" t="n">
        <f aca="false">IF(W$22=0,-Assumptions!$C$29*Assumptions!$E$33/100,0)+IF(AND(W$22&gt;=2,MOD(W$22,2)=0,W$22&lt;=IF(ISNUMBER($C$12),$C$12-2,12)),Assumptions!$C$29*Assumptions!$D$33/2,0)+IF(ISNUMBER($C$12),IF(W$22=$E$12,Assumptions!$C$29*$D$12,0),IF(W$22=12,Assumptions!$C$29*$E29/100,0))</f>
        <v>0</v>
      </c>
      <c r="X29" s="35" t="n">
        <f aca="false">IF(X$22=0,-Assumptions!$C$29*Assumptions!$E$33/100,0)+IF(AND(X$22&gt;=2,MOD(X$22,2)=0,X$22&lt;=IF(ISNUMBER($C$12),$C$12-2,12)),Assumptions!$C$29*Assumptions!$D$33/2,0)+IF(ISNUMBER($C$12),IF(X$22=$E$12,Assumptions!$C$29*$D$12,0),IF(X$22=12,Assumptions!$C$29*$E29/100,0))</f>
        <v>0</v>
      </c>
      <c r="Y29" s="35" t="n">
        <f aca="false">IF(Y$22=0,-Assumptions!$C$29*Assumptions!$E$33/100,0)+IF(AND(Y$22&gt;=2,MOD(Y$22,2)=0,Y$22&lt;=IF(ISNUMBER($C$12),$C$12-2,12)),Assumptions!$C$29*Assumptions!$D$33/2,0)+IF(ISNUMBER($C$12),IF(Y$22=$E$12,Assumptions!$C$29*$D$12,0),IF(Y$22=12,Assumptions!$C$29*$E29/100,0))</f>
        <v>0</v>
      </c>
    </row>
    <row r="30" customFormat="false" ht="15" hidden="false" customHeight="false" outlineLevel="0" collapsed="false">
      <c r="B30" s="9" t="s">
        <v>49</v>
      </c>
      <c r="C30" s="9" t="s">
        <v>136</v>
      </c>
      <c r="D30" s="19" t="n">
        <f aca="false">Assumptions!$F$34</f>
        <v>12250</v>
      </c>
      <c r="E30" s="34" t="n">
        <f aca="false">PV(($F30+$C$6+$C$9)/2,(Assumptions!$C$30*4-12)/2,-Assumptions!$D$34*100/2,-100)</f>
        <v>99.1079856396595</v>
      </c>
      <c r="F30" s="17" t="n">
        <f aca="false">RATE(Assumptions!$C$30*2,Assumptions!$D$34*100/2,-Assumptions!$E$34,100)*2</f>
        <v>0.0773997713205988</v>
      </c>
      <c r="G30" s="26" t="n">
        <f aca="false">SUM(I30:Y30)</f>
        <v>2857.24820495744</v>
      </c>
      <c r="H30" s="29" t="n">
        <f aca="false">(1+IRR(I30:Y30,IF(SUM(I30:Y30)&lt;0,-0.05,0.01)))^4-1</f>
        <v>0.0788974524707193</v>
      </c>
      <c r="I30" s="35" t="n">
        <f aca="false">IF(I$22=0,-Assumptions!$C$29*Assumptions!$E$34/100,0)+IF(AND(I$22&gt;=2,MOD(I$22,2)=0,I$22&lt;=IF(ISNUMBER($C$13),$C$13-2,12)),Assumptions!$C$29*Assumptions!$D$34/2,0)+IF(ISNUMBER($C$13),IF(I$22=$E$13,Assumptions!$C$29*$D$13,0),IF(I$22=12,Assumptions!$C$29*$E30/100,0))</f>
        <v>-12250</v>
      </c>
      <c r="J30" s="35" t="n">
        <f aca="false">IF(J$22=0,-Assumptions!$C$29*Assumptions!$E$34/100,0)+IF(AND(J$22&gt;=2,MOD(J$22,2)=0,J$22&lt;=IF(ISNUMBER($C$13),$C$13-2,12)),Assumptions!$C$29*Assumptions!$D$34/2,0)+IF(ISNUMBER($C$13),IF(J$22=$E$13,Assumptions!$C$29*$D$13,0),IF(J$22=12,Assumptions!$C$29*$E30/100,0))</f>
        <v>0</v>
      </c>
      <c r="K30" s="35" t="n">
        <f aca="false">IF(K$22=0,-Assumptions!$C$29*Assumptions!$E$34/100,0)+IF(AND(K$22&gt;=2,MOD(K$22,2)=0,K$22&lt;=IF(ISNUMBER($C$13),$C$13-2,12)),Assumptions!$C$29*Assumptions!$D$34/2,0)+IF(ISNUMBER($C$13),IF(K$22=$E$13,Assumptions!$C$29*$D$13,0),IF(K$22=12,Assumptions!$C$29*$E30/100,0))</f>
        <v>453.125</v>
      </c>
      <c r="L30" s="35" t="n">
        <f aca="false">IF(L$22=0,-Assumptions!$C$29*Assumptions!$E$34/100,0)+IF(AND(L$22&gt;=2,MOD(L$22,2)=0,L$22&lt;=IF(ISNUMBER($C$13),$C$13-2,12)),Assumptions!$C$29*Assumptions!$D$34/2,0)+IF(ISNUMBER($C$13),IF(L$22=$E$13,Assumptions!$C$29*$D$13,0),IF(L$22=12,Assumptions!$C$29*$E30/100,0))</f>
        <v>0</v>
      </c>
      <c r="M30" s="35" t="n">
        <f aca="false">IF(M$22=0,-Assumptions!$C$29*Assumptions!$E$34/100,0)+IF(AND(M$22&gt;=2,MOD(M$22,2)=0,M$22&lt;=IF(ISNUMBER($C$13),$C$13-2,12)),Assumptions!$C$29*Assumptions!$D$34/2,0)+IF(ISNUMBER($C$13),IF(M$22=$E$13,Assumptions!$C$29*$D$13,0),IF(M$22=12,Assumptions!$C$29*$E30/100,0))</f>
        <v>453.125</v>
      </c>
      <c r="N30" s="35" t="n">
        <f aca="false">IF(N$22=0,-Assumptions!$C$29*Assumptions!$E$34/100,0)+IF(AND(N$22&gt;=2,MOD(N$22,2)=0,N$22&lt;=IF(ISNUMBER($C$13),$C$13-2,12)),Assumptions!$C$29*Assumptions!$D$34/2,0)+IF(ISNUMBER($C$13),IF(N$22=$E$13,Assumptions!$C$29*$D$13,0),IF(N$22=12,Assumptions!$C$29*$E30/100,0))</f>
        <v>0</v>
      </c>
      <c r="O30" s="35" t="n">
        <f aca="false">IF(O$22=0,-Assumptions!$C$29*Assumptions!$E$34/100,0)+IF(AND(O$22&gt;=2,MOD(O$22,2)=0,O$22&lt;=IF(ISNUMBER($C$13),$C$13-2,12)),Assumptions!$C$29*Assumptions!$D$34/2,0)+IF(ISNUMBER($C$13),IF(O$22=$E$13,Assumptions!$C$29*$D$13,0),IF(O$22=12,Assumptions!$C$29*$E30/100,0))</f>
        <v>453.125</v>
      </c>
      <c r="P30" s="35" t="n">
        <f aca="false">IF(P$22=0,-Assumptions!$C$29*Assumptions!$E$34/100,0)+IF(AND(P$22&gt;=2,MOD(P$22,2)=0,P$22&lt;=IF(ISNUMBER($C$13),$C$13-2,12)),Assumptions!$C$29*Assumptions!$D$34/2,0)+IF(ISNUMBER($C$13),IF(P$22=$E$13,Assumptions!$C$29*$D$13,0),IF(P$22=12,Assumptions!$C$29*$E30/100,0))</f>
        <v>0</v>
      </c>
      <c r="Q30" s="35" t="n">
        <f aca="false">IF(Q$22=0,-Assumptions!$C$29*Assumptions!$E$34/100,0)+IF(AND(Q$22&gt;=2,MOD(Q$22,2)=0,Q$22&lt;=IF(ISNUMBER($C$13),$C$13-2,12)),Assumptions!$C$29*Assumptions!$D$34/2,0)+IF(ISNUMBER($C$13),IF(Q$22=$E$13,Assumptions!$C$29*$D$13,0),IF(Q$22=12,Assumptions!$C$29*$E30/100,0))</f>
        <v>453.125</v>
      </c>
      <c r="R30" s="35" t="n">
        <f aca="false">IF(R$22=0,-Assumptions!$C$29*Assumptions!$E$34/100,0)+IF(AND(R$22&gt;=2,MOD(R$22,2)=0,R$22&lt;=IF(ISNUMBER($C$13),$C$13-2,12)),Assumptions!$C$29*Assumptions!$D$34/2,0)+IF(ISNUMBER($C$13),IF(R$22=$E$13,Assumptions!$C$29*$D$13,0),IF(R$22=12,Assumptions!$C$29*$E30/100,0))</f>
        <v>0</v>
      </c>
      <c r="S30" s="35" t="n">
        <f aca="false">IF(S$22=0,-Assumptions!$C$29*Assumptions!$E$34/100,0)+IF(AND(S$22&gt;=2,MOD(S$22,2)=0,S$22&lt;=IF(ISNUMBER($C$13),$C$13-2,12)),Assumptions!$C$29*Assumptions!$D$34/2,0)+IF(ISNUMBER($C$13),IF(S$22=$E$13,Assumptions!$C$29*$D$13,0),IF(S$22=12,Assumptions!$C$29*$E30/100,0))</f>
        <v>453.125</v>
      </c>
      <c r="T30" s="35" t="n">
        <f aca="false">IF(T$22=0,-Assumptions!$C$29*Assumptions!$E$34/100,0)+IF(AND(T$22&gt;=2,MOD(T$22,2)=0,T$22&lt;=IF(ISNUMBER($C$13),$C$13-2,12)),Assumptions!$C$29*Assumptions!$D$34/2,0)+IF(ISNUMBER($C$13),IF(T$22=$E$13,Assumptions!$C$29*$D$13,0),IF(T$22=12,Assumptions!$C$29*$E30/100,0))</f>
        <v>0</v>
      </c>
      <c r="U30" s="35" t="n">
        <f aca="false">IF(U$22=0,-Assumptions!$C$29*Assumptions!$E$34/100,0)+IF(AND(U$22&gt;=2,MOD(U$22,2)=0,U$22&lt;=IF(ISNUMBER($C$13),$C$13-2,12)),Assumptions!$C$29*Assumptions!$D$34/2,0)+IF(ISNUMBER($C$13),IF(U$22=$E$13,Assumptions!$C$29*$D$13,0),IF(U$22=12,Assumptions!$C$29*$E30/100,0))</f>
        <v>12841.6232049574</v>
      </c>
      <c r="V30" s="35" t="n">
        <f aca="false">IF(V$22=0,-Assumptions!$C$29*Assumptions!$E$34/100,0)+IF(AND(V$22&gt;=2,MOD(V$22,2)=0,V$22&lt;=IF(ISNUMBER($C$13),$C$13-2,12)),Assumptions!$C$29*Assumptions!$D$34/2,0)+IF(ISNUMBER($C$13),IF(V$22=$E$13,Assumptions!$C$29*$D$13,0),IF(V$22=12,Assumptions!$C$29*$E30/100,0))</f>
        <v>0</v>
      </c>
      <c r="W30" s="35" t="n">
        <f aca="false">IF(W$22=0,-Assumptions!$C$29*Assumptions!$E$34/100,0)+IF(AND(W$22&gt;=2,MOD(W$22,2)=0,W$22&lt;=IF(ISNUMBER($C$13),$C$13-2,12)),Assumptions!$C$29*Assumptions!$D$34/2,0)+IF(ISNUMBER($C$13),IF(W$22=$E$13,Assumptions!$C$29*$D$13,0),IF(W$22=12,Assumptions!$C$29*$E30/100,0))</f>
        <v>0</v>
      </c>
      <c r="X30" s="35" t="n">
        <f aca="false">IF(X$22=0,-Assumptions!$C$29*Assumptions!$E$34/100,0)+IF(AND(X$22&gt;=2,MOD(X$22,2)=0,X$22&lt;=IF(ISNUMBER($C$13),$C$13-2,12)),Assumptions!$C$29*Assumptions!$D$34/2,0)+IF(ISNUMBER($C$13),IF(X$22=$E$13,Assumptions!$C$29*$D$13,0),IF(X$22=12,Assumptions!$C$29*$E30/100,0))</f>
        <v>0</v>
      </c>
      <c r="Y30" s="35" t="n">
        <f aca="false">IF(Y$22=0,-Assumptions!$C$29*Assumptions!$E$34/100,0)+IF(AND(Y$22&gt;=2,MOD(Y$22,2)=0,Y$22&lt;=IF(ISNUMBER($C$13),$C$13-2,12)),Assumptions!$C$29*Assumptions!$D$34/2,0)+IF(ISNUMBER($C$13),IF(Y$22=$E$13,Assumptions!$C$29*$D$13,0),IF(Y$22=12,Assumptions!$C$29*$E30/100,0))</f>
        <v>0</v>
      </c>
    </row>
    <row r="31" customFormat="false" ht="15" hidden="false" customHeight="false" outlineLevel="0" collapsed="false">
      <c r="B31" s="9" t="s">
        <v>50</v>
      </c>
      <c r="C31" s="9" t="s">
        <v>136</v>
      </c>
      <c r="D31" s="19" t="n">
        <f aca="false">Assumptions!$F$35</f>
        <v>12187.5</v>
      </c>
      <c r="E31" s="34" t="n">
        <f aca="false">PV(($F31+$C$6+$C$9)/2,(Assumptions!$C$30*4-12)/2,-Assumptions!$D$35*100/2,-100)</f>
        <v>98.8794329841845</v>
      </c>
      <c r="F31" s="17" t="n">
        <f aca="false">RATE(Assumptions!$C$30*2,Assumptions!$D$35*100/2,-Assumptions!$E$35,100)*2</f>
        <v>0.0811827080590467</v>
      </c>
      <c r="G31" s="26" t="n">
        <f aca="false">SUM(I31:Y31)</f>
        <v>2984.92912302306</v>
      </c>
      <c r="H31" s="29" t="n">
        <f aca="false">(1+IRR(I31:Y31,IF(SUM(I31:Y31)&lt;0,-0.05,0.01)))^4-1</f>
        <v>0.0828303660809961</v>
      </c>
      <c r="I31" s="35" t="n">
        <f aca="false">IF(I$22=0,-Assumptions!$C$29*Assumptions!$E$35/100,0)+IF(AND(I$22&gt;=2,MOD(I$22,2)=0,I$22&lt;=IF(ISNUMBER($C$14),$C$14-2,12)),Assumptions!$C$29*Assumptions!$D$35/2,0)+IF(ISNUMBER($C$14),IF(I$22=$E$14,Assumptions!$C$29*$D$14,0),IF(I$22=12,Assumptions!$C$29*$E31/100,0))</f>
        <v>-12187.5</v>
      </c>
      <c r="J31" s="35" t="n">
        <f aca="false">IF(J$22=0,-Assumptions!$C$29*Assumptions!$E$35/100,0)+IF(AND(J$22&gt;=2,MOD(J$22,2)=0,J$22&lt;=IF(ISNUMBER($C$14),$C$14-2,12)),Assumptions!$C$29*Assumptions!$D$35/2,0)+IF(ISNUMBER($C$14),IF(J$22=$E$14,Assumptions!$C$29*$D$14,0),IF(J$22=12,Assumptions!$C$29*$E31/100,0))</f>
        <v>0</v>
      </c>
      <c r="K31" s="35" t="n">
        <f aca="false">IF(K$22=0,-Assumptions!$C$29*Assumptions!$E$35/100,0)+IF(AND(K$22&gt;=2,MOD(K$22,2)=0,K$22&lt;=IF(ISNUMBER($C$14),$C$14-2,12)),Assumptions!$C$29*Assumptions!$D$35/2,0)+IF(ISNUMBER($C$14),IF(K$22=$E$14,Assumptions!$C$29*$D$14,0),IF(K$22=12,Assumptions!$C$29*$E31/100,0))</f>
        <v>468.75</v>
      </c>
      <c r="L31" s="35" t="n">
        <f aca="false">IF(L$22=0,-Assumptions!$C$29*Assumptions!$E$35/100,0)+IF(AND(L$22&gt;=2,MOD(L$22,2)=0,L$22&lt;=IF(ISNUMBER($C$14),$C$14-2,12)),Assumptions!$C$29*Assumptions!$D$35/2,0)+IF(ISNUMBER($C$14),IF(L$22=$E$14,Assumptions!$C$29*$D$14,0),IF(L$22=12,Assumptions!$C$29*$E31/100,0))</f>
        <v>0</v>
      </c>
      <c r="M31" s="35" t="n">
        <f aca="false">IF(M$22=0,-Assumptions!$C$29*Assumptions!$E$35/100,0)+IF(AND(M$22&gt;=2,MOD(M$22,2)=0,M$22&lt;=IF(ISNUMBER($C$14),$C$14-2,12)),Assumptions!$C$29*Assumptions!$D$35/2,0)+IF(ISNUMBER($C$14),IF(M$22=$E$14,Assumptions!$C$29*$D$14,0),IF(M$22=12,Assumptions!$C$29*$E31/100,0))</f>
        <v>468.75</v>
      </c>
      <c r="N31" s="35" t="n">
        <f aca="false">IF(N$22=0,-Assumptions!$C$29*Assumptions!$E$35/100,0)+IF(AND(N$22&gt;=2,MOD(N$22,2)=0,N$22&lt;=IF(ISNUMBER($C$14),$C$14-2,12)),Assumptions!$C$29*Assumptions!$D$35/2,0)+IF(ISNUMBER($C$14),IF(N$22=$E$14,Assumptions!$C$29*$D$14,0),IF(N$22=12,Assumptions!$C$29*$E31/100,0))</f>
        <v>0</v>
      </c>
      <c r="O31" s="35" t="n">
        <f aca="false">IF(O$22=0,-Assumptions!$C$29*Assumptions!$E$35/100,0)+IF(AND(O$22&gt;=2,MOD(O$22,2)=0,O$22&lt;=IF(ISNUMBER($C$14),$C$14-2,12)),Assumptions!$C$29*Assumptions!$D$35/2,0)+IF(ISNUMBER($C$14),IF(O$22=$E$14,Assumptions!$C$29*$D$14,0),IF(O$22=12,Assumptions!$C$29*$E31/100,0))</f>
        <v>468.75</v>
      </c>
      <c r="P31" s="35" t="n">
        <f aca="false">IF(P$22=0,-Assumptions!$C$29*Assumptions!$E$35/100,0)+IF(AND(P$22&gt;=2,MOD(P$22,2)=0,P$22&lt;=IF(ISNUMBER($C$14),$C$14-2,12)),Assumptions!$C$29*Assumptions!$D$35/2,0)+IF(ISNUMBER($C$14),IF(P$22=$E$14,Assumptions!$C$29*$D$14,0),IF(P$22=12,Assumptions!$C$29*$E31/100,0))</f>
        <v>0</v>
      </c>
      <c r="Q31" s="35" t="n">
        <f aca="false">IF(Q$22=0,-Assumptions!$C$29*Assumptions!$E$35/100,0)+IF(AND(Q$22&gt;=2,MOD(Q$22,2)=0,Q$22&lt;=IF(ISNUMBER($C$14),$C$14-2,12)),Assumptions!$C$29*Assumptions!$D$35/2,0)+IF(ISNUMBER($C$14),IF(Q$22=$E$14,Assumptions!$C$29*$D$14,0),IF(Q$22=12,Assumptions!$C$29*$E31/100,0))</f>
        <v>468.75</v>
      </c>
      <c r="R31" s="35" t="n">
        <f aca="false">IF(R$22=0,-Assumptions!$C$29*Assumptions!$E$35/100,0)+IF(AND(R$22&gt;=2,MOD(R$22,2)=0,R$22&lt;=IF(ISNUMBER($C$14),$C$14-2,12)),Assumptions!$C$29*Assumptions!$D$35/2,0)+IF(ISNUMBER($C$14),IF(R$22=$E$14,Assumptions!$C$29*$D$14,0),IF(R$22=12,Assumptions!$C$29*$E31/100,0))</f>
        <v>0</v>
      </c>
      <c r="S31" s="35" t="n">
        <f aca="false">IF(S$22=0,-Assumptions!$C$29*Assumptions!$E$35/100,0)+IF(AND(S$22&gt;=2,MOD(S$22,2)=0,S$22&lt;=IF(ISNUMBER($C$14),$C$14-2,12)),Assumptions!$C$29*Assumptions!$D$35/2,0)+IF(ISNUMBER($C$14),IF(S$22=$E$14,Assumptions!$C$29*$D$14,0),IF(S$22=12,Assumptions!$C$29*$E31/100,0))</f>
        <v>468.75</v>
      </c>
      <c r="T31" s="35" t="n">
        <f aca="false">IF(T$22=0,-Assumptions!$C$29*Assumptions!$E$35/100,0)+IF(AND(T$22&gt;=2,MOD(T$22,2)=0,T$22&lt;=IF(ISNUMBER($C$14),$C$14-2,12)),Assumptions!$C$29*Assumptions!$D$35/2,0)+IF(ISNUMBER($C$14),IF(T$22=$E$14,Assumptions!$C$29*$D$14,0),IF(T$22=12,Assumptions!$C$29*$E31/100,0))</f>
        <v>0</v>
      </c>
      <c r="U31" s="35" t="n">
        <f aca="false">IF(U$22=0,-Assumptions!$C$29*Assumptions!$E$35/100,0)+IF(AND(U$22&gt;=2,MOD(U$22,2)=0,U$22&lt;=IF(ISNUMBER($C$14),$C$14-2,12)),Assumptions!$C$29*Assumptions!$D$35/2,0)+IF(ISNUMBER($C$14),IF(U$22=$E$14,Assumptions!$C$29*$D$14,0),IF(U$22=12,Assumptions!$C$29*$E31/100,0))</f>
        <v>12828.6791230231</v>
      </c>
      <c r="V31" s="35" t="n">
        <f aca="false">IF(V$22=0,-Assumptions!$C$29*Assumptions!$E$35/100,0)+IF(AND(V$22&gt;=2,MOD(V$22,2)=0,V$22&lt;=IF(ISNUMBER($C$14),$C$14-2,12)),Assumptions!$C$29*Assumptions!$D$35/2,0)+IF(ISNUMBER($C$14),IF(V$22=$E$14,Assumptions!$C$29*$D$14,0),IF(V$22=12,Assumptions!$C$29*$E31/100,0))</f>
        <v>0</v>
      </c>
      <c r="W31" s="35" t="n">
        <f aca="false">IF(W$22=0,-Assumptions!$C$29*Assumptions!$E$35/100,0)+IF(AND(W$22&gt;=2,MOD(W$22,2)=0,W$22&lt;=IF(ISNUMBER($C$14),$C$14-2,12)),Assumptions!$C$29*Assumptions!$D$35/2,0)+IF(ISNUMBER($C$14),IF(W$22=$E$14,Assumptions!$C$29*$D$14,0),IF(W$22=12,Assumptions!$C$29*$E31/100,0))</f>
        <v>0</v>
      </c>
      <c r="X31" s="35" t="n">
        <f aca="false">IF(X$22=0,-Assumptions!$C$29*Assumptions!$E$35/100,0)+IF(AND(X$22&gt;=2,MOD(X$22,2)=0,X$22&lt;=IF(ISNUMBER($C$14),$C$14-2,12)),Assumptions!$C$29*Assumptions!$D$35/2,0)+IF(ISNUMBER($C$14),IF(X$22=$E$14,Assumptions!$C$29*$D$14,0),IF(X$22=12,Assumptions!$C$29*$E31/100,0))</f>
        <v>0</v>
      </c>
      <c r="Y31" s="35" t="n">
        <f aca="false">IF(Y$22=0,-Assumptions!$C$29*Assumptions!$E$35/100,0)+IF(AND(Y$22&gt;=2,MOD(Y$22,2)=0,Y$22&lt;=IF(ISNUMBER($C$14),$C$14-2,12)),Assumptions!$C$29*Assumptions!$D$35/2,0)+IF(ISNUMBER($C$14),IF(Y$22=$E$14,Assumptions!$C$29*$D$14,0),IF(Y$22=12,Assumptions!$C$29*$E31/100,0))</f>
        <v>0</v>
      </c>
    </row>
    <row r="32" customFormat="false" ht="15" hidden="false" customHeight="false" outlineLevel="0" collapsed="false">
      <c r="B32" s="9" t="s">
        <v>51</v>
      </c>
      <c r="C32" s="9" t="s">
        <v>136</v>
      </c>
      <c r="D32" s="19" t="n">
        <f aca="false">Assumptions!$F$36</f>
        <v>12125</v>
      </c>
      <c r="E32" s="34" t="n">
        <f aca="false">PV(($F32+$C$6+$C$9)/2,(Assumptions!$C$30*4-12)/2,-Assumptions!$D$36*100/2,-100)</f>
        <v>98.6441572961372</v>
      </c>
      <c r="F32" s="17" t="n">
        <f aca="false">RATE(Assumptions!$C$30*2,Assumptions!$D$36*100/2,-Assumptions!$E$36,100)*2</f>
        <v>0.0875368825411204</v>
      </c>
      <c r="G32" s="26" t="n">
        <f aca="false">SUM(I32:Y32)</f>
        <v>3205.51966201715</v>
      </c>
      <c r="H32" s="29" t="n">
        <f aca="false">(1+IRR(I32:Y32,IF(SUM(I32:Y32)&lt;0,-0.05,0.01)))^4-1</f>
        <v>0.0894525589923749</v>
      </c>
      <c r="I32" s="35" t="n">
        <f aca="false">IF(I$22=0,-Assumptions!$C$29*Assumptions!$E$36/100,0)+IF(AND(I$22&gt;=2,MOD(I$22,2)=0,I$22&lt;=IF(ISNUMBER($C$15),$C$15-2,12)),Assumptions!$C$29*Assumptions!$D$36/2,0)+IF(ISNUMBER($C$15),IF(I$22=$E$15,Assumptions!$C$29*$D$15,0),IF(I$22=12,Assumptions!$C$29*$E32/100,0))</f>
        <v>-12125</v>
      </c>
      <c r="J32" s="35" t="n">
        <f aca="false">IF(J$22=0,-Assumptions!$C$29*Assumptions!$E$36/100,0)+IF(AND(J$22&gt;=2,MOD(J$22,2)=0,J$22&lt;=IF(ISNUMBER($C$15),$C$15-2,12)),Assumptions!$C$29*Assumptions!$D$36/2,0)+IF(ISNUMBER($C$15),IF(J$22=$E$15,Assumptions!$C$29*$D$15,0),IF(J$22=12,Assumptions!$C$29*$E32/100,0))</f>
        <v>0</v>
      </c>
      <c r="K32" s="35" t="n">
        <f aca="false">IF(K$22=0,-Assumptions!$C$29*Assumptions!$E$36/100,0)+IF(AND(K$22&gt;=2,MOD(K$22,2)=0,K$22&lt;=IF(ISNUMBER($C$15),$C$15-2,12)),Assumptions!$C$29*Assumptions!$D$36/2,0)+IF(ISNUMBER($C$15),IF(K$22=$E$15,Assumptions!$C$29*$D$15,0),IF(K$22=12,Assumptions!$C$29*$E32/100,0))</f>
        <v>500</v>
      </c>
      <c r="L32" s="35" t="n">
        <f aca="false">IF(L$22=0,-Assumptions!$C$29*Assumptions!$E$36/100,0)+IF(AND(L$22&gt;=2,MOD(L$22,2)=0,L$22&lt;=IF(ISNUMBER($C$15),$C$15-2,12)),Assumptions!$C$29*Assumptions!$D$36/2,0)+IF(ISNUMBER($C$15),IF(L$22=$E$15,Assumptions!$C$29*$D$15,0),IF(L$22=12,Assumptions!$C$29*$E32/100,0))</f>
        <v>0</v>
      </c>
      <c r="M32" s="35" t="n">
        <f aca="false">IF(M$22=0,-Assumptions!$C$29*Assumptions!$E$36/100,0)+IF(AND(M$22&gt;=2,MOD(M$22,2)=0,M$22&lt;=IF(ISNUMBER($C$15),$C$15-2,12)),Assumptions!$C$29*Assumptions!$D$36/2,0)+IF(ISNUMBER($C$15),IF(M$22=$E$15,Assumptions!$C$29*$D$15,0),IF(M$22=12,Assumptions!$C$29*$E32/100,0))</f>
        <v>500</v>
      </c>
      <c r="N32" s="35" t="n">
        <f aca="false">IF(N$22=0,-Assumptions!$C$29*Assumptions!$E$36/100,0)+IF(AND(N$22&gt;=2,MOD(N$22,2)=0,N$22&lt;=IF(ISNUMBER($C$15),$C$15-2,12)),Assumptions!$C$29*Assumptions!$D$36/2,0)+IF(ISNUMBER($C$15),IF(N$22=$E$15,Assumptions!$C$29*$D$15,0),IF(N$22=12,Assumptions!$C$29*$E32/100,0))</f>
        <v>0</v>
      </c>
      <c r="O32" s="35" t="n">
        <f aca="false">IF(O$22=0,-Assumptions!$C$29*Assumptions!$E$36/100,0)+IF(AND(O$22&gt;=2,MOD(O$22,2)=0,O$22&lt;=IF(ISNUMBER($C$15),$C$15-2,12)),Assumptions!$C$29*Assumptions!$D$36/2,0)+IF(ISNUMBER($C$15),IF(O$22=$E$15,Assumptions!$C$29*$D$15,0),IF(O$22=12,Assumptions!$C$29*$E32/100,0))</f>
        <v>500</v>
      </c>
      <c r="P32" s="35" t="n">
        <f aca="false">IF(P$22=0,-Assumptions!$C$29*Assumptions!$E$36/100,0)+IF(AND(P$22&gt;=2,MOD(P$22,2)=0,P$22&lt;=IF(ISNUMBER($C$15),$C$15-2,12)),Assumptions!$C$29*Assumptions!$D$36/2,0)+IF(ISNUMBER($C$15),IF(P$22=$E$15,Assumptions!$C$29*$D$15,0),IF(P$22=12,Assumptions!$C$29*$E32/100,0))</f>
        <v>0</v>
      </c>
      <c r="Q32" s="35" t="n">
        <f aca="false">IF(Q$22=0,-Assumptions!$C$29*Assumptions!$E$36/100,0)+IF(AND(Q$22&gt;=2,MOD(Q$22,2)=0,Q$22&lt;=IF(ISNUMBER($C$15),$C$15-2,12)),Assumptions!$C$29*Assumptions!$D$36/2,0)+IF(ISNUMBER($C$15),IF(Q$22=$E$15,Assumptions!$C$29*$D$15,0),IF(Q$22=12,Assumptions!$C$29*$E32/100,0))</f>
        <v>500</v>
      </c>
      <c r="R32" s="35" t="n">
        <f aca="false">IF(R$22=0,-Assumptions!$C$29*Assumptions!$E$36/100,0)+IF(AND(R$22&gt;=2,MOD(R$22,2)=0,R$22&lt;=IF(ISNUMBER($C$15),$C$15-2,12)),Assumptions!$C$29*Assumptions!$D$36/2,0)+IF(ISNUMBER($C$15),IF(R$22=$E$15,Assumptions!$C$29*$D$15,0),IF(R$22=12,Assumptions!$C$29*$E32/100,0))</f>
        <v>0</v>
      </c>
      <c r="S32" s="35" t="n">
        <f aca="false">IF(S$22=0,-Assumptions!$C$29*Assumptions!$E$36/100,0)+IF(AND(S$22&gt;=2,MOD(S$22,2)=0,S$22&lt;=IF(ISNUMBER($C$15),$C$15-2,12)),Assumptions!$C$29*Assumptions!$D$36/2,0)+IF(ISNUMBER($C$15),IF(S$22=$E$15,Assumptions!$C$29*$D$15,0),IF(S$22=12,Assumptions!$C$29*$E32/100,0))</f>
        <v>500</v>
      </c>
      <c r="T32" s="35" t="n">
        <f aca="false">IF(T$22=0,-Assumptions!$C$29*Assumptions!$E$36/100,0)+IF(AND(T$22&gt;=2,MOD(T$22,2)=0,T$22&lt;=IF(ISNUMBER($C$15),$C$15-2,12)),Assumptions!$C$29*Assumptions!$D$36/2,0)+IF(ISNUMBER($C$15),IF(T$22=$E$15,Assumptions!$C$29*$D$15,0),IF(T$22=12,Assumptions!$C$29*$E32/100,0))</f>
        <v>0</v>
      </c>
      <c r="U32" s="35" t="n">
        <f aca="false">IF(U$22=0,-Assumptions!$C$29*Assumptions!$E$36/100,0)+IF(AND(U$22&gt;=2,MOD(U$22,2)=0,U$22&lt;=IF(ISNUMBER($C$15),$C$15-2,12)),Assumptions!$C$29*Assumptions!$D$36/2,0)+IF(ISNUMBER($C$15),IF(U$22=$E$15,Assumptions!$C$29*$D$15,0),IF(U$22=12,Assumptions!$C$29*$E32/100,0))</f>
        <v>12830.5196620172</v>
      </c>
      <c r="V32" s="35" t="n">
        <f aca="false">IF(V$22=0,-Assumptions!$C$29*Assumptions!$E$36/100,0)+IF(AND(V$22&gt;=2,MOD(V$22,2)=0,V$22&lt;=IF(ISNUMBER($C$15),$C$15-2,12)),Assumptions!$C$29*Assumptions!$D$36/2,0)+IF(ISNUMBER($C$15),IF(V$22=$E$15,Assumptions!$C$29*$D$15,0),IF(V$22=12,Assumptions!$C$29*$E32/100,0))</f>
        <v>0</v>
      </c>
      <c r="W32" s="35" t="n">
        <f aca="false">IF(W$22=0,-Assumptions!$C$29*Assumptions!$E$36/100,0)+IF(AND(W$22&gt;=2,MOD(W$22,2)=0,W$22&lt;=IF(ISNUMBER($C$15),$C$15-2,12)),Assumptions!$C$29*Assumptions!$D$36/2,0)+IF(ISNUMBER($C$15),IF(W$22=$E$15,Assumptions!$C$29*$D$15,0),IF(W$22=12,Assumptions!$C$29*$E32/100,0))</f>
        <v>0</v>
      </c>
      <c r="X32" s="35" t="n">
        <f aca="false">IF(X$22=0,-Assumptions!$C$29*Assumptions!$E$36/100,0)+IF(AND(X$22&gt;=2,MOD(X$22,2)=0,X$22&lt;=IF(ISNUMBER($C$15),$C$15-2,12)),Assumptions!$C$29*Assumptions!$D$36/2,0)+IF(ISNUMBER($C$15),IF(X$22=$E$15,Assumptions!$C$29*$D$15,0),IF(X$22=12,Assumptions!$C$29*$E32/100,0))</f>
        <v>0</v>
      </c>
      <c r="Y32" s="35" t="n">
        <f aca="false">IF(Y$22=0,-Assumptions!$C$29*Assumptions!$E$36/100,0)+IF(AND(Y$22&gt;=2,MOD(Y$22,2)=0,Y$22&lt;=IF(ISNUMBER($C$15),$C$15-2,12)),Assumptions!$C$29*Assumptions!$D$36/2,0)+IF(ISNUMBER($C$15),IF(Y$22=$E$15,Assumptions!$C$29*$D$15,0),IF(Y$22=12,Assumptions!$C$29*$E32/100,0))</f>
        <v>0</v>
      </c>
    </row>
    <row r="33" customFormat="false" ht="15" hidden="false" customHeight="false" outlineLevel="0" collapsed="false">
      <c r="B33" s="9" t="s">
        <v>52</v>
      </c>
      <c r="C33" s="9" t="s">
        <v>136</v>
      </c>
      <c r="D33" s="19" t="n">
        <f aca="false">Assumptions!$F$37</f>
        <v>11750</v>
      </c>
      <c r="E33" s="34" t="n">
        <f aca="false">PV(($F33+$C$6+$C$9)/2,(Assumptions!$C$30*4-12)/2,-Assumptions!$D$37*100/2,-100)</f>
        <v>97.2427387979842</v>
      </c>
      <c r="F33" s="17" t="n">
        <f aca="false">RATE(Assumptions!$C$30*2,Assumptions!$D$37*100/2,-Assumptions!$E$37,100)*2</f>
        <v>0.100561753609911</v>
      </c>
      <c r="G33" s="26" t="n">
        <f aca="false">SUM(I33:Y33)</f>
        <v>-5687.5</v>
      </c>
      <c r="H33" s="29" t="n">
        <f aca="false">(1+IRR(I33:Y33,IF(SUM(I33:Y33)&lt;0,-0.05,0.01)))^4-1</f>
        <v>-0.254569160102313</v>
      </c>
      <c r="I33" s="35" t="n">
        <f aca="false">IF(I$22=0,-Assumptions!$C$29*Assumptions!$E$37/100,0)+IF(AND(I$22&gt;=2,MOD(I$22,2)=0,I$22&lt;=IF(ISNUMBER($C$16),$C$16-2,12)),Assumptions!$C$29*Assumptions!$D$37/2,0)+IF(ISNUMBER($C$16),IF(I$22=$E$16,Assumptions!$C$29*$D$16,0),IF(I$22=12,Assumptions!$C$29*$E33/100,0))</f>
        <v>-11750</v>
      </c>
      <c r="J33" s="35" t="n">
        <f aca="false">IF(J$22=0,-Assumptions!$C$29*Assumptions!$E$37/100,0)+IF(AND(J$22&gt;=2,MOD(J$22,2)=0,J$22&lt;=IF(ISNUMBER($C$16),$C$16-2,12)),Assumptions!$C$29*Assumptions!$D$37/2,0)+IF(ISNUMBER($C$16),IF(J$22=$E$16,Assumptions!$C$29*$D$16,0),IF(J$22=12,Assumptions!$C$29*$E33/100,0))</f>
        <v>0</v>
      </c>
      <c r="K33" s="35" t="n">
        <f aca="false">IF(K$22=0,-Assumptions!$C$29*Assumptions!$E$37/100,0)+IF(AND(K$22&gt;=2,MOD(K$22,2)=0,K$22&lt;=IF(ISNUMBER($C$16),$C$16-2,12)),Assumptions!$C$29*Assumptions!$D$37/2,0)+IF(ISNUMBER($C$16),IF(K$22=$E$16,Assumptions!$C$29*$D$16,0),IF(K$22=12,Assumptions!$C$29*$E33/100,0))</f>
        <v>531.25</v>
      </c>
      <c r="L33" s="35" t="n">
        <f aca="false">IF(L$22=0,-Assumptions!$C$29*Assumptions!$E$37/100,0)+IF(AND(L$22&gt;=2,MOD(L$22,2)=0,L$22&lt;=IF(ISNUMBER($C$16),$C$16-2,12)),Assumptions!$C$29*Assumptions!$D$37/2,0)+IF(ISNUMBER($C$16),IF(L$22=$E$16,Assumptions!$C$29*$D$16,0),IF(L$22=12,Assumptions!$C$29*$E33/100,0))</f>
        <v>0</v>
      </c>
      <c r="M33" s="35" t="n">
        <f aca="false">IF(M$22=0,-Assumptions!$C$29*Assumptions!$E$37/100,0)+IF(AND(M$22&gt;=2,MOD(M$22,2)=0,M$22&lt;=IF(ISNUMBER($C$16),$C$16-2,12)),Assumptions!$C$29*Assumptions!$D$37/2,0)+IF(ISNUMBER($C$16),IF(M$22=$E$16,Assumptions!$C$29*$D$16,0),IF(M$22=12,Assumptions!$C$29*$E33/100,0))</f>
        <v>531.25</v>
      </c>
      <c r="N33" s="35" t="n">
        <f aca="false">IF(N$22=0,-Assumptions!$C$29*Assumptions!$E$37/100,0)+IF(AND(N$22&gt;=2,MOD(N$22,2)=0,N$22&lt;=IF(ISNUMBER($C$16),$C$16-2,12)),Assumptions!$C$29*Assumptions!$D$37/2,0)+IF(ISNUMBER($C$16),IF(N$22=$E$16,Assumptions!$C$29*$D$16,0),IF(N$22=12,Assumptions!$C$29*$E33/100,0))</f>
        <v>0</v>
      </c>
      <c r="O33" s="35" t="n">
        <f aca="false">IF(O$22=0,-Assumptions!$C$29*Assumptions!$E$37/100,0)+IF(AND(O$22&gt;=2,MOD(O$22,2)=0,O$22&lt;=IF(ISNUMBER($C$16),$C$16-2,12)),Assumptions!$C$29*Assumptions!$D$37/2,0)+IF(ISNUMBER($C$16),IF(O$22=$E$16,Assumptions!$C$29*$D$16,0),IF(O$22=12,Assumptions!$C$29*$E33/100,0))</f>
        <v>0</v>
      </c>
      <c r="P33" s="35" t="n">
        <f aca="false">IF(P$22=0,-Assumptions!$C$29*Assumptions!$E$37/100,0)+IF(AND(P$22&gt;=2,MOD(P$22,2)=0,P$22&lt;=IF(ISNUMBER($C$16),$C$16-2,12)),Assumptions!$C$29*Assumptions!$D$37/2,0)+IF(ISNUMBER($C$16),IF(P$22=$E$16,Assumptions!$C$29*$D$16,0),IF(P$22=12,Assumptions!$C$29*$E33/100,0))</f>
        <v>0</v>
      </c>
      <c r="Q33" s="35" t="n">
        <f aca="false">IF(Q$22=0,-Assumptions!$C$29*Assumptions!$E$37/100,0)+IF(AND(Q$22&gt;=2,MOD(Q$22,2)=0,Q$22&lt;=IF(ISNUMBER($C$16),$C$16-2,12)),Assumptions!$C$29*Assumptions!$D$37/2,0)+IF(ISNUMBER($C$16),IF(Q$22=$E$16,Assumptions!$C$29*$D$16,0),IF(Q$22=12,Assumptions!$C$29*$E33/100,0))</f>
        <v>0</v>
      </c>
      <c r="R33" s="35" t="n">
        <f aca="false">IF(R$22=0,-Assumptions!$C$29*Assumptions!$E$37/100,0)+IF(AND(R$22&gt;=2,MOD(R$22,2)=0,R$22&lt;=IF(ISNUMBER($C$16),$C$16-2,12)),Assumptions!$C$29*Assumptions!$D$37/2,0)+IF(ISNUMBER($C$16),IF(R$22=$E$16,Assumptions!$C$29*$D$16,0),IF(R$22=12,Assumptions!$C$29*$E33/100,0))</f>
        <v>0</v>
      </c>
      <c r="S33" s="35" t="n">
        <f aca="false">IF(S$22=0,-Assumptions!$C$29*Assumptions!$E$37/100,0)+IF(AND(S$22&gt;=2,MOD(S$22,2)=0,S$22&lt;=IF(ISNUMBER($C$16),$C$16-2,12)),Assumptions!$C$29*Assumptions!$D$37/2,0)+IF(ISNUMBER($C$16),IF(S$22=$E$16,Assumptions!$C$29*$D$16,0),IF(S$22=12,Assumptions!$C$29*$E33/100,0))</f>
        <v>5000</v>
      </c>
      <c r="T33" s="35" t="n">
        <f aca="false">IF(T$22=0,-Assumptions!$C$29*Assumptions!$E$37/100,0)+IF(AND(T$22&gt;=2,MOD(T$22,2)=0,T$22&lt;=IF(ISNUMBER($C$16),$C$16-2,12)),Assumptions!$C$29*Assumptions!$D$37/2,0)+IF(ISNUMBER($C$16),IF(T$22=$E$16,Assumptions!$C$29*$D$16,0),IF(T$22=12,Assumptions!$C$29*$E33/100,0))</f>
        <v>0</v>
      </c>
      <c r="U33" s="35" t="n">
        <f aca="false">IF(U$22=0,-Assumptions!$C$29*Assumptions!$E$37/100,0)+IF(AND(U$22&gt;=2,MOD(U$22,2)=0,U$22&lt;=IF(ISNUMBER($C$16),$C$16-2,12)),Assumptions!$C$29*Assumptions!$D$37/2,0)+IF(ISNUMBER($C$16),IF(U$22=$E$16,Assumptions!$C$29*$D$16,0),IF(U$22=12,Assumptions!$C$29*$E33/100,0))</f>
        <v>0</v>
      </c>
      <c r="V33" s="35" t="n">
        <f aca="false">IF(V$22=0,-Assumptions!$C$29*Assumptions!$E$37/100,0)+IF(AND(V$22&gt;=2,MOD(V$22,2)=0,V$22&lt;=IF(ISNUMBER($C$16),$C$16-2,12)),Assumptions!$C$29*Assumptions!$D$37/2,0)+IF(ISNUMBER($C$16),IF(V$22=$E$16,Assumptions!$C$29*$D$16,0),IF(V$22=12,Assumptions!$C$29*$E33/100,0))</f>
        <v>0</v>
      </c>
      <c r="W33" s="35" t="n">
        <f aca="false">IF(W$22=0,-Assumptions!$C$29*Assumptions!$E$37/100,0)+IF(AND(W$22&gt;=2,MOD(W$22,2)=0,W$22&lt;=IF(ISNUMBER($C$16),$C$16-2,12)),Assumptions!$C$29*Assumptions!$D$37/2,0)+IF(ISNUMBER($C$16),IF(W$22=$E$16,Assumptions!$C$29*$D$16,0),IF(W$22=12,Assumptions!$C$29*$E33/100,0))</f>
        <v>0</v>
      </c>
      <c r="X33" s="35" t="n">
        <f aca="false">IF(X$22=0,-Assumptions!$C$29*Assumptions!$E$37/100,0)+IF(AND(X$22&gt;=2,MOD(X$22,2)=0,X$22&lt;=IF(ISNUMBER($C$16),$C$16-2,12)),Assumptions!$C$29*Assumptions!$D$37/2,0)+IF(ISNUMBER($C$16),IF(X$22=$E$16,Assumptions!$C$29*$D$16,0),IF(X$22=12,Assumptions!$C$29*$E33/100,0))</f>
        <v>0</v>
      </c>
      <c r="Y33" s="35" t="n">
        <f aca="false">IF(Y$22=0,-Assumptions!$C$29*Assumptions!$E$37/100,0)+IF(AND(Y$22&gt;=2,MOD(Y$22,2)=0,Y$22&lt;=IF(ISNUMBER($C$16),$C$16-2,12)),Assumptions!$C$29*Assumptions!$D$37/2,0)+IF(ISNUMBER($C$16),IF(Y$22=$E$16,Assumptions!$C$29*$D$16,0),IF(Y$22=12,Assumptions!$C$29*$E33/100,0))</f>
        <v>0</v>
      </c>
    </row>
    <row r="35" customFormat="false" ht="15" hidden="false" customHeight="false" outlineLevel="0" collapsed="false">
      <c r="B35" s="30" t="s">
        <v>137</v>
      </c>
      <c r="C35" s="9" t="s">
        <v>135</v>
      </c>
      <c r="D35" s="26" t="n">
        <f aca="false">SUMIF($C$23:$C$33,"IG",D$23:D$33)</f>
        <v>125000</v>
      </c>
      <c r="G35" s="36" t="n">
        <f aca="false">SUM(I35:Y35)</f>
        <v>18037.5</v>
      </c>
      <c r="H35" s="29" t="n">
        <f aca="false">(1+IRR(I35:Y35,IF(SUM(I35:Y35)&lt;0,-0.05,0.01)))^4-1</f>
        <v>0.0521866825360082</v>
      </c>
      <c r="I35" s="35" t="n">
        <f aca="false">SUMIF($C$23:$C$33,"IG",I$23:I$33)</f>
        <v>-125000</v>
      </c>
      <c r="J35" s="35" t="n">
        <f aca="false">SUMIF($C$23:$C$33,"IG",J$23:J$33)</f>
        <v>0</v>
      </c>
      <c r="K35" s="35" t="n">
        <f aca="false">SUMIF($C$23:$C$33,"IG",K$23:K$33)</f>
        <v>3206.25</v>
      </c>
      <c r="L35" s="35" t="n">
        <f aca="false">SUMIF($C$23:$C$33,"IG",L$23:L$33)</f>
        <v>0</v>
      </c>
      <c r="M35" s="35" t="n">
        <f aca="false">SUMIF($C$23:$C$33,"IG",M$23:M$33)</f>
        <v>3206.25</v>
      </c>
      <c r="N35" s="35" t="n">
        <f aca="false">SUMIF($C$23:$C$33,"IG",N$23:N$33)</f>
        <v>0</v>
      </c>
      <c r="O35" s="35" t="n">
        <f aca="false">SUMIF($C$23:$C$33,"IG",O$23:O$33)</f>
        <v>3206.25</v>
      </c>
      <c r="P35" s="35" t="n">
        <f aca="false">SUMIF($C$23:$C$33,"IG",P$23:P$33)</f>
        <v>0</v>
      </c>
      <c r="Q35" s="35" t="n">
        <f aca="false">SUMIF($C$23:$C$33,"IG",Q$23:Q$33)</f>
        <v>28206.25</v>
      </c>
      <c r="R35" s="35" t="n">
        <f aca="false">SUMIF($C$23:$C$33,"IG",R$23:R$33)</f>
        <v>0</v>
      </c>
      <c r="S35" s="35" t="n">
        <f aca="false">SUMIF($C$23:$C$33,"IG",S$23:S$33)</f>
        <v>2606.25</v>
      </c>
      <c r="T35" s="35" t="n">
        <f aca="false">SUMIF($C$23:$C$33,"IG",T$23:T$33)</f>
        <v>0</v>
      </c>
      <c r="U35" s="35" t="n">
        <f aca="false">SUMIF($C$23:$C$33,"IG",U$23:U$33)</f>
        <v>102606.25</v>
      </c>
      <c r="V35" s="35" t="n">
        <f aca="false">SUMIF($C$23:$C$33,"IG",V$23:V$33)</f>
        <v>0</v>
      </c>
      <c r="W35" s="35" t="n">
        <f aca="false">SUMIF($C$23:$C$33,"IG",W$23:W$33)</f>
        <v>0</v>
      </c>
      <c r="X35" s="35" t="n">
        <f aca="false">SUMIF($C$23:$C$33,"IG",X$23:X$33)</f>
        <v>0</v>
      </c>
      <c r="Y35" s="35" t="n">
        <f aca="false">SUMIF($C$23:$C$33,"IG",Y$23:Y$33)</f>
        <v>0</v>
      </c>
    </row>
    <row r="36" customFormat="false" ht="15" hidden="false" customHeight="false" outlineLevel="0" collapsed="false">
      <c r="B36" s="30" t="s">
        <v>138</v>
      </c>
      <c r="C36" s="9" t="s">
        <v>136</v>
      </c>
      <c r="D36" s="26" t="n">
        <f aca="false">SUMIF($C$23:$C$33,"HY",D$23:D$33)</f>
        <v>73000</v>
      </c>
      <c r="G36" s="36" t="n">
        <f aca="false">SUM(I36:Y36)</f>
        <v>8690.53487245816</v>
      </c>
      <c r="H36" s="29" t="n">
        <f aca="false">(1+IRR(I36:Y36,IF(SUM(I36:Y36)&lt;0,-0.05,0.01)))^4-1</f>
        <v>0.0421815773308225</v>
      </c>
      <c r="I36" s="35" t="n">
        <f aca="false">SUMIF($C$23:$C$33,"HY",I$23:I$33)</f>
        <v>-73000</v>
      </c>
      <c r="J36" s="35" t="n">
        <f aca="false">SUMIF($C$23:$C$33,"HY",J$23:J$33)</f>
        <v>0</v>
      </c>
      <c r="K36" s="35" t="n">
        <f aca="false">SUMIF($C$23:$C$33,"HY",K$23:K$33)</f>
        <v>2812.5</v>
      </c>
      <c r="L36" s="35" t="n">
        <f aca="false">SUMIF($C$23:$C$33,"HY",L$23:L$33)</f>
        <v>0</v>
      </c>
      <c r="M36" s="35" t="n">
        <f aca="false">SUMIF($C$23:$C$33,"HY",M$23:M$33)</f>
        <v>2812.5</v>
      </c>
      <c r="N36" s="35" t="n">
        <f aca="false">SUMIF($C$23:$C$33,"HY",N$23:N$33)</f>
        <v>0</v>
      </c>
      <c r="O36" s="35" t="n">
        <f aca="false">SUMIF($C$23:$C$33,"HY",O$23:O$33)</f>
        <v>2281.25</v>
      </c>
      <c r="P36" s="35" t="n">
        <f aca="false">SUMIF($C$23:$C$33,"HY",P$23:P$33)</f>
        <v>0</v>
      </c>
      <c r="Q36" s="35" t="n">
        <f aca="false">SUMIF($C$23:$C$33,"HY",Q$23:Q$33)</f>
        <v>2281.25</v>
      </c>
      <c r="R36" s="35" t="n">
        <f aca="false">SUMIF($C$23:$C$33,"HY",R$23:R$33)</f>
        <v>0</v>
      </c>
      <c r="S36" s="35" t="n">
        <f aca="false">SUMIF($C$23:$C$33,"HY",S$23:S$33)</f>
        <v>7281.25</v>
      </c>
      <c r="T36" s="35" t="n">
        <f aca="false">SUMIF($C$23:$C$33,"HY",T$23:T$33)</f>
        <v>0</v>
      </c>
      <c r="U36" s="35" t="n">
        <f aca="false">SUMIF($C$23:$C$33,"HY",U$23:U$33)</f>
        <v>64221.7848724582</v>
      </c>
      <c r="V36" s="35" t="n">
        <f aca="false">SUMIF($C$23:$C$33,"HY",V$23:V$33)</f>
        <v>0</v>
      </c>
      <c r="W36" s="35" t="n">
        <f aca="false">SUMIF($C$23:$C$33,"HY",W$23:W$33)</f>
        <v>0</v>
      </c>
      <c r="X36" s="35" t="n">
        <f aca="false">SUMIF($C$23:$C$33,"HY",X$23:X$33)</f>
        <v>0</v>
      </c>
      <c r="Y36" s="35" t="n">
        <f aca="false">SUMIF($C$23:$C$33,"HY",Y$23:Y$33)</f>
        <v>0</v>
      </c>
    </row>
    <row r="39" customFormat="false" ht="15" hidden="false" customHeight="false" outlineLevel="0" collapsed="false">
      <c r="B39" s="7" t="s">
        <v>139</v>
      </c>
      <c r="C39" s="8"/>
      <c r="D39" s="8"/>
      <c r="E39" s="8"/>
      <c r="F39" s="8"/>
      <c r="G39" s="8"/>
      <c r="H39" s="8"/>
    </row>
    <row r="40" customFormat="false" ht="15" hidden="false" customHeight="false" outlineLevel="0" collapsed="false">
      <c r="B40" s="9" t="s">
        <v>116</v>
      </c>
      <c r="C40" s="10" t="n">
        <v>0.02</v>
      </c>
      <c r="D40" s="6" t="s">
        <v>117</v>
      </c>
    </row>
    <row r="41" customFormat="false" ht="15" hidden="false" customHeight="false" outlineLevel="0" collapsed="false">
      <c r="B41" s="9" t="s">
        <v>118</v>
      </c>
      <c r="C41" s="10" t="n">
        <v>0</v>
      </c>
      <c r="D41" s="6" t="s">
        <v>117</v>
      </c>
    </row>
    <row r="42" customFormat="false" ht="15" hidden="false" customHeight="false" outlineLevel="0" collapsed="false">
      <c r="B42" s="9" t="s">
        <v>119</v>
      </c>
      <c r="C42" s="10" t="n">
        <v>0</v>
      </c>
      <c r="D42" s="6" t="s">
        <v>117</v>
      </c>
    </row>
    <row r="44" customFormat="false" ht="15" hidden="false" customHeight="false" outlineLevel="0" collapsed="false">
      <c r="B44" s="7" t="s">
        <v>126</v>
      </c>
      <c r="I44" s="33" t="n">
        <v>0</v>
      </c>
      <c r="J44" s="33" t="n">
        <v>1</v>
      </c>
      <c r="K44" s="33" t="n">
        <v>2</v>
      </c>
      <c r="L44" s="33" t="n">
        <v>3</v>
      </c>
      <c r="M44" s="33" t="n">
        <v>4</v>
      </c>
      <c r="N44" s="33" t="n">
        <v>5</v>
      </c>
      <c r="O44" s="33" t="n">
        <v>6</v>
      </c>
      <c r="P44" s="33" t="n">
        <v>7</v>
      </c>
      <c r="Q44" s="33" t="n">
        <v>8</v>
      </c>
      <c r="R44" s="33" t="n">
        <v>9</v>
      </c>
      <c r="S44" s="33" t="n">
        <v>10</v>
      </c>
      <c r="T44" s="33" t="n">
        <v>11</v>
      </c>
      <c r="U44" s="33" t="n">
        <v>12</v>
      </c>
      <c r="V44" s="33" t="n">
        <v>13</v>
      </c>
      <c r="W44" s="33" t="n">
        <v>14</v>
      </c>
      <c r="X44" s="33" t="n">
        <v>15</v>
      </c>
      <c r="Y44" s="33" t="n">
        <v>16</v>
      </c>
    </row>
    <row r="45" customFormat="false" ht="15" hidden="false" customHeight="false" outlineLevel="0" collapsed="false">
      <c r="B45" s="9" t="s">
        <v>127</v>
      </c>
      <c r="I45" s="17" t="n">
        <f aca="false">IF(I$44=0,Assumptions!$C$6,Assumptions!$C$6+$C$40+IF(I$44&gt;=5,$C$41,0))</f>
        <v>0.04</v>
      </c>
      <c r="J45" s="17" t="n">
        <f aca="false">IF(J$44=0,Assumptions!$C$6,Assumptions!$C$6+$C$40+IF(J$44&gt;=5,$C$41,0))</f>
        <v>0.06</v>
      </c>
      <c r="K45" s="17" t="n">
        <f aca="false">IF(K$44=0,Assumptions!$C$6,Assumptions!$C$6+$C$40+IF(K$44&gt;=5,$C$41,0))</f>
        <v>0.06</v>
      </c>
      <c r="L45" s="17" t="n">
        <f aca="false">IF(L$44=0,Assumptions!$C$6,Assumptions!$C$6+$C$40+IF(L$44&gt;=5,$C$41,0))</f>
        <v>0.06</v>
      </c>
      <c r="M45" s="17" t="n">
        <f aca="false">IF(M$44=0,Assumptions!$C$6,Assumptions!$C$6+$C$40+IF(M$44&gt;=5,$C$41,0))</f>
        <v>0.06</v>
      </c>
      <c r="N45" s="17" t="n">
        <f aca="false">IF(N$44=0,Assumptions!$C$6,Assumptions!$C$6+$C$40+IF(N$44&gt;=5,$C$41,0))</f>
        <v>0.06</v>
      </c>
      <c r="O45" s="17" t="n">
        <f aca="false">IF(O$44=0,Assumptions!$C$6,Assumptions!$C$6+$C$40+IF(O$44&gt;=5,$C$41,0))</f>
        <v>0.06</v>
      </c>
      <c r="P45" s="17" t="n">
        <f aca="false">IF(P$44=0,Assumptions!$C$6,Assumptions!$C$6+$C$40+IF(P$44&gt;=5,$C$41,0))</f>
        <v>0.06</v>
      </c>
      <c r="Q45" s="17" t="n">
        <f aca="false">IF(Q$44=0,Assumptions!$C$6,Assumptions!$C$6+$C$40+IF(Q$44&gt;=5,$C$41,0))</f>
        <v>0.06</v>
      </c>
      <c r="R45" s="17" t="n">
        <f aca="false">IF(R$44=0,Assumptions!$C$6,Assumptions!$C$6+$C$40+IF(R$44&gt;=5,$C$41,0))</f>
        <v>0.06</v>
      </c>
      <c r="S45" s="17" t="n">
        <f aca="false">IF(S$44=0,Assumptions!$C$6,Assumptions!$C$6+$C$40+IF(S$44&gt;=5,$C$41,0))</f>
        <v>0.06</v>
      </c>
      <c r="T45" s="17" t="n">
        <f aca="false">IF(T$44=0,Assumptions!$C$6,Assumptions!$C$6+$C$40+IF(T$44&gt;=5,$C$41,0))</f>
        <v>0.06</v>
      </c>
      <c r="U45" s="17" t="n">
        <f aca="false">IF(U$44=0,Assumptions!$C$6,Assumptions!$C$6+$C$40+IF(U$44&gt;=5,$C$41,0))</f>
        <v>0.06</v>
      </c>
      <c r="V45" s="17" t="n">
        <f aca="false">IF(V$44=0,Assumptions!$C$6,Assumptions!$C$6+$C$40+IF(V$44&gt;=5,$C$41,0))</f>
        <v>0.06</v>
      </c>
      <c r="W45" s="17" t="n">
        <f aca="false">IF(W$44=0,Assumptions!$C$6,Assumptions!$C$6+$C$40+IF(W$44&gt;=5,$C$41,0))</f>
        <v>0.06</v>
      </c>
      <c r="X45" s="17" t="n">
        <f aca="false">IF(X$44=0,Assumptions!$C$6,Assumptions!$C$6+$C$40+IF(X$44&gt;=5,$C$41,0))</f>
        <v>0.06</v>
      </c>
      <c r="Y45" s="17" t="n">
        <f aca="false">IF(Y$44=0,Assumptions!$C$6,Assumptions!$C$6+$C$40+IF(Y$44&gt;=5,$C$41,0))</f>
        <v>0.06</v>
      </c>
    </row>
    <row r="47" customFormat="false" ht="15" hidden="false" customHeight="false" outlineLevel="0" collapsed="false">
      <c r="B47" s="7" t="s">
        <v>128</v>
      </c>
      <c r="C47" s="8"/>
      <c r="D47" s="8"/>
      <c r="E47" s="8"/>
      <c r="F47" s="8"/>
      <c r="G47" s="8"/>
      <c r="H47" s="8"/>
      <c r="I47" s="8"/>
      <c r="J47" s="8"/>
      <c r="K47" s="8"/>
      <c r="L47" s="8"/>
      <c r="M47" s="8"/>
      <c r="N47" s="8"/>
      <c r="O47" s="8"/>
      <c r="P47" s="8"/>
      <c r="Q47" s="8"/>
      <c r="R47" s="8"/>
      <c r="S47" s="8"/>
      <c r="T47" s="8"/>
      <c r="U47" s="8"/>
      <c r="V47" s="8"/>
      <c r="W47" s="8"/>
      <c r="X47" s="8"/>
      <c r="Y47" s="8"/>
    </row>
    <row r="48" customFormat="false" ht="43.5" hidden="false" customHeight="true" outlineLevel="0" collapsed="false">
      <c r="B48" s="13" t="s">
        <v>129</v>
      </c>
      <c r="C48" s="14" t="s">
        <v>130</v>
      </c>
      <c r="D48" s="14" t="s">
        <v>46</v>
      </c>
      <c r="E48" s="14" t="s">
        <v>131</v>
      </c>
      <c r="F48" s="14" t="s">
        <v>132</v>
      </c>
      <c r="G48" s="14" t="s">
        <v>133</v>
      </c>
      <c r="H48" s="14" t="s">
        <v>134</v>
      </c>
      <c r="I48" s="33" t="n">
        <v>0</v>
      </c>
      <c r="J48" s="33" t="n">
        <v>1</v>
      </c>
      <c r="K48" s="33" t="n">
        <v>2</v>
      </c>
      <c r="L48" s="33" t="n">
        <v>3</v>
      </c>
      <c r="M48" s="33" t="n">
        <v>4</v>
      </c>
      <c r="N48" s="33" t="n">
        <v>5</v>
      </c>
      <c r="O48" s="33" t="n">
        <v>6</v>
      </c>
      <c r="P48" s="33" t="n">
        <v>7</v>
      </c>
      <c r="Q48" s="33" t="n">
        <v>8</v>
      </c>
      <c r="R48" s="33" t="n">
        <v>9</v>
      </c>
      <c r="S48" s="33" t="n">
        <v>10</v>
      </c>
      <c r="T48" s="33" t="n">
        <v>11</v>
      </c>
      <c r="U48" s="33" t="n">
        <v>12</v>
      </c>
      <c r="V48" s="33" t="n">
        <v>13</v>
      </c>
      <c r="W48" s="33" t="n">
        <v>14</v>
      </c>
      <c r="X48" s="33" t="n">
        <v>15</v>
      </c>
      <c r="Y48" s="33" t="n">
        <v>16</v>
      </c>
    </row>
    <row r="49" customFormat="false" ht="15" hidden="false" customHeight="false" outlineLevel="0" collapsed="false">
      <c r="B49" s="9" t="s">
        <v>36</v>
      </c>
      <c r="C49" s="9" t="s">
        <v>135</v>
      </c>
      <c r="D49" s="26" t="n">
        <f aca="false">Assumptions!$C$20</f>
        <v>25000</v>
      </c>
      <c r="E49" s="34" t="n">
        <f aca="false">IF(Assumptions!$E$22*4&lt;=12,100,PV((Assumptions!$F$22+$C$40+$C$42)/2,(Assumptions!$E$22*4-12)/2,-Assumptions!$F$22*100/2,-100))</f>
        <v>100</v>
      </c>
      <c r="F49" s="17" t="n">
        <f aca="false">Assumptions!$F$22</f>
        <v>0.048</v>
      </c>
      <c r="G49" s="26" t="n">
        <f aca="false">SUM(I49:Y49)</f>
        <v>2400</v>
      </c>
      <c r="H49" s="29" t="n">
        <f aca="false">(1+IRR(I49:Y49,IF(SUM(I49:Y49)&lt;0,-0.05,0.01)))^4-1</f>
        <v>0.0485759999999997</v>
      </c>
      <c r="I49" s="35" t="n">
        <f aca="false">IF(I$48=0,-$D49,0)+IF(AND(I$48&gt;=2,MOD(I$48,2)=0,I$48&lt;=MIN(Assumptions!$E$22*4,12)),$D49*Assumptions!$F$22/2,0)+IF(Assumptions!$E$22*4&lt;=12,IF(I$48=Assumptions!$E$22*4,$D49,0),IF(I$48=12,$D49*$E49/100,0))</f>
        <v>-25000</v>
      </c>
      <c r="J49" s="35" t="n">
        <f aca="false">IF(J$48=0,-$D49,0)+IF(AND(J$48&gt;=2,MOD(J$48,2)=0,J$48&lt;=MIN(Assumptions!$E$22*4,12)),$D49*Assumptions!$F$22/2,0)+IF(Assumptions!$E$22*4&lt;=12,IF(J$48=Assumptions!$E$22*4,$D49,0),IF(J$48=12,$D49*$E49/100,0))</f>
        <v>0</v>
      </c>
      <c r="K49" s="35" t="n">
        <f aca="false">IF(K$48=0,-$D49,0)+IF(AND(K$48&gt;=2,MOD(K$48,2)=0,K$48&lt;=MIN(Assumptions!$E$22*4,12)),$D49*Assumptions!$F$22/2,0)+IF(Assumptions!$E$22*4&lt;=12,IF(K$48=Assumptions!$E$22*4,$D49,0),IF(K$48=12,$D49*$E49/100,0))</f>
        <v>600</v>
      </c>
      <c r="L49" s="35" t="n">
        <f aca="false">IF(L$48=0,-$D49,0)+IF(AND(L$48&gt;=2,MOD(L$48,2)=0,L$48&lt;=MIN(Assumptions!$E$22*4,12)),$D49*Assumptions!$F$22/2,0)+IF(Assumptions!$E$22*4&lt;=12,IF(L$48=Assumptions!$E$22*4,$D49,0),IF(L$48=12,$D49*$E49/100,0))</f>
        <v>0</v>
      </c>
      <c r="M49" s="35" t="n">
        <f aca="false">IF(M$48=0,-$D49,0)+IF(AND(M$48&gt;=2,MOD(M$48,2)=0,M$48&lt;=MIN(Assumptions!$E$22*4,12)),$D49*Assumptions!$F$22/2,0)+IF(Assumptions!$E$22*4&lt;=12,IF(M$48=Assumptions!$E$22*4,$D49,0),IF(M$48=12,$D49*$E49/100,0))</f>
        <v>600</v>
      </c>
      <c r="N49" s="35" t="n">
        <f aca="false">IF(N$48=0,-$D49,0)+IF(AND(N$48&gt;=2,MOD(N$48,2)=0,N$48&lt;=MIN(Assumptions!$E$22*4,12)),$D49*Assumptions!$F$22/2,0)+IF(Assumptions!$E$22*4&lt;=12,IF(N$48=Assumptions!$E$22*4,$D49,0),IF(N$48=12,$D49*$E49/100,0))</f>
        <v>0</v>
      </c>
      <c r="O49" s="35" t="n">
        <f aca="false">IF(O$48=0,-$D49,0)+IF(AND(O$48&gt;=2,MOD(O$48,2)=0,O$48&lt;=MIN(Assumptions!$E$22*4,12)),$D49*Assumptions!$F$22/2,0)+IF(Assumptions!$E$22*4&lt;=12,IF(O$48=Assumptions!$E$22*4,$D49,0),IF(O$48=12,$D49*$E49/100,0))</f>
        <v>600</v>
      </c>
      <c r="P49" s="35" t="n">
        <f aca="false">IF(P$48=0,-$D49,0)+IF(AND(P$48&gt;=2,MOD(P$48,2)=0,P$48&lt;=MIN(Assumptions!$E$22*4,12)),$D49*Assumptions!$F$22/2,0)+IF(Assumptions!$E$22*4&lt;=12,IF(P$48=Assumptions!$E$22*4,$D49,0),IF(P$48=12,$D49*$E49/100,0))</f>
        <v>0</v>
      </c>
      <c r="Q49" s="35" t="n">
        <f aca="false">IF(Q$48=0,-$D49,0)+IF(AND(Q$48&gt;=2,MOD(Q$48,2)=0,Q$48&lt;=MIN(Assumptions!$E$22*4,12)),$D49*Assumptions!$F$22/2,0)+IF(Assumptions!$E$22*4&lt;=12,IF(Q$48=Assumptions!$E$22*4,$D49,0),IF(Q$48=12,$D49*$E49/100,0))</f>
        <v>25600</v>
      </c>
      <c r="R49" s="35" t="n">
        <f aca="false">IF(R$48=0,-$D49,0)+IF(AND(R$48&gt;=2,MOD(R$48,2)=0,R$48&lt;=MIN(Assumptions!$E$22*4,12)),$D49*Assumptions!$F$22/2,0)+IF(Assumptions!$E$22*4&lt;=12,IF(R$48=Assumptions!$E$22*4,$D49,0),IF(R$48=12,$D49*$E49/100,0))</f>
        <v>0</v>
      </c>
      <c r="S49" s="35" t="n">
        <f aca="false">IF(S$48=0,-$D49,0)+IF(AND(S$48&gt;=2,MOD(S$48,2)=0,S$48&lt;=MIN(Assumptions!$E$22*4,12)),$D49*Assumptions!$F$22/2,0)+IF(Assumptions!$E$22*4&lt;=12,IF(S$48=Assumptions!$E$22*4,$D49,0),IF(S$48=12,$D49*$E49/100,0))</f>
        <v>0</v>
      </c>
      <c r="T49" s="35" t="n">
        <f aca="false">IF(T$48=0,-$D49,0)+IF(AND(T$48&gt;=2,MOD(T$48,2)=0,T$48&lt;=MIN(Assumptions!$E$22*4,12)),$D49*Assumptions!$F$22/2,0)+IF(Assumptions!$E$22*4&lt;=12,IF(T$48=Assumptions!$E$22*4,$D49,0),IF(T$48=12,$D49*$E49/100,0))</f>
        <v>0</v>
      </c>
      <c r="U49" s="35" t="n">
        <f aca="false">IF(U$48=0,-$D49,0)+IF(AND(U$48&gt;=2,MOD(U$48,2)=0,U$48&lt;=MIN(Assumptions!$E$22*4,12)),$D49*Assumptions!$F$22/2,0)+IF(Assumptions!$E$22*4&lt;=12,IF(U$48=Assumptions!$E$22*4,$D49,0),IF(U$48=12,$D49*$E49/100,0))</f>
        <v>0</v>
      </c>
      <c r="V49" s="35" t="n">
        <f aca="false">IF(V$48=0,-$D49,0)+IF(AND(V$48&gt;=2,MOD(V$48,2)=0,V$48&lt;=MIN(Assumptions!$E$22*4,12)),$D49*Assumptions!$F$22/2,0)+IF(Assumptions!$E$22*4&lt;=12,IF(V$48=Assumptions!$E$22*4,$D49,0),IF(V$48=12,$D49*$E49/100,0))</f>
        <v>0</v>
      </c>
      <c r="W49" s="35" t="n">
        <f aca="false">IF(W$48=0,-$D49,0)+IF(AND(W$48&gt;=2,MOD(W$48,2)=0,W$48&lt;=MIN(Assumptions!$E$22*4,12)),$D49*Assumptions!$F$22/2,0)+IF(Assumptions!$E$22*4&lt;=12,IF(W$48=Assumptions!$E$22*4,$D49,0),IF(W$48=12,$D49*$E49/100,0))</f>
        <v>0</v>
      </c>
      <c r="X49" s="35" t="n">
        <f aca="false">IF(X$48=0,-$D49,0)+IF(AND(X$48&gt;=2,MOD(X$48,2)=0,X$48&lt;=MIN(Assumptions!$E$22*4,12)),$D49*Assumptions!$F$22/2,0)+IF(Assumptions!$E$22*4&lt;=12,IF(X$48=Assumptions!$E$22*4,$D49,0),IF(X$48=12,$D49*$E49/100,0))</f>
        <v>0</v>
      </c>
      <c r="Y49" s="35" t="n">
        <f aca="false">IF(Y$48=0,-$D49,0)+IF(AND(Y$48&gt;=2,MOD(Y$48,2)=0,Y$48&lt;=MIN(Assumptions!$E$22*4,12)),$D49*Assumptions!$F$22/2,0)+IF(Assumptions!$E$22*4&lt;=12,IF(Y$48=Assumptions!$E$22*4,$D49,0),IF(Y$48=12,$D49*$E49/100,0))</f>
        <v>0</v>
      </c>
    </row>
    <row r="50" customFormat="false" ht="15" hidden="false" customHeight="false" outlineLevel="0" collapsed="false">
      <c r="B50" s="9" t="s">
        <v>37</v>
      </c>
      <c r="C50" s="9" t="s">
        <v>135</v>
      </c>
      <c r="D50" s="26" t="n">
        <f aca="false">Assumptions!$C$20</f>
        <v>25000</v>
      </c>
      <c r="E50" s="34" t="n">
        <f aca="false">IF(Assumptions!$E$23*4&lt;=12,100,PV((Assumptions!$F$23+$C$40+$C$42)/2,(Assumptions!$E$23*4-12)/2,-Assumptions!$F$23*100/2,-100))</f>
        <v>100</v>
      </c>
      <c r="F50" s="17" t="n">
        <f aca="false">Assumptions!$F$23</f>
        <v>0.0495</v>
      </c>
      <c r="G50" s="26" t="n">
        <f aca="false">SUM(I50:Y50)</f>
        <v>3712.5</v>
      </c>
      <c r="H50" s="29" t="n">
        <f aca="false">(1+IRR(I50:Y50,IF(SUM(I50:Y50)&lt;0,-0.05,0.01)))^4-1</f>
        <v>0.0501125624999987</v>
      </c>
      <c r="I50" s="35" t="n">
        <f aca="false">IF(I$48=0,-$D50,0)+IF(AND(I$48&gt;=2,MOD(I$48,2)=0,I$48&lt;=MIN(Assumptions!$E$23*4,12)),$D50*Assumptions!$F$23/2,0)+IF(Assumptions!$E$23*4&lt;=12,IF(I$48=Assumptions!$E$23*4,$D50,0),IF(I$48=12,$D50*$E50/100,0))</f>
        <v>-25000</v>
      </c>
      <c r="J50" s="35" t="n">
        <f aca="false">IF(J$48=0,-$D50,0)+IF(AND(J$48&gt;=2,MOD(J$48,2)=0,J$48&lt;=MIN(Assumptions!$E$23*4,12)),$D50*Assumptions!$F$23/2,0)+IF(Assumptions!$E$23*4&lt;=12,IF(J$48=Assumptions!$E$23*4,$D50,0),IF(J$48=12,$D50*$E50/100,0))</f>
        <v>0</v>
      </c>
      <c r="K50" s="35" t="n">
        <f aca="false">IF(K$48=0,-$D50,0)+IF(AND(K$48&gt;=2,MOD(K$48,2)=0,K$48&lt;=MIN(Assumptions!$E$23*4,12)),$D50*Assumptions!$F$23/2,0)+IF(Assumptions!$E$23*4&lt;=12,IF(K$48=Assumptions!$E$23*4,$D50,0),IF(K$48=12,$D50*$E50/100,0))</f>
        <v>618.75</v>
      </c>
      <c r="L50" s="35" t="n">
        <f aca="false">IF(L$48=0,-$D50,0)+IF(AND(L$48&gt;=2,MOD(L$48,2)=0,L$48&lt;=MIN(Assumptions!$E$23*4,12)),$D50*Assumptions!$F$23/2,0)+IF(Assumptions!$E$23*4&lt;=12,IF(L$48=Assumptions!$E$23*4,$D50,0),IF(L$48=12,$D50*$E50/100,0))</f>
        <v>0</v>
      </c>
      <c r="M50" s="35" t="n">
        <f aca="false">IF(M$48=0,-$D50,0)+IF(AND(M$48&gt;=2,MOD(M$48,2)=0,M$48&lt;=MIN(Assumptions!$E$23*4,12)),$D50*Assumptions!$F$23/2,0)+IF(Assumptions!$E$23*4&lt;=12,IF(M$48=Assumptions!$E$23*4,$D50,0),IF(M$48=12,$D50*$E50/100,0))</f>
        <v>618.75</v>
      </c>
      <c r="N50" s="35" t="n">
        <f aca="false">IF(N$48=0,-$D50,0)+IF(AND(N$48&gt;=2,MOD(N$48,2)=0,N$48&lt;=MIN(Assumptions!$E$23*4,12)),$D50*Assumptions!$F$23/2,0)+IF(Assumptions!$E$23*4&lt;=12,IF(N$48=Assumptions!$E$23*4,$D50,0),IF(N$48=12,$D50*$E50/100,0))</f>
        <v>0</v>
      </c>
      <c r="O50" s="35" t="n">
        <f aca="false">IF(O$48=0,-$D50,0)+IF(AND(O$48&gt;=2,MOD(O$48,2)=0,O$48&lt;=MIN(Assumptions!$E$23*4,12)),$D50*Assumptions!$F$23/2,0)+IF(Assumptions!$E$23*4&lt;=12,IF(O$48=Assumptions!$E$23*4,$D50,0),IF(O$48=12,$D50*$E50/100,0))</f>
        <v>618.75</v>
      </c>
      <c r="P50" s="35" t="n">
        <f aca="false">IF(P$48=0,-$D50,0)+IF(AND(P$48&gt;=2,MOD(P$48,2)=0,P$48&lt;=MIN(Assumptions!$E$23*4,12)),$D50*Assumptions!$F$23/2,0)+IF(Assumptions!$E$23*4&lt;=12,IF(P$48=Assumptions!$E$23*4,$D50,0),IF(P$48=12,$D50*$E50/100,0))</f>
        <v>0</v>
      </c>
      <c r="Q50" s="35" t="n">
        <f aca="false">IF(Q$48=0,-$D50,0)+IF(AND(Q$48&gt;=2,MOD(Q$48,2)=0,Q$48&lt;=MIN(Assumptions!$E$23*4,12)),$D50*Assumptions!$F$23/2,0)+IF(Assumptions!$E$23*4&lt;=12,IF(Q$48=Assumptions!$E$23*4,$D50,0),IF(Q$48=12,$D50*$E50/100,0))</f>
        <v>618.75</v>
      </c>
      <c r="R50" s="35" t="n">
        <f aca="false">IF(R$48=0,-$D50,0)+IF(AND(R$48&gt;=2,MOD(R$48,2)=0,R$48&lt;=MIN(Assumptions!$E$23*4,12)),$D50*Assumptions!$F$23/2,0)+IF(Assumptions!$E$23*4&lt;=12,IF(R$48=Assumptions!$E$23*4,$D50,0),IF(R$48=12,$D50*$E50/100,0))</f>
        <v>0</v>
      </c>
      <c r="S50" s="35" t="n">
        <f aca="false">IF(S$48=0,-$D50,0)+IF(AND(S$48&gt;=2,MOD(S$48,2)=0,S$48&lt;=MIN(Assumptions!$E$23*4,12)),$D50*Assumptions!$F$23/2,0)+IF(Assumptions!$E$23*4&lt;=12,IF(S$48=Assumptions!$E$23*4,$D50,0),IF(S$48=12,$D50*$E50/100,0))</f>
        <v>618.75</v>
      </c>
      <c r="T50" s="35" t="n">
        <f aca="false">IF(T$48=0,-$D50,0)+IF(AND(T$48&gt;=2,MOD(T$48,2)=0,T$48&lt;=MIN(Assumptions!$E$23*4,12)),$D50*Assumptions!$F$23/2,0)+IF(Assumptions!$E$23*4&lt;=12,IF(T$48=Assumptions!$E$23*4,$D50,0),IF(T$48=12,$D50*$E50/100,0))</f>
        <v>0</v>
      </c>
      <c r="U50" s="35" t="n">
        <f aca="false">IF(U$48=0,-$D50,0)+IF(AND(U$48&gt;=2,MOD(U$48,2)=0,U$48&lt;=MIN(Assumptions!$E$23*4,12)),$D50*Assumptions!$F$23/2,0)+IF(Assumptions!$E$23*4&lt;=12,IF(U$48=Assumptions!$E$23*4,$D50,0),IF(U$48=12,$D50*$E50/100,0))</f>
        <v>25618.75</v>
      </c>
      <c r="V50" s="35" t="n">
        <f aca="false">IF(V$48=0,-$D50,0)+IF(AND(V$48&gt;=2,MOD(V$48,2)=0,V$48&lt;=MIN(Assumptions!$E$23*4,12)),$D50*Assumptions!$F$23/2,0)+IF(Assumptions!$E$23*4&lt;=12,IF(V$48=Assumptions!$E$23*4,$D50,0),IF(V$48=12,$D50*$E50/100,0))</f>
        <v>0</v>
      </c>
      <c r="W50" s="35" t="n">
        <f aca="false">IF(W$48=0,-$D50,0)+IF(AND(W$48&gt;=2,MOD(W$48,2)=0,W$48&lt;=MIN(Assumptions!$E$23*4,12)),$D50*Assumptions!$F$23/2,0)+IF(Assumptions!$E$23*4&lt;=12,IF(W$48=Assumptions!$E$23*4,$D50,0),IF(W$48=12,$D50*$E50/100,0))</f>
        <v>0</v>
      </c>
      <c r="X50" s="35" t="n">
        <f aca="false">IF(X$48=0,-$D50,0)+IF(AND(X$48&gt;=2,MOD(X$48,2)=0,X$48&lt;=MIN(Assumptions!$E$23*4,12)),$D50*Assumptions!$F$23/2,0)+IF(Assumptions!$E$23*4&lt;=12,IF(X$48=Assumptions!$E$23*4,$D50,0),IF(X$48=12,$D50*$E50/100,0))</f>
        <v>0</v>
      </c>
      <c r="Y50" s="35" t="n">
        <f aca="false">IF(Y$48=0,-$D50,0)+IF(AND(Y$48&gt;=2,MOD(Y$48,2)=0,Y$48&lt;=MIN(Assumptions!$E$23*4,12)),$D50*Assumptions!$F$23/2,0)+IF(Assumptions!$E$23*4&lt;=12,IF(Y$48=Assumptions!$E$23*4,$D50,0),IF(Y$48=12,$D50*$E50/100,0))</f>
        <v>0</v>
      </c>
    </row>
    <row r="51" customFormat="false" ht="15" hidden="false" customHeight="false" outlineLevel="0" collapsed="false">
      <c r="B51" s="9" t="s">
        <v>38</v>
      </c>
      <c r="C51" s="9" t="s">
        <v>135</v>
      </c>
      <c r="D51" s="26" t="n">
        <f aca="false">Assumptions!$C$20</f>
        <v>25000</v>
      </c>
      <c r="E51" s="34" t="n">
        <f aca="false">IF(Assumptions!$E$24*4&lt;=12,100,PV((Assumptions!$F$24+$C$40+$C$42)/2,(Assumptions!$E$24*4-12)/2,-Assumptions!$F$24*100/2,-100))</f>
        <v>98.1023567957235</v>
      </c>
      <c r="F51" s="17" t="n">
        <f aca="false">Assumptions!$F$24</f>
        <v>0.0515</v>
      </c>
      <c r="G51" s="26" t="n">
        <f aca="false">SUM(I51:Y51)</f>
        <v>3388.08919893088</v>
      </c>
      <c r="H51" s="29" t="n">
        <f aca="false">(1+IRR(I51:Y51,IF(SUM(I51:Y51)&lt;0,-0.05,0.01)))^4-1</f>
        <v>0.0460431652110525</v>
      </c>
      <c r="I51" s="35" t="n">
        <f aca="false">IF(I$48=0,-$D51,0)+IF(AND(I$48&gt;=2,MOD(I$48,2)=0,I$48&lt;=MIN(Assumptions!$E$24*4,12)),$D51*Assumptions!$F$24/2,0)+IF(Assumptions!$E$24*4&lt;=12,IF(I$48=Assumptions!$E$24*4,$D51,0),IF(I$48=12,$D51*$E51/100,0))</f>
        <v>-25000</v>
      </c>
      <c r="J51" s="35" t="n">
        <f aca="false">IF(J$48=0,-$D51,0)+IF(AND(J$48&gt;=2,MOD(J$48,2)=0,J$48&lt;=MIN(Assumptions!$E$24*4,12)),$D51*Assumptions!$F$24/2,0)+IF(Assumptions!$E$24*4&lt;=12,IF(J$48=Assumptions!$E$24*4,$D51,0),IF(J$48=12,$D51*$E51/100,0))</f>
        <v>0</v>
      </c>
      <c r="K51" s="35" t="n">
        <f aca="false">IF(K$48=0,-$D51,0)+IF(AND(K$48&gt;=2,MOD(K$48,2)=0,K$48&lt;=MIN(Assumptions!$E$24*4,12)),$D51*Assumptions!$F$24/2,0)+IF(Assumptions!$E$24*4&lt;=12,IF(K$48=Assumptions!$E$24*4,$D51,0),IF(K$48=12,$D51*$E51/100,0))</f>
        <v>643.75</v>
      </c>
      <c r="L51" s="35" t="n">
        <f aca="false">IF(L$48=0,-$D51,0)+IF(AND(L$48&gt;=2,MOD(L$48,2)=0,L$48&lt;=MIN(Assumptions!$E$24*4,12)),$D51*Assumptions!$F$24/2,0)+IF(Assumptions!$E$24*4&lt;=12,IF(L$48=Assumptions!$E$24*4,$D51,0),IF(L$48=12,$D51*$E51/100,0))</f>
        <v>0</v>
      </c>
      <c r="M51" s="35" t="n">
        <f aca="false">IF(M$48=0,-$D51,0)+IF(AND(M$48&gt;=2,MOD(M$48,2)=0,M$48&lt;=MIN(Assumptions!$E$24*4,12)),$D51*Assumptions!$F$24/2,0)+IF(Assumptions!$E$24*4&lt;=12,IF(M$48=Assumptions!$E$24*4,$D51,0),IF(M$48=12,$D51*$E51/100,0))</f>
        <v>643.75</v>
      </c>
      <c r="N51" s="35" t="n">
        <f aca="false">IF(N$48=0,-$D51,0)+IF(AND(N$48&gt;=2,MOD(N$48,2)=0,N$48&lt;=MIN(Assumptions!$E$24*4,12)),$D51*Assumptions!$F$24/2,0)+IF(Assumptions!$E$24*4&lt;=12,IF(N$48=Assumptions!$E$24*4,$D51,0),IF(N$48=12,$D51*$E51/100,0))</f>
        <v>0</v>
      </c>
      <c r="O51" s="35" t="n">
        <f aca="false">IF(O$48=0,-$D51,0)+IF(AND(O$48&gt;=2,MOD(O$48,2)=0,O$48&lt;=MIN(Assumptions!$E$24*4,12)),$D51*Assumptions!$F$24/2,0)+IF(Assumptions!$E$24*4&lt;=12,IF(O$48=Assumptions!$E$24*4,$D51,0),IF(O$48=12,$D51*$E51/100,0))</f>
        <v>643.75</v>
      </c>
      <c r="P51" s="35" t="n">
        <f aca="false">IF(P$48=0,-$D51,0)+IF(AND(P$48&gt;=2,MOD(P$48,2)=0,P$48&lt;=MIN(Assumptions!$E$24*4,12)),$D51*Assumptions!$F$24/2,0)+IF(Assumptions!$E$24*4&lt;=12,IF(P$48=Assumptions!$E$24*4,$D51,0),IF(P$48=12,$D51*$E51/100,0))</f>
        <v>0</v>
      </c>
      <c r="Q51" s="35" t="n">
        <f aca="false">IF(Q$48=0,-$D51,0)+IF(AND(Q$48&gt;=2,MOD(Q$48,2)=0,Q$48&lt;=MIN(Assumptions!$E$24*4,12)),$D51*Assumptions!$F$24/2,0)+IF(Assumptions!$E$24*4&lt;=12,IF(Q$48=Assumptions!$E$24*4,$D51,0),IF(Q$48=12,$D51*$E51/100,0))</f>
        <v>643.75</v>
      </c>
      <c r="R51" s="35" t="n">
        <f aca="false">IF(R$48=0,-$D51,0)+IF(AND(R$48&gt;=2,MOD(R$48,2)=0,R$48&lt;=MIN(Assumptions!$E$24*4,12)),$D51*Assumptions!$F$24/2,0)+IF(Assumptions!$E$24*4&lt;=12,IF(R$48=Assumptions!$E$24*4,$D51,0),IF(R$48=12,$D51*$E51/100,0))</f>
        <v>0</v>
      </c>
      <c r="S51" s="35" t="n">
        <f aca="false">IF(S$48=0,-$D51,0)+IF(AND(S$48&gt;=2,MOD(S$48,2)=0,S$48&lt;=MIN(Assumptions!$E$24*4,12)),$D51*Assumptions!$F$24/2,0)+IF(Assumptions!$E$24*4&lt;=12,IF(S$48=Assumptions!$E$24*4,$D51,0),IF(S$48=12,$D51*$E51/100,0))</f>
        <v>643.75</v>
      </c>
      <c r="T51" s="35" t="n">
        <f aca="false">IF(T$48=0,-$D51,0)+IF(AND(T$48&gt;=2,MOD(T$48,2)=0,T$48&lt;=MIN(Assumptions!$E$24*4,12)),$D51*Assumptions!$F$24/2,0)+IF(Assumptions!$E$24*4&lt;=12,IF(T$48=Assumptions!$E$24*4,$D51,0),IF(T$48=12,$D51*$E51/100,0))</f>
        <v>0</v>
      </c>
      <c r="U51" s="35" t="n">
        <f aca="false">IF(U$48=0,-$D51,0)+IF(AND(U$48&gt;=2,MOD(U$48,2)=0,U$48&lt;=MIN(Assumptions!$E$24*4,12)),$D51*Assumptions!$F$24/2,0)+IF(Assumptions!$E$24*4&lt;=12,IF(U$48=Assumptions!$E$24*4,$D51,0),IF(U$48=12,$D51*$E51/100,0))</f>
        <v>25169.3391989309</v>
      </c>
      <c r="V51" s="35" t="n">
        <f aca="false">IF(V$48=0,-$D51,0)+IF(AND(V$48&gt;=2,MOD(V$48,2)=0,V$48&lt;=MIN(Assumptions!$E$24*4,12)),$D51*Assumptions!$F$24/2,0)+IF(Assumptions!$E$24*4&lt;=12,IF(V$48=Assumptions!$E$24*4,$D51,0),IF(V$48=12,$D51*$E51/100,0))</f>
        <v>0</v>
      </c>
      <c r="W51" s="35" t="n">
        <f aca="false">IF(W$48=0,-$D51,0)+IF(AND(W$48&gt;=2,MOD(W$48,2)=0,W$48&lt;=MIN(Assumptions!$E$24*4,12)),$D51*Assumptions!$F$24/2,0)+IF(Assumptions!$E$24*4&lt;=12,IF(W$48=Assumptions!$E$24*4,$D51,0),IF(W$48=12,$D51*$E51/100,0))</f>
        <v>0</v>
      </c>
      <c r="X51" s="35" t="n">
        <f aca="false">IF(X$48=0,-$D51,0)+IF(AND(X$48&gt;=2,MOD(X$48,2)=0,X$48&lt;=MIN(Assumptions!$E$24*4,12)),$D51*Assumptions!$F$24/2,0)+IF(Assumptions!$E$24*4&lt;=12,IF(X$48=Assumptions!$E$24*4,$D51,0),IF(X$48=12,$D51*$E51/100,0))</f>
        <v>0</v>
      </c>
      <c r="Y51" s="35" t="n">
        <f aca="false">IF(Y$48=0,-$D51,0)+IF(AND(Y$48&gt;=2,MOD(Y$48,2)=0,Y$48&lt;=MIN(Assumptions!$E$24*4,12)),$D51*Assumptions!$F$24/2,0)+IF(Assumptions!$E$24*4&lt;=12,IF(Y$48=Assumptions!$E$24*4,$D51,0),IF(Y$48=12,$D51*$E51/100,0))</f>
        <v>0</v>
      </c>
    </row>
    <row r="52" customFormat="false" ht="15" hidden="false" customHeight="false" outlineLevel="0" collapsed="false">
      <c r="B52" s="9" t="s">
        <v>39</v>
      </c>
      <c r="C52" s="9" t="s">
        <v>135</v>
      </c>
      <c r="D52" s="26" t="n">
        <f aca="false">Assumptions!$C$20</f>
        <v>25000</v>
      </c>
      <c r="E52" s="34" t="n">
        <f aca="false">IF(Assumptions!$E$25*4&lt;=12,100,PV((Assumptions!$F$25+$C$40+$C$42)/2,(Assumptions!$E$25*4-12)/2,-Assumptions!$F$25*100/2,-100))</f>
        <v>96.3399627271719</v>
      </c>
      <c r="F52" s="17" t="n">
        <f aca="false">Assumptions!$F$25</f>
        <v>0.053</v>
      </c>
      <c r="G52" s="26" t="n">
        <f aca="false">SUM(I52:Y52)</f>
        <v>3059.99068179298</v>
      </c>
      <c r="H52" s="29" t="n">
        <f aca="false">(1+IRR(I52:Y52,IF(SUM(I52:Y52)&lt;0,-0.05,0.01)))^4-1</f>
        <v>0.0418452116385981</v>
      </c>
      <c r="I52" s="35" t="n">
        <f aca="false">IF(I$48=0,-$D52,0)+IF(AND(I$48&gt;=2,MOD(I$48,2)=0,I$48&lt;=MIN(Assumptions!$E$25*4,12)),$D52*Assumptions!$F$25/2,0)+IF(Assumptions!$E$25*4&lt;=12,IF(I$48=Assumptions!$E$25*4,$D52,0),IF(I$48=12,$D52*$E52/100,0))</f>
        <v>-25000</v>
      </c>
      <c r="J52" s="35" t="n">
        <f aca="false">IF(J$48=0,-$D52,0)+IF(AND(J$48&gt;=2,MOD(J$48,2)=0,J$48&lt;=MIN(Assumptions!$E$25*4,12)),$D52*Assumptions!$F$25/2,0)+IF(Assumptions!$E$25*4&lt;=12,IF(J$48=Assumptions!$E$25*4,$D52,0),IF(J$48=12,$D52*$E52/100,0))</f>
        <v>0</v>
      </c>
      <c r="K52" s="35" t="n">
        <f aca="false">IF(K$48=0,-$D52,0)+IF(AND(K$48&gt;=2,MOD(K$48,2)=0,K$48&lt;=MIN(Assumptions!$E$25*4,12)),$D52*Assumptions!$F$25/2,0)+IF(Assumptions!$E$25*4&lt;=12,IF(K$48=Assumptions!$E$25*4,$D52,0),IF(K$48=12,$D52*$E52/100,0))</f>
        <v>662.5</v>
      </c>
      <c r="L52" s="35" t="n">
        <f aca="false">IF(L$48=0,-$D52,0)+IF(AND(L$48&gt;=2,MOD(L$48,2)=0,L$48&lt;=MIN(Assumptions!$E$25*4,12)),$D52*Assumptions!$F$25/2,0)+IF(Assumptions!$E$25*4&lt;=12,IF(L$48=Assumptions!$E$25*4,$D52,0),IF(L$48=12,$D52*$E52/100,0))</f>
        <v>0</v>
      </c>
      <c r="M52" s="35" t="n">
        <f aca="false">IF(M$48=0,-$D52,0)+IF(AND(M$48&gt;=2,MOD(M$48,2)=0,M$48&lt;=MIN(Assumptions!$E$25*4,12)),$D52*Assumptions!$F$25/2,0)+IF(Assumptions!$E$25*4&lt;=12,IF(M$48=Assumptions!$E$25*4,$D52,0),IF(M$48=12,$D52*$E52/100,0))</f>
        <v>662.5</v>
      </c>
      <c r="N52" s="35" t="n">
        <f aca="false">IF(N$48=0,-$D52,0)+IF(AND(N$48&gt;=2,MOD(N$48,2)=0,N$48&lt;=MIN(Assumptions!$E$25*4,12)),$D52*Assumptions!$F$25/2,0)+IF(Assumptions!$E$25*4&lt;=12,IF(N$48=Assumptions!$E$25*4,$D52,0),IF(N$48=12,$D52*$E52/100,0))</f>
        <v>0</v>
      </c>
      <c r="O52" s="35" t="n">
        <f aca="false">IF(O$48=0,-$D52,0)+IF(AND(O$48&gt;=2,MOD(O$48,2)=0,O$48&lt;=MIN(Assumptions!$E$25*4,12)),$D52*Assumptions!$F$25/2,0)+IF(Assumptions!$E$25*4&lt;=12,IF(O$48=Assumptions!$E$25*4,$D52,0),IF(O$48=12,$D52*$E52/100,0))</f>
        <v>662.5</v>
      </c>
      <c r="P52" s="35" t="n">
        <f aca="false">IF(P$48=0,-$D52,0)+IF(AND(P$48&gt;=2,MOD(P$48,2)=0,P$48&lt;=MIN(Assumptions!$E$25*4,12)),$D52*Assumptions!$F$25/2,0)+IF(Assumptions!$E$25*4&lt;=12,IF(P$48=Assumptions!$E$25*4,$D52,0),IF(P$48=12,$D52*$E52/100,0))</f>
        <v>0</v>
      </c>
      <c r="Q52" s="35" t="n">
        <f aca="false">IF(Q$48=0,-$D52,0)+IF(AND(Q$48&gt;=2,MOD(Q$48,2)=0,Q$48&lt;=MIN(Assumptions!$E$25*4,12)),$D52*Assumptions!$F$25/2,0)+IF(Assumptions!$E$25*4&lt;=12,IF(Q$48=Assumptions!$E$25*4,$D52,0),IF(Q$48=12,$D52*$E52/100,0))</f>
        <v>662.5</v>
      </c>
      <c r="R52" s="35" t="n">
        <f aca="false">IF(R$48=0,-$D52,0)+IF(AND(R$48&gt;=2,MOD(R$48,2)=0,R$48&lt;=MIN(Assumptions!$E$25*4,12)),$D52*Assumptions!$F$25/2,0)+IF(Assumptions!$E$25*4&lt;=12,IF(R$48=Assumptions!$E$25*4,$D52,0),IF(R$48=12,$D52*$E52/100,0))</f>
        <v>0</v>
      </c>
      <c r="S52" s="35" t="n">
        <f aca="false">IF(S$48=0,-$D52,0)+IF(AND(S$48&gt;=2,MOD(S$48,2)=0,S$48&lt;=MIN(Assumptions!$E$25*4,12)),$D52*Assumptions!$F$25/2,0)+IF(Assumptions!$E$25*4&lt;=12,IF(S$48=Assumptions!$E$25*4,$D52,0),IF(S$48=12,$D52*$E52/100,0))</f>
        <v>662.5</v>
      </c>
      <c r="T52" s="35" t="n">
        <f aca="false">IF(T$48=0,-$D52,0)+IF(AND(T$48&gt;=2,MOD(T$48,2)=0,T$48&lt;=MIN(Assumptions!$E$25*4,12)),$D52*Assumptions!$F$25/2,0)+IF(Assumptions!$E$25*4&lt;=12,IF(T$48=Assumptions!$E$25*4,$D52,0),IF(T$48=12,$D52*$E52/100,0))</f>
        <v>0</v>
      </c>
      <c r="U52" s="35" t="n">
        <f aca="false">IF(U$48=0,-$D52,0)+IF(AND(U$48&gt;=2,MOD(U$48,2)=0,U$48&lt;=MIN(Assumptions!$E$25*4,12)),$D52*Assumptions!$F$25/2,0)+IF(Assumptions!$E$25*4&lt;=12,IF(U$48=Assumptions!$E$25*4,$D52,0),IF(U$48=12,$D52*$E52/100,0))</f>
        <v>24747.490681793</v>
      </c>
      <c r="V52" s="35" t="n">
        <f aca="false">IF(V$48=0,-$D52,0)+IF(AND(V$48&gt;=2,MOD(V$48,2)=0,V$48&lt;=MIN(Assumptions!$E$25*4,12)),$D52*Assumptions!$F$25/2,0)+IF(Assumptions!$E$25*4&lt;=12,IF(V$48=Assumptions!$E$25*4,$D52,0),IF(V$48=12,$D52*$E52/100,0))</f>
        <v>0</v>
      </c>
      <c r="W52" s="35" t="n">
        <f aca="false">IF(W$48=0,-$D52,0)+IF(AND(W$48&gt;=2,MOD(W$48,2)=0,W$48&lt;=MIN(Assumptions!$E$25*4,12)),$D52*Assumptions!$F$25/2,0)+IF(Assumptions!$E$25*4&lt;=12,IF(W$48=Assumptions!$E$25*4,$D52,0),IF(W$48=12,$D52*$E52/100,0))</f>
        <v>0</v>
      </c>
      <c r="X52" s="35" t="n">
        <f aca="false">IF(X$48=0,-$D52,0)+IF(AND(X$48&gt;=2,MOD(X$48,2)=0,X$48&lt;=MIN(Assumptions!$E$25*4,12)),$D52*Assumptions!$F$25/2,0)+IF(Assumptions!$E$25*4&lt;=12,IF(X$48=Assumptions!$E$25*4,$D52,0),IF(X$48=12,$D52*$E52/100,0))</f>
        <v>0</v>
      </c>
      <c r="Y52" s="35" t="n">
        <f aca="false">IF(Y$48=0,-$D52,0)+IF(AND(Y$48&gt;=2,MOD(Y$48,2)=0,Y$48&lt;=MIN(Assumptions!$E$25*4,12)),$D52*Assumptions!$F$25/2,0)+IF(Assumptions!$E$25*4&lt;=12,IF(Y$48=Assumptions!$E$25*4,$D52,0),IF(Y$48=12,$D52*$E52/100,0))</f>
        <v>0</v>
      </c>
    </row>
    <row r="53" customFormat="false" ht="15" hidden="false" customHeight="false" outlineLevel="0" collapsed="false">
      <c r="B53" s="9" t="s">
        <v>40</v>
      </c>
      <c r="C53" s="9" t="s">
        <v>135</v>
      </c>
      <c r="D53" s="26" t="n">
        <f aca="false">Assumptions!$C$20</f>
        <v>25000</v>
      </c>
      <c r="E53" s="34" t="n">
        <f aca="false">IF(Assumptions!$E$26*4&lt;=12,100,PV((Assumptions!$F$26+$C$40+$C$42)/2,(Assumptions!$E$26*4-12)/2,-Assumptions!$F$26*100/2,-100))</f>
        <v>94.7106049806793</v>
      </c>
      <c r="F53" s="17" t="n">
        <f aca="false">Assumptions!$F$26</f>
        <v>0.0545</v>
      </c>
      <c r="G53" s="26" t="n">
        <f aca="false">SUM(I53:Y53)</f>
        <v>2765.15124516982</v>
      </c>
      <c r="H53" s="29" t="n">
        <f aca="false">(1+IRR(I53:Y53,IF(SUM(I53:Y53)&lt;0,-0.05,0.01)))^4-1</f>
        <v>0.0380360269980895</v>
      </c>
      <c r="I53" s="35" t="n">
        <f aca="false">IF(I$48=0,-$D53,0)+IF(AND(I$48&gt;=2,MOD(I$48,2)=0,I$48&lt;=MIN(Assumptions!$E$26*4,12)),$D53*Assumptions!$F$26/2,0)+IF(Assumptions!$E$26*4&lt;=12,IF(I$48=Assumptions!$E$26*4,$D53,0),IF(I$48=12,$D53*$E53/100,0))</f>
        <v>-25000</v>
      </c>
      <c r="J53" s="35" t="n">
        <f aca="false">IF(J$48=0,-$D53,0)+IF(AND(J$48&gt;=2,MOD(J$48,2)=0,J$48&lt;=MIN(Assumptions!$E$26*4,12)),$D53*Assumptions!$F$26/2,0)+IF(Assumptions!$E$26*4&lt;=12,IF(J$48=Assumptions!$E$26*4,$D53,0),IF(J$48=12,$D53*$E53/100,0))</f>
        <v>0</v>
      </c>
      <c r="K53" s="35" t="n">
        <f aca="false">IF(K$48=0,-$D53,0)+IF(AND(K$48&gt;=2,MOD(K$48,2)=0,K$48&lt;=MIN(Assumptions!$E$26*4,12)),$D53*Assumptions!$F$26/2,0)+IF(Assumptions!$E$26*4&lt;=12,IF(K$48=Assumptions!$E$26*4,$D53,0),IF(K$48=12,$D53*$E53/100,0))</f>
        <v>681.25</v>
      </c>
      <c r="L53" s="35" t="n">
        <f aca="false">IF(L$48=0,-$D53,0)+IF(AND(L$48&gt;=2,MOD(L$48,2)=0,L$48&lt;=MIN(Assumptions!$E$26*4,12)),$D53*Assumptions!$F$26/2,0)+IF(Assumptions!$E$26*4&lt;=12,IF(L$48=Assumptions!$E$26*4,$D53,0),IF(L$48=12,$D53*$E53/100,0))</f>
        <v>0</v>
      </c>
      <c r="M53" s="35" t="n">
        <f aca="false">IF(M$48=0,-$D53,0)+IF(AND(M$48&gt;=2,MOD(M$48,2)=0,M$48&lt;=MIN(Assumptions!$E$26*4,12)),$D53*Assumptions!$F$26/2,0)+IF(Assumptions!$E$26*4&lt;=12,IF(M$48=Assumptions!$E$26*4,$D53,0),IF(M$48=12,$D53*$E53/100,0))</f>
        <v>681.25</v>
      </c>
      <c r="N53" s="35" t="n">
        <f aca="false">IF(N$48=0,-$D53,0)+IF(AND(N$48&gt;=2,MOD(N$48,2)=0,N$48&lt;=MIN(Assumptions!$E$26*4,12)),$D53*Assumptions!$F$26/2,0)+IF(Assumptions!$E$26*4&lt;=12,IF(N$48=Assumptions!$E$26*4,$D53,0),IF(N$48=12,$D53*$E53/100,0))</f>
        <v>0</v>
      </c>
      <c r="O53" s="35" t="n">
        <f aca="false">IF(O$48=0,-$D53,0)+IF(AND(O$48&gt;=2,MOD(O$48,2)=0,O$48&lt;=MIN(Assumptions!$E$26*4,12)),$D53*Assumptions!$F$26/2,0)+IF(Assumptions!$E$26*4&lt;=12,IF(O$48=Assumptions!$E$26*4,$D53,0),IF(O$48=12,$D53*$E53/100,0))</f>
        <v>681.25</v>
      </c>
      <c r="P53" s="35" t="n">
        <f aca="false">IF(P$48=0,-$D53,0)+IF(AND(P$48&gt;=2,MOD(P$48,2)=0,P$48&lt;=MIN(Assumptions!$E$26*4,12)),$D53*Assumptions!$F$26/2,0)+IF(Assumptions!$E$26*4&lt;=12,IF(P$48=Assumptions!$E$26*4,$D53,0),IF(P$48=12,$D53*$E53/100,0))</f>
        <v>0</v>
      </c>
      <c r="Q53" s="35" t="n">
        <f aca="false">IF(Q$48=0,-$D53,0)+IF(AND(Q$48&gt;=2,MOD(Q$48,2)=0,Q$48&lt;=MIN(Assumptions!$E$26*4,12)),$D53*Assumptions!$F$26/2,0)+IF(Assumptions!$E$26*4&lt;=12,IF(Q$48=Assumptions!$E$26*4,$D53,0),IF(Q$48=12,$D53*$E53/100,0))</f>
        <v>681.25</v>
      </c>
      <c r="R53" s="35" t="n">
        <f aca="false">IF(R$48=0,-$D53,0)+IF(AND(R$48&gt;=2,MOD(R$48,2)=0,R$48&lt;=MIN(Assumptions!$E$26*4,12)),$D53*Assumptions!$F$26/2,0)+IF(Assumptions!$E$26*4&lt;=12,IF(R$48=Assumptions!$E$26*4,$D53,0),IF(R$48=12,$D53*$E53/100,0))</f>
        <v>0</v>
      </c>
      <c r="S53" s="35" t="n">
        <f aca="false">IF(S$48=0,-$D53,0)+IF(AND(S$48&gt;=2,MOD(S$48,2)=0,S$48&lt;=MIN(Assumptions!$E$26*4,12)),$D53*Assumptions!$F$26/2,0)+IF(Assumptions!$E$26*4&lt;=12,IF(S$48=Assumptions!$E$26*4,$D53,0),IF(S$48=12,$D53*$E53/100,0))</f>
        <v>681.25</v>
      </c>
      <c r="T53" s="35" t="n">
        <f aca="false">IF(T$48=0,-$D53,0)+IF(AND(T$48&gt;=2,MOD(T$48,2)=0,T$48&lt;=MIN(Assumptions!$E$26*4,12)),$D53*Assumptions!$F$26/2,0)+IF(Assumptions!$E$26*4&lt;=12,IF(T$48=Assumptions!$E$26*4,$D53,0),IF(T$48=12,$D53*$E53/100,0))</f>
        <v>0</v>
      </c>
      <c r="U53" s="35" t="n">
        <f aca="false">IF(U$48=0,-$D53,0)+IF(AND(U$48&gt;=2,MOD(U$48,2)=0,U$48&lt;=MIN(Assumptions!$E$26*4,12)),$D53*Assumptions!$F$26/2,0)+IF(Assumptions!$E$26*4&lt;=12,IF(U$48=Assumptions!$E$26*4,$D53,0),IF(U$48=12,$D53*$E53/100,0))</f>
        <v>24358.9012451698</v>
      </c>
      <c r="V53" s="35" t="n">
        <f aca="false">IF(V$48=0,-$D53,0)+IF(AND(V$48&gt;=2,MOD(V$48,2)=0,V$48&lt;=MIN(Assumptions!$E$26*4,12)),$D53*Assumptions!$F$26/2,0)+IF(Assumptions!$E$26*4&lt;=12,IF(V$48=Assumptions!$E$26*4,$D53,0),IF(V$48=12,$D53*$E53/100,0))</f>
        <v>0</v>
      </c>
      <c r="W53" s="35" t="n">
        <f aca="false">IF(W$48=0,-$D53,0)+IF(AND(W$48&gt;=2,MOD(W$48,2)=0,W$48&lt;=MIN(Assumptions!$E$26*4,12)),$D53*Assumptions!$F$26/2,0)+IF(Assumptions!$E$26*4&lt;=12,IF(W$48=Assumptions!$E$26*4,$D53,0),IF(W$48=12,$D53*$E53/100,0))</f>
        <v>0</v>
      </c>
      <c r="X53" s="35" t="n">
        <f aca="false">IF(X$48=0,-$D53,0)+IF(AND(X$48&gt;=2,MOD(X$48,2)=0,X$48&lt;=MIN(Assumptions!$E$26*4,12)),$D53*Assumptions!$F$26/2,0)+IF(Assumptions!$E$26*4&lt;=12,IF(X$48=Assumptions!$E$26*4,$D53,0),IF(X$48=12,$D53*$E53/100,0))</f>
        <v>0</v>
      </c>
      <c r="Y53" s="35" t="n">
        <f aca="false">IF(Y$48=0,-$D53,0)+IF(AND(Y$48&gt;=2,MOD(Y$48,2)=0,Y$48&lt;=MIN(Assumptions!$E$26*4,12)),$D53*Assumptions!$F$26/2,0)+IF(Assumptions!$E$26*4&lt;=12,IF(Y$48=Assumptions!$E$26*4,$D53,0),IF(Y$48=12,$D53*$E53/100,0))</f>
        <v>0</v>
      </c>
    </row>
    <row r="55" customFormat="false" ht="15" hidden="false" customHeight="false" outlineLevel="0" collapsed="false">
      <c r="B55" s="30" t="s">
        <v>137</v>
      </c>
      <c r="C55" s="9" t="s">
        <v>135</v>
      </c>
      <c r="D55" s="26" t="n">
        <f aca="false">SUMIF($C$49:$C$53,"IG",D$49:D$53)</f>
        <v>125000</v>
      </c>
      <c r="G55" s="36" t="n">
        <f aca="false">SUM(I55:Y55)</f>
        <v>15325.7311258937</v>
      </c>
      <c r="H55" s="29" t="n">
        <f aca="false">(1+IRR(I55:Y55,IF(SUM(I55:Y55)&lt;0,-0.05,0.01)))^4-1</f>
        <v>0.0447056272742963</v>
      </c>
      <c r="I55" s="35" t="n">
        <f aca="false">SUMIF($C$49:$C$53,"IG",I$49:I$53)</f>
        <v>-125000</v>
      </c>
      <c r="J55" s="35" t="n">
        <f aca="false">SUMIF($C$49:$C$53,"IG",J$49:J$53)</f>
        <v>0</v>
      </c>
      <c r="K55" s="35" t="n">
        <f aca="false">SUMIF($C$49:$C$53,"IG",K$49:K$53)</f>
        <v>3206.25</v>
      </c>
      <c r="L55" s="35" t="n">
        <f aca="false">SUMIF($C$49:$C$53,"IG",L$49:L$53)</f>
        <v>0</v>
      </c>
      <c r="M55" s="35" t="n">
        <f aca="false">SUMIF($C$49:$C$53,"IG",M$49:M$53)</f>
        <v>3206.25</v>
      </c>
      <c r="N55" s="35" t="n">
        <f aca="false">SUMIF($C$49:$C$53,"IG",N$49:N$53)</f>
        <v>0</v>
      </c>
      <c r="O55" s="35" t="n">
        <f aca="false">SUMIF($C$49:$C$53,"IG",O$49:O$53)</f>
        <v>3206.25</v>
      </c>
      <c r="P55" s="35" t="n">
        <f aca="false">SUMIF($C$49:$C$53,"IG",P$49:P$53)</f>
        <v>0</v>
      </c>
      <c r="Q55" s="35" t="n">
        <f aca="false">SUMIF($C$49:$C$53,"IG",Q$49:Q$53)</f>
        <v>28206.25</v>
      </c>
      <c r="R55" s="35" t="n">
        <f aca="false">SUMIF($C$49:$C$53,"IG",R$49:R$53)</f>
        <v>0</v>
      </c>
      <c r="S55" s="35" t="n">
        <f aca="false">SUMIF($C$49:$C$53,"IG",S$49:S$53)</f>
        <v>2606.25</v>
      </c>
      <c r="T55" s="35" t="n">
        <f aca="false">SUMIF($C$49:$C$53,"IG",T$49:T$53)</f>
        <v>0</v>
      </c>
      <c r="U55" s="35" t="n">
        <f aca="false">SUMIF($C$49:$C$53,"IG",U$49:U$53)</f>
        <v>99894.4811258937</v>
      </c>
      <c r="V55" s="35" t="n">
        <f aca="false">SUMIF($C$49:$C$53,"IG",V$49:V$53)</f>
        <v>0</v>
      </c>
      <c r="W55" s="35" t="n">
        <f aca="false">SUMIF($C$49:$C$53,"IG",W$49:W$53)</f>
        <v>0</v>
      </c>
      <c r="X55" s="35" t="n">
        <f aca="false">SUMIF($C$49:$C$53,"IG",X$49:X$53)</f>
        <v>0</v>
      </c>
      <c r="Y55" s="35" t="n">
        <f aca="false">SUMIF($C$49:$C$53,"IG",Y$49:Y$53)</f>
        <v>0</v>
      </c>
    </row>
    <row r="58" customFormat="false" ht="15" hidden="false" customHeight="false" outlineLevel="0" collapsed="false">
      <c r="B58" s="7" t="s">
        <v>140</v>
      </c>
      <c r="C58" s="8"/>
      <c r="D58" s="8"/>
      <c r="E58" s="8"/>
      <c r="F58" s="8"/>
      <c r="G58" s="8"/>
      <c r="H58" s="8"/>
    </row>
    <row r="59" customFormat="false" ht="15" hidden="false" customHeight="false" outlineLevel="0" collapsed="false">
      <c r="B59" s="9" t="s">
        <v>116</v>
      </c>
      <c r="C59" s="10" t="n">
        <v>0</v>
      </c>
      <c r="D59" s="6" t="s">
        <v>117</v>
      </c>
    </row>
    <row r="60" customFormat="false" ht="15" hidden="false" customHeight="false" outlineLevel="0" collapsed="false">
      <c r="B60" s="9" t="s">
        <v>118</v>
      </c>
      <c r="C60" s="10" t="n">
        <v>0</v>
      </c>
      <c r="D60" s="6" t="s">
        <v>117</v>
      </c>
    </row>
    <row r="61" customFormat="false" ht="15" hidden="false" customHeight="false" outlineLevel="0" collapsed="false">
      <c r="B61" s="9" t="s">
        <v>120</v>
      </c>
      <c r="C61" s="10" t="n">
        <v>0</v>
      </c>
      <c r="D61" s="6" t="s">
        <v>117</v>
      </c>
    </row>
    <row r="62" customFormat="false" ht="30" hidden="false" customHeight="true" outlineLevel="0" collapsed="false">
      <c r="B62" s="13" t="s">
        <v>121</v>
      </c>
      <c r="C62" s="14" t="s">
        <v>122</v>
      </c>
      <c r="D62" s="14" t="s">
        <v>123</v>
      </c>
      <c r="E62" s="14" t="s">
        <v>124</v>
      </c>
    </row>
    <row r="63" customFormat="false" ht="15" hidden="false" customHeight="false" outlineLevel="0" collapsed="false">
      <c r="B63" s="9" t="s">
        <v>47</v>
      </c>
      <c r="C63" s="24" t="s">
        <v>80</v>
      </c>
      <c r="D63" s="32" t="s">
        <v>125</v>
      </c>
      <c r="E63" s="24" t="s">
        <v>125</v>
      </c>
    </row>
    <row r="64" customFormat="false" ht="15" hidden="false" customHeight="false" outlineLevel="0" collapsed="false">
      <c r="B64" s="9" t="s">
        <v>48</v>
      </c>
      <c r="C64" s="24" t="s">
        <v>80</v>
      </c>
      <c r="D64" s="32" t="s">
        <v>125</v>
      </c>
      <c r="E64" s="24" t="s">
        <v>125</v>
      </c>
    </row>
    <row r="65" customFormat="false" ht="15" hidden="false" customHeight="false" outlineLevel="0" collapsed="false">
      <c r="B65" s="9" t="s">
        <v>49</v>
      </c>
      <c r="C65" s="24" t="s">
        <v>80</v>
      </c>
      <c r="D65" s="32" t="s">
        <v>125</v>
      </c>
      <c r="E65" s="24" t="s">
        <v>125</v>
      </c>
    </row>
    <row r="66" customFormat="false" ht="15" hidden="false" customHeight="false" outlineLevel="0" collapsed="false">
      <c r="B66" s="9" t="s">
        <v>50</v>
      </c>
      <c r="C66" s="24" t="s">
        <v>80</v>
      </c>
      <c r="D66" s="32" t="s">
        <v>125</v>
      </c>
      <c r="E66" s="24" t="s">
        <v>125</v>
      </c>
    </row>
    <row r="67" customFormat="false" ht="15" hidden="false" customHeight="false" outlineLevel="0" collapsed="false">
      <c r="B67" s="9" t="s">
        <v>51</v>
      </c>
      <c r="C67" s="24" t="s">
        <v>80</v>
      </c>
      <c r="D67" s="32" t="s">
        <v>125</v>
      </c>
      <c r="E67" s="24" t="s">
        <v>125</v>
      </c>
    </row>
    <row r="68" customFormat="false" ht="15" hidden="false" customHeight="false" outlineLevel="0" collapsed="false">
      <c r="B68" s="9" t="s">
        <v>52</v>
      </c>
      <c r="C68" s="24" t="s">
        <v>80</v>
      </c>
      <c r="D68" s="32" t="s">
        <v>125</v>
      </c>
      <c r="E68" s="24" t="s">
        <v>125</v>
      </c>
    </row>
    <row r="70" customFormat="false" ht="15" hidden="false" customHeight="false" outlineLevel="0" collapsed="false">
      <c r="B70" s="7" t="s">
        <v>126</v>
      </c>
      <c r="I70" s="33" t="n">
        <v>0</v>
      </c>
      <c r="J70" s="33" t="n">
        <v>1</v>
      </c>
      <c r="K70" s="33" t="n">
        <v>2</v>
      </c>
      <c r="L70" s="33" t="n">
        <v>3</v>
      </c>
      <c r="M70" s="33" t="n">
        <v>4</v>
      </c>
      <c r="N70" s="33" t="n">
        <v>5</v>
      </c>
      <c r="O70" s="33" t="n">
        <v>6</v>
      </c>
      <c r="P70" s="33" t="n">
        <v>7</v>
      </c>
      <c r="Q70" s="33" t="n">
        <v>8</v>
      </c>
      <c r="R70" s="33" t="n">
        <v>9</v>
      </c>
      <c r="S70" s="33" t="n">
        <v>10</v>
      </c>
      <c r="T70" s="33" t="n">
        <v>11</v>
      </c>
      <c r="U70" s="33" t="n">
        <v>12</v>
      </c>
      <c r="V70" s="33" t="n">
        <v>13</v>
      </c>
      <c r="W70" s="33" t="n">
        <v>14</v>
      </c>
      <c r="X70" s="33" t="n">
        <v>15</v>
      </c>
      <c r="Y70" s="33" t="n">
        <v>16</v>
      </c>
    </row>
    <row r="71" customFormat="false" ht="15" hidden="false" customHeight="false" outlineLevel="0" collapsed="false">
      <c r="B71" s="9" t="s">
        <v>127</v>
      </c>
      <c r="I71" s="17" t="n">
        <f aca="false">IF(I$70=0,Assumptions!$C$6,Assumptions!$C$6+$C$59+IF(I$70&gt;=5,$C$60,0))</f>
        <v>0.04</v>
      </c>
      <c r="J71" s="17" t="n">
        <f aca="false">IF(J$70=0,Assumptions!$C$6,Assumptions!$C$6+$C$59+IF(J$70&gt;=5,$C$60,0))</f>
        <v>0.04</v>
      </c>
      <c r="K71" s="17" t="n">
        <f aca="false">IF(K$70=0,Assumptions!$C$6,Assumptions!$C$6+$C$59+IF(K$70&gt;=5,$C$60,0))</f>
        <v>0.04</v>
      </c>
      <c r="L71" s="17" t="n">
        <f aca="false">IF(L$70=0,Assumptions!$C$6,Assumptions!$C$6+$C$59+IF(L$70&gt;=5,$C$60,0))</f>
        <v>0.04</v>
      </c>
      <c r="M71" s="17" t="n">
        <f aca="false">IF(M$70=0,Assumptions!$C$6,Assumptions!$C$6+$C$59+IF(M$70&gt;=5,$C$60,0))</f>
        <v>0.04</v>
      </c>
      <c r="N71" s="17" t="n">
        <f aca="false">IF(N$70=0,Assumptions!$C$6,Assumptions!$C$6+$C$59+IF(N$70&gt;=5,$C$60,0))</f>
        <v>0.04</v>
      </c>
      <c r="O71" s="17" t="n">
        <f aca="false">IF(O$70=0,Assumptions!$C$6,Assumptions!$C$6+$C$59+IF(O$70&gt;=5,$C$60,0))</f>
        <v>0.04</v>
      </c>
      <c r="P71" s="17" t="n">
        <f aca="false">IF(P$70=0,Assumptions!$C$6,Assumptions!$C$6+$C$59+IF(P$70&gt;=5,$C$60,0))</f>
        <v>0.04</v>
      </c>
      <c r="Q71" s="17" t="n">
        <f aca="false">IF(Q$70=0,Assumptions!$C$6,Assumptions!$C$6+$C$59+IF(Q$70&gt;=5,$C$60,0))</f>
        <v>0.04</v>
      </c>
      <c r="R71" s="17" t="n">
        <f aca="false">IF(R$70=0,Assumptions!$C$6,Assumptions!$C$6+$C$59+IF(R$70&gt;=5,$C$60,0))</f>
        <v>0.04</v>
      </c>
      <c r="S71" s="17" t="n">
        <f aca="false">IF(S$70=0,Assumptions!$C$6,Assumptions!$C$6+$C$59+IF(S$70&gt;=5,$C$60,0))</f>
        <v>0.04</v>
      </c>
      <c r="T71" s="17" t="n">
        <f aca="false">IF(T$70=0,Assumptions!$C$6,Assumptions!$C$6+$C$59+IF(T$70&gt;=5,$C$60,0))</f>
        <v>0.04</v>
      </c>
      <c r="U71" s="17" t="n">
        <f aca="false">IF(U$70=0,Assumptions!$C$6,Assumptions!$C$6+$C$59+IF(U$70&gt;=5,$C$60,0))</f>
        <v>0.04</v>
      </c>
      <c r="V71" s="17" t="n">
        <f aca="false">IF(V$70=0,Assumptions!$C$6,Assumptions!$C$6+$C$59+IF(V$70&gt;=5,$C$60,0))</f>
        <v>0.04</v>
      </c>
      <c r="W71" s="17" t="n">
        <f aca="false">IF(W$70=0,Assumptions!$C$6,Assumptions!$C$6+$C$59+IF(W$70&gt;=5,$C$60,0))</f>
        <v>0.04</v>
      </c>
      <c r="X71" s="17" t="n">
        <f aca="false">IF(X$70=0,Assumptions!$C$6,Assumptions!$C$6+$C$59+IF(X$70&gt;=5,$C$60,0))</f>
        <v>0.04</v>
      </c>
      <c r="Y71" s="17" t="n">
        <f aca="false">IF(Y$70=0,Assumptions!$C$6,Assumptions!$C$6+$C$59+IF(Y$70&gt;=5,$C$60,0))</f>
        <v>0.04</v>
      </c>
    </row>
    <row r="73" customFormat="false" ht="15" hidden="false" customHeight="false" outlineLevel="0" collapsed="false">
      <c r="B73" s="7" t="s">
        <v>128</v>
      </c>
      <c r="C73" s="8"/>
      <c r="D73" s="8"/>
      <c r="E73" s="8"/>
      <c r="F73" s="8"/>
      <c r="G73" s="8"/>
      <c r="H73" s="8"/>
      <c r="I73" s="8"/>
      <c r="J73" s="8"/>
      <c r="K73" s="8"/>
      <c r="L73" s="8"/>
      <c r="M73" s="8"/>
      <c r="N73" s="8"/>
      <c r="O73" s="8"/>
      <c r="P73" s="8"/>
      <c r="Q73" s="8"/>
      <c r="R73" s="8"/>
      <c r="S73" s="8"/>
      <c r="T73" s="8"/>
      <c r="U73" s="8"/>
      <c r="V73" s="8"/>
      <c r="W73" s="8"/>
      <c r="X73" s="8"/>
      <c r="Y73" s="8"/>
    </row>
    <row r="74" customFormat="false" ht="43.5" hidden="false" customHeight="true" outlineLevel="0" collapsed="false">
      <c r="B74" s="13" t="s">
        <v>129</v>
      </c>
      <c r="C74" s="14" t="s">
        <v>130</v>
      </c>
      <c r="D74" s="14" t="s">
        <v>46</v>
      </c>
      <c r="E74" s="14" t="s">
        <v>131</v>
      </c>
      <c r="F74" s="14" t="s">
        <v>132</v>
      </c>
      <c r="G74" s="14" t="s">
        <v>133</v>
      </c>
      <c r="H74" s="14" t="s">
        <v>134</v>
      </c>
      <c r="I74" s="33" t="n">
        <v>0</v>
      </c>
      <c r="J74" s="33" t="n">
        <v>1</v>
      </c>
      <c r="K74" s="33" t="n">
        <v>2</v>
      </c>
      <c r="L74" s="33" t="n">
        <v>3</v>
      </c>
      <c r="M74" s="33" t="n">
        <v>4</v>
      </c>
      <c r="N74" s="33" t="n">
        <v>5</v>
      </c>
      <c r="O74" s="33" t="n">
        <v>6</v>
      </c>
      <c r="P74" s="33" t="n">
        <v>7</v>
      </c>
      <c r="Q74" s="33" t="n">
        <v>8</v>
      </c>
      <c r="R74" s="33" t="n">
        <v>9</v>
      </c>
      <c r="S74" s="33" t="n">
        <v>10</v>
      </c>
      <c r="T74" s="33" t="n">
        <v>11</v>
      </c>
      <c r="U74" s="33" t="n">
        <v>12</v>
      </c>
      <c r="V74" s="33" t="n">
        <v>13</v>
      </c>
      <c r="W74" s="33" t="n">
        <v>14</v>
      </c>
      <c r="X74" s="33" t="n">
        <v>15</v>
      </c>
      <c r="Y74" s="33" t="n">
        <v>16</v>
      </c>
    </row>
    <row r="75" customFormat="false" ht="15" hidden="false" customHeight="false" outlineLevel="0" collapsed="false">
      <c r="B75" s="9" t="s">
        <v>47</v>
      </c>
      <c r="C75" s="9" t="s">
        <v>136</v>
      </c>
      <c r="D75" s="19" t="n">
        <f aca="false">Assumptions!$F$32</f>
        <v>12375</v>
      </c>
      <c r="E75" s="34" t="n">
        <f aca="false">PV(($F75+$C$59+$C$61)/2,(Assumptions!$C$30*4-12)/2,-Assumptions!$D$32*100/2,-100)</f>
        <v>99.5584003138178</v>
      </c>
      <c r="F75" s="17" t="n">
        <f aca="false">RATE(Assumptions!$C$30*2,Assumptions!$D$32*100/2,-Assumptions!$E$32,100)*2</f>
        <v>0.0699042470751673</v>
      </c>
      <c r="G75" s="26" t="n">
        <f aca="false">SUM(I75:Y75)</f>
        <v>2601.05003922723</v>
      </c>
      <c r="H75" s="29" t="n">
        <f aca="false">(1+IRR(I75:Y75,IF(SUM(I75:Y75)&lt;0,-0.05,0.01)))^4-1</f>
        <v>0.0711258980149541</v>
      </c>
      <c r="I75" s="35" t="n">
        <f aca="false">IF(I$74=0,-Assumptions!$C$29*Assumptions!$E$32/100,0)+IF(AND(I$74&gt;=2,MOD(I$74,2)=0,I$74&lt;=IF(ISNUMBER($C$63),$C$63-2,12)),Assumptions!$C$29*Assumptions!$D$32/2,0)+IF(ISNUMBER($C$63),IF(I$74=$E$63,Assumptions!$C$29*$D$63,0),IF(I$74=12,Assumptions!$C$29*$E75/100,0))</f>
        <v>-12375</v>
      </c>
      <c r="J75" s="35" t="n">
        <f aca="false">IF(J$74=0,-Assumptions!$C$29*Assumptions!$E$32/100,0)+IF(AND(J$74&gt;=2,MOD(J$74,2)=0,J$74&lt;=IF(ISNUMBER($C$63),$C$63-2,12)),Assumptions!$C$29*Assumptions!$D$32/2,0)+IF(ISNUMBER($C$63),IF(J$74=$E$63,Assumptions!$C$29*$D$63,0),IF(J$74=12,Assumptions!$C$29*$E75/100,0))</f>
        <v>0</v>
      </c>
      <c r="K75" s="35" t="n">
        <f aca="false">IF(K$74=0,-Assumptions!$C$29*Assumptions!$E$32/100,0)+IF(AND(K$74&gt;=2,MOD(K$74,2)=0,K$74&lt;=IF(ISNUMBER($C$63),$C$63-2,12)),Assumptions!$C$29*Assumptions!$D$32/2,0)+IF(ISNUMBER($C$63),IF(K$74=$E$63,Assumptions!$C$29*$D$63,0),IF(K$74=12,Assumptions!$C$29*$E75/100,0))</f>
        <v>421.875</v>
      </c>
      <c r="L75" s="35" t="n">
        <f aca="false">IF(L$74=0,-Assumptions!$C$29*Assumptions!$E$32/100,0)+IF(AND(L$74&gt;=2,MOD(L$74,2)=0,L$74&lt;=IF(ISNUMBER($C$63),$C$63-2,12)),Assumptions!$C$29*Assumptions!$D$32/2,0)+IF(ISNUMBER($C$63),IF(L$74=$E$63,Assumptions!$C$29*$D$63,0),IF(L$74=12,Assumptions!$C$29*$E75/100,0))</f>
        <v>0</v>
      </c>
      <c r="M75" s="35" t="n">
        <f aca="false">IF(M$74=0,-Assumptions!$C$29*Assumptions!$E$32/100,0)+IF(AND(M$74&gt;=2,MOD(M$74,2)=0,M$74&lt;=IF(ISNUMBER($C$63),$C$63-2,12)),Assumptions!$C$29*Assumptions!$D$32/2,0)+IF(ISNUMBER($C$63),IF(M$74=$E$63,Assumptions!$C$29*$D$63,0),IF(M$74=12,Assumptions!$C$29*$E75/100,0))</f>
        <v>421.875</v>
      </c>
      <c r="N75" s="35" t="n">
        <f aca="false">IF(N$74=0,-Assumptions!$C$29*Assumptions!$E$32/100,0)+IF(AND(N$74&gt;=2,MOD(N$74,2)=0,N$74&lt;=IF(ISNUMBER($C$63),$C$63-2,12)),Assumptions!$C$29*Assumptions!$D$32/2,0)+IF(ISNUMBER($C$63),IF(N$74=$E$63,Assumptions!$C$29*$D$63,0),IF(N$74=12,Assumptions!$C$29*$E75/100,0))</f>
        <v>0</v>
      </c>
      <c r="O75" s="35" t="n">
        <f aca="false">IF(O$74=0,-Assumptions!$C$29*Assumptions!$E$32/100,0)+IF(AND(O$74&gt;=2,MOD(O$74,2)=0,O$74&lt;=IF(ISNUMBER($C$63),$C$63-2,12)),Assumptions!$C$29*Assumptions!$D$32/2,0)+IF(ISNUMBER($C$63),IF(O$74=$E$63,Assumptions!$C$29*$D$63,0),IF(O$74=12,Assumptions!$C$29*$E75/100,0))</f>
        <v>421.875</v>
      </c>
      <c r="P75" s="35" t="n">
        <f aca="false">IF(P$74=0,-Assumptions!$C$29*Assumptions!$E$32/100,0)+IF(AND(P$74&gt;=2,MOD(P$74,2)=0,P$74&lt;=IF(ISNUMBER($C$63),$C$63-2,12)),Assumptions!$C$29*Assumptions!$D$32/2,0)+IF(ISNUMBER($C$63),IF(P$74=$E$63,Assumptions!$C$29*$D$63,0),IF(P$74=12,Assumptions!$C$29*$E75/100,0))</f>
        <v>0</v>
      </c>
      <c r="Q75" s="35" t="n">
        <f aca="false">IF(Q$74=0,-Assumptions!$C$29*Assumptions!$E$32/100,0)+IF(AND(Q$74&gt;=2,MOD(Q$74,2)=0,Q$74&lt;=IF(ISNUMBER($C$63),$C$63-2,12)),Assumptions!$C$29*Assumptions!$D$32/2,0)+IF(ISNUMBER($C$63),IF(Q$74=$E$63,Assumptions!$C$29*$D$63,0),IF(Q$74=12,Assumptions!$C$29*$E75/100,0))</f>
        <v>421.875</v>
      </c>
      <c r="R75" s="35" t="n">
        <f aca="false">IF(R$74=0,-Assumptions!$C$29*Assumptions!$E$32/100,0)+IF(AND(R$74&gt;=2,MOD(R$74,2)=0,R$74&lt;=IF(ISNUMBER($C$63),$C$63-2,12)),Assumptions!$C$29*Assumptions!$D$32/2,0)+IF(ISNUMBER($C$63),IF(R$74=$E$63,Assumptions!$C$29*$D$63,0),IF(R$74=12,Assumptions!$C$29*$E75/100,0))</f>
        <v>0</v>
      </c>
      <c r="S75" s="35" t="n">
        <f aca="false">IF(S$74=0,-Assumptions!$C$29*Assumptions!$E$32/100,0)+IF(AND(S$74&gt;=2,MOD(S$74,2)=0,S$74&lt;=IF(ISNUMBER($C$63),$C$63-2,12)),Assumptions!$C$29*Assumptions!$D$32/2,0)+IF(ISNUMBER($C$63),IF(S$74=$E$63,Assumptions!$C$29*$D$63,0),IF(S$74=12,Assumptions!$C$29*$E75/100,0))</f>
        <v>421.875</v>
      </c>
      <c r="T75" s="35" t="n">
        <f aca="false">IF(T$74=0,-Assumptions!$C$29*Assumptions!$E$32/100,0)+IF(AND(T$74&gt;=2,MOD(T$74,2)=0,T$74&lt;=IF(ISNUMBER($C$63),$C$63-2,12)),Assumptions!$C$29*Assumptions!$D$32/2,0)+IF(ISNUMBER($C$63),IF(T$74=$E$63,Assumptions!$C$29*$D$63,0),IF(T$74=12,Assumptions!$C$29*$E75/100,0))</f>
        <v>0</v>
      </c>
      <c r="U75" s="35" t="n">
        <f aca="false">IF(U$74=0,-Assumptions!$C$29*Assumptions!$E$32/100,0)+IF(AND(U$74&gt;=2,MOD(U$74,2)=0,U$74&lt;=IF(ISNUMBER($C$63),$C$63-2,12)),Assumptions!$C$29*Assumptions!$D$32/2,0)+IF(ISNUMBER($C$63),IF(U$74=$E$63,Assumptions!$C$29*$D$63,0),IF(U$74=12,Assumptions!$C$29*$E75/100,0))</f>
        <v>12866.6750392272</v>
      </c>
      <c r="V75" s="35" t="n">
        <f aca="false">IF(V$74=0,-Assumptions!$C$29*Assumptions!$E$32/100,0)+IF(AND(V$74&gt;=2,MOD(V$74,2)=0,V$74&lt;=IF(ISNUMBER($C$63),$C$63-2,12)),Assumptions!$C$29*Assumptions!$D$32/2,0)+IF(ISNUMBER($C$63),IF(V$74=$E$63,Assumptions!$C$29*$D$63,0),IF(V$74=12,Assumptions!$C$29*$E75/100,0))</f>
        <v>0</v>
      </c>
      <c r="W75" s="35" t="n">
        <f aca="false">IF(W$74=0,-Assumptions!$C$29*Assumptions!$E$32/100,0)+IF(AND(W$74&gt;=2,MOD(W$74,2)=0,W$74&lt;=IF(ISNUMBER($C$63),$C$63-2,12)),Assumptions!$C$29*Assumptions!$D$32/2,0)+IF(ISNUMBER($C$63),IF(W$74=$E$63,Assumptions!$C$29*$D$63,0),IF(W$74=12,Assumptions!$C$29*$E75/100,0))</f>
        <v>0</v>
      </c>
      <c r="X75" s="35" t="n">
        <f aca="false">IF(X$74=0,-Assumptions!$C$29*Assumptions!$E$32/100,0)+IF(AND(X$74&gt;=2,MOD(X$74,2)=0,X$74&lt;=IF(ISNUMBER($C$63),$C$63-2,12)),Assumptions!$C$29*Assumptions!$D$32/2,0)+IF(ISNUMBER($C$63),IF(X$74=$E$63,Assumptions!$C$29*$D$63,0),IF(X$74=12,Assumptions!$C$29*$E75/100,0))</f>
        <v>0</v>
      </c>
      <c r="Y75" s="35" t="n">
        <f aca="false">IF(Y$74=0,-Assumptions!$C$29*Assumptions!$E$32/100,0)+IF(AND(Y$74&gt;=2,MOD(Y$74,2)=0,Y$74&lt;=IF(ISNUMBER($C$63),$C$63-2,12)),Assumptions!$C$29*Assumptions!$D$32/2,0)+IF(ISNUMBER($C$63),IF(Y$74=$E$63,Assumptions!$C$29*$D$63,0),IF(Y$74=12,Assumptions!$C$29*$E75/100,0))</f>
        <v>0</v>
      </c>
    </row>
    <row r="76" customFormat="false" ht="15" hidden="false" customHeight="false" outlineLevel="0" collapsed="false">
      <c r="B76" s="9" t="s">
        <v>48</v>
      </c>
      <c r="C76" s="9" t="s">
        <v>136</v>
      </c>
      <c r="D76" s="19" t="n">
        <f aca="false">Assumptions!$F$33</f>
        <v>12312.5</v>
      </c>
      <c r="E76" s="34" t="n">
        <f aca="false">PV(($F76+$C$59+$C$61)/2,(Assumptions!$C$30*4-12)/2,-Assumptions!$D$33*100/2,-100)</f>
        <v>99.3343027458663</v>
      </c>
      <c r="F76" s="17" t="n">
        <f aca="false">RATE(Assumptions!$C$30*2,Assumptions!$D$33*100/2,-Assumptions!$E$33,100)*2</f>
        <v>0.0736404123832243</v>
      </c>
      <c r="G76" s="26" t="n">
        <f aca="false">SUM(I76:Y76)</f>
        <v>2729.28784323328</v>
      </c>
      <c r="H76" s="29" t="n">
        <f aca="false">(1+IRR(I76:Y76,IF(SUM(I76:Y76)&lt;0,-0.05,0.01)))^4-1</f>
        <v>0.0749961399672177</v>
      </c>
      <c r="I76" s="35" t="n">
        <f aca="false">IF(I$74=0,-Assumptions!$C$29*Assumptions!$E$33/100,0)+IF(AND(I$74&gt;=2,MOD(I$74,2)=0,I$74&lt;=IF(ISNUMBER($C$64),$C$64-2,12)),Assumptions!$C$29*Assumptions!$D$33/2,0)+IF(ISNUMBER($C$64),IF(I$74=$E$64,Assumptions!$C$29*$D$64,0),IF(I$74=12,Assumptions!$C$29*$E76/100,0))</f>
        <v>-12312.5</v>
      </c>
      <c r="J76" s="35" t="n">
        <f aca="false">IF(J$74=0,-Assumptions!$C$29*Assumptions!$E$33/100,0)+IF(AND(J$74&gt;=2,MOD(J$74,2)=0,J$74&lt;=IF(ISNUMBER($C$64),$C$64-2,12)),Assumptions!$C$29*Assumptions!$D$33/2,0)+IF(ISNUMBER($C$64),IF(J$74=$E$64,Assumptions!$C$29*$D$64,0),IF(J$74=12,Assumptions!$C$29*$E76/100,0))</f>
        <v>0</v>
      </c>
      <c r="K76" s="35" t="n">
        <f aca="false">IF(K$74=0,-Assumptions!$C$29*Assumptions!$E$33/100,0)+IF(AND(K$74&gt;=2,MOD(K$74,2)=0,K$74&lt;=IF(ISNUMBER($C$64),$C$64-2,12)),Assumptions!$C$29*Assumptions!$D$33/2,0)+IF(ISNUMBER($C$64),IF(K$74=$E$64,Assumptions!$C$29*$D$64,0),IF(K$74=12,Assumptions!$C$29*$E76/100,0))</f>
        <v>437.5</v>
      </c>
      <c r="L76" s="35" t="n">
        <f aca="false">IF(L$74=0,-Assumptions!$C$29*Assumptions!$E$33/100,0)+IF(AND(L$74&gt;=2,MOD(L$74,2)=0,L$74&lt;=IF(ISNUMBER($C$64),$C$64-2,12)),Assumptions!$C$29*Assumptions!$D$33/2,0)+IF(ISNUMBER($C$64),IF(L$74=$E$64,Assumptions!$C$29*$D$64,0),IF(L$74=12,Assumptions!$C$29*$E76/100,0))</f>
        <v>0</v>
      </c>
      <c r="M76" s="35" t="n">
        <f aca="false">IF(M$74=0,-Assumptions!$C$29*Assumptions!$E$33/100,0)+IF(AND(M$74&gt;=2,MOD(M$74,2)=0,M$74&lt;=IF(ISNUMBER($C$64),$C$64-2,12)),Assumptions!$C$29*Assumptions!$D$33/2,0)+IF(ISNUMBER($C$64),IF(M$74=$E$64,Assumptions!$C$29*$D$64,0),IF(M$74=12,Assumptions!$C$29*$E76/100,0))</f>
        <v>437.5</v>
      </c>
      <c r="N76" s="35" t="n">
        <f aca="false">IF(N$74=0,-Assumptions!$C$29*Assumptions!$E$33/100,0)+IF(AND(N$74&gt;=2,MOD(N$74,2)=0,N$74&lt;=IF(ISNUMBER($C$64),$C$64-2,12)),Assumptions!$C$29*Assumptions!$D$33/2,0)+IF(ISNUMBER($C$64),IF(N$74=$E$64,Assumptions!$C$29*$D$64,0),IF(N$74=12,Assumptions!$C$29*$E76/100,0))</f>
        <v>0</v>
      </c>
      <c r="O76" s="35" t="n">
        <f aca="false">IF(O$74=0,-Assumptions!$C$29*Assumptions!$E$33/100,0)+IF(AND(O$74&gt;=2,MOD(O$74,2)=0,O$74&lt;=IF(ISNUMBER($C$64),$C$64-2,12)),Assumptions!$C$29*Assumptions!$D$33/2,0)+IF(ISNUMBER($C$64),IF(O$74=$E$64,Assumptions!$C$29*$D$64,0),IF(O$74=12,Assumptions!$C$29*$E76/100,0))</f>
        <v>437.5</v>
      </c>
      <c r="P76" s="35" t="n">
        <f aca="false">IF(P$74=0,-Assumptions!$C$29*Assumptions!$E$33/100,0)+IF(AND(P$74&gt;=2,MOD(P$74,2)=0,P$74&lt;=IF(ISNUMBER($C$64),$C$64-2,12)),Assumptions!$C$29*Assumptions!$D$33/2,0)+IF(ISNUMBER($C$64),IF(P$74=$E$64,Assumptions!$C$29*$D$64,0),IF(P$74=12,Assumptions!$C$29*$E76/100,0))</f>
        <v>0</v>
      </c>
      <c r="Q76" s="35" t="n">
        <f aca="false">IF(Q$74=0,-Assumptions!$C$29*Assumptions!$E$33/100,0)+IF(AND(Q$74&gt;=2,MOD(Q$74,2)=0,Q$74&lt;=IF(ISNUMBER($C$64),$C$64-2,12)),Assumptions!$C$29*Assumptions!$D$33/2,0)+IF(ISNUMBER($C$64),IF(Q$74=$E$64,Assumptions!$C$29*$D$64,0),IF(Q$74=12,Assumptions!$C$29*$E76/100,0))</f>
        <v>437.5</v>
      </c>
      <c r="R76" s="35" t="n">
        <f aca="false">IF(R$74=0,-Assumptions!$C$29*Assumptions!$E$33/100,0)+IF(AND(R$74&gt;=2,MOD(R$74,2)=0,R$74&lt;=IF(ISNUMBER($C$64),$C$64-2,12)),Assumptions!$C$29*Assumptions!$D$33/2,0)+IF(ISNUMBER($C$64),IF(R$74=$E$64,Assumptions!$C$29*$D$64,0),IF(R$74=12,Assumptions!$C$29*$E76/100,0))</f>
        <v>0</v>
      </c>
      <c r="S76" s="35" t="n">
        <f aca="false">IF(S$74=0,-Assumptions!$C$29*Assumptions!$E$33/100,0)+IF(AND(S$74&gt;=2,MOD(S$74,2)=0,S$74&lt;=IF(ISNUMBER($C$64),$C$64-2,12)),Assumptions!$C$29*Assumptions!$D$33/2,0)+IF(ISNUMBER($C$64),IF(S$74=$E$64,Assumptions!$C$29*$D$64,0),IF(S$74=12,Assumptions!$C$29*$E76/100,0))</f>
        <v>437.5</v>
      </c>
      <c r="T76" s="35" t="n">
        <f aca="false">IF(T$74=0,-Assumptions!$C$29*Assumptions!$E$33/100,0)+IF(AND(T$74&gt;=2,MOD(T$74,2)=0,T$74&lt;=IF(ISNUMBER($C$64),$C$64-2,12)),Assumptions!$C$29*Assumptions!$D$33/2,0)+IF(ISNUMBER($C$64),IF(T$74=$E$64,Assumptions!$C$29*$D$64,0),IF(T$74=12,Assumptions!$C$29*$E76/100,0))</f>
        <v>0</v>
      </c>
      <c r="U76" s="35" t="n">
        <f aca="false">IF(U$74=0,-Assumptions!$C$29*Assumptions!$E$33/100,0)+IF(AND(U$74&gt;=2,MOD(U$74,2)=0,U$74&lt;=IF(ISNUMBER($C$64),$C$64-2,12)),Assumptions!$C$29*Assumptions!$D$33/2,0)+IF(ISNUMBER($C$64),IF(U$74=$E$64,Assumptions!$C$29*$D$64,0),IF(U$74=12,Assumptions!$C$29*$E76/100,0))</f>
        <v>12854.2878432333</v>
      </c>
      <c r="V76" s="35" t="n">
        <f aca="false">IF(V$74=0,-Assumptions!$C$29*Assumptions!$E$33/100,0)+IF(AND(V$74&gt;=2,MOD(V$74,2)=0,V$74&lt;=IF(ISNUMBER($C$64),$C$64-2,12)),Assumptions!$C$29*Assumptions!$D$33/2,0)+IF(ISNUMBER($C$64),IF(V$74=$E$64,Assumptions!$C$29*$D$64,0),IF(V$74=12,Assumptions!$C$29*$E76/100,0))</f>
        <v>0</v>
      </c>
      <c r="W76" s="35" t="n">
        <f aca="false">IF(W$74=0,-Assumptions!$C$29*Assumptions!$E$33/100,0)+IF(AND(W$74&gt;=2,MOD(W$74,2)=0,W$74&lt;=IF(ISNUMBER($C$64),$C$64-2,12)),Assumptions!$C$29*Assumptions!$D$33/2,0)+IF(ISNUMBER($C$64),IF(W$74=$E$64,Assumptions!$C$29*$D$64,0),IF(W$74=12,Assumptions!$C$29*$E76/100,0))</f>
        <v>0</v>
      </c>
      <c r="X76" s="35" t="n">
        <f aca="false">IF(X$74=0,-Assumptions!$C$29*Assumptions!$E$33/100,0)+IF(AND(X$74&gt;=2,MOD(X$74,2)=0,X$74&lt;=IF(ISNUMBER($C$64),$C$64-2,12)),Assumptions!$C$29*Assumptions!$D$33/2,0)+IF(ISNUMBER($C$64),IF(X$74=$E$64,Assumptions!$C$29*$D$64,0),IF(X$74=12,Assumptions!$C$29*$E76/100,0))</f>
        <v>0</v>
      </c>
      <c r="Y76" s="35" t="n">
        <f aca="false">IF(Y$74=0,-Assumptions!$C$29*Assumptions!$E$33/100,0)+IF(AND(Y$74&gt;=2,MOD(Y$74,2)=0,Y$74&lt;=IF(ISNUMBER($C$64),$C$64-2,12)),Assumptions!$C$29*Assumptions!$D$33/2,0)+IF(ISNUMBER($C$64),IF(Y$74=$E$64,Assumptions!$C$29*$D$64,0),IF(Y$74=12,Assumptions!$C$29*$E76/100,0))</f>
        <v>0</v>
      </c>
    </row>
    <row r="77" customFormat="false" ht="15" hidden="false" customHeight="false" outlineLevel="0" collapsed="false">
      <c r="B77" s="9" t="s">
        <v>49</v>
      </c>
      <c r="C77" s="9" t="s">
        <v>136</v>
      </c>
      <c r="D77" s="19" t="n">
        <f aca="false">Assumptions!$F$34</f>
        <v>12250</v>
      </c>
      <c r="E77" s="34" t="n">
        <f aca="false">PV(($F77+$C$59+$C$61)/2,(Assumptions!$C$30*4-12)/2,-Assumptions!$D$34*100/2,-100)</f>
        <v>99.1079856396595</v>
      </c>
      <c r="F77" s="17" t="n">
        <f aca="false">RATE(Assumptions!$C$30*2,Assumptions!$D$34*100/2,-Assumptions!$E$34,100)*2</f>
        <v>0.0773997713205988</v>
      </c>
      <c r="G77" s="26" t="n">
        <f aca="false">SUM(I77:Y77)</f>
        <v>2857.24820495744</v>
      </c>
      <c r="H77" s="29" t="n">
        <f aca="false">(1+IRR(I77:Y77,IF(SUM(I77:Y77)&lt;0,-0.05,0.01)))^4-1</f>
        <v>0.0788974524707193</v>
      </c>
      <c r="I77" s="35" t="n">
        <f aca="false">IF(I$74=0,-Assumptions!$C$29*Assumptions!$E$34/100,0)+IF(AND(I$74&gt;=2,MOD(I$74,2)=0,I$74&lt;=IF(ISNUMBER($C$65),$C$65-2,12)),Assumptions!$C$29*Assumptions!$D$34/2,0)+IF(ISNUMBER($C$65),IF(I$74=$E$65,Assumptions!$C$29*$D$65,0),IF(I$74=12,Assumptions!$C$29*$E77/100,0))</f>
        <v>-12250</v>
      </c>
      <c r="J77" s="35" t="n">
        <f aca="false">IF(J$74=0,-Assumptions!$C$29*Assumptions!$E$34/100,0)+IF(AND(J$74&gt;=2,MOD(J$74,2)=0,J$74&lt;=IF(ISNUMBER($C$65),$C$65-2,12)),Assumptions!$C$29*Assumptions!$D$34/2,0)+IF(ISNUMBER($C$65),IF(J$74=$E$65,Assumptions!$C$29*$D$65,0),IF(J$74=12,Assumptions!$C$29*$E77/100,0))</f>
        <v>0</v>
      </c>
      <c r="K77" s="35" t="n">
        <f aca="false">IF(K$74=0,-Assumptions!$C$29*Assumptions!$E$34/100,0)+IF(AND(K$74&gt;=2,MOD(K$74,2)=0,K$74&lt;=IF(ISNUMBER($C$65),$C$65-2,12)),Assumptions!$C$29*Assumptions!$D$34/2,0)+IF(ISNUMBER($C$65),IF(K$74=$E$65,Assumptions!$C$29*$D$65,0),IF(K$74=12,Assumptions!$C$29*$E77/100,0))</f>
        <v>453.125</v>
      </c>
      <c r="L77" s="35" t="n">
        <f aca="false">IF(L$74=0,-Assumptions!$C$29*Assumptions!$E$34/100,0)+IF(AND(L$74&gt;=2,MOD(L$74,2)=0,L$74&lt;=IF(ISNUMBER($C$65),$C$65-2,12)),Assumptions!$C$29*Assumptions!$D$34/2,0)+IF(ISNUMBER($C$65),IF(L$74=$E$65,Assumptions!$C$29*$D$65,0),IF(L$74=12,Assumptions!$C$29*$E77/100,0))</f>
        <v>0</v>
      </c>
      <c r="M77" s="35" t="n">
        <f aca="false">IF(M$74=0,-Assumptions!$C$29*Assumptions!$E$34/100,0)+IF(AND(M$74&gt;=2,MOD(M$74,2)=0,M$74&lt;=IF(ISNUMBER($C$65),$C$65-2,12)),Assumptions!$C$29*Assumptions!$D$34/2,0)+IF(ISNUMBER($C$65),IF(M$74=$E$65,Assumptions!$C$29*$D$65,0),IF(M$74=12,Assumptions!$C$29*$E77/100,0))</f>
        <v>453.125</v>
      </c>
      <c r="N77" s="35" t="n">
        <f aca="false">IF(N$74=0,-Assumptions!$C$29*Assumptions!$E$34/100,0)+IF(AND(N$74&gt;=2,MOD(N$74,2)=0,N$74&lt;=IF(ISNUMBER($C$65),$C$65-2,12)),Assumptions!$C$29*Assumptions!$D$34/2,0)+IF(ISNUMBER($C$65),IF(N$74=$E$65,Assumptions!$C$29*$D$65,0),IF(N$74=12,Assumptions!$C$29*$E77/100,0))</f>
        <v>0</v>
      </c>
      <c r="O77" s="35" t="n">
        <f aca="false">IF(O$74=0,-Assumptions!$C$29*Assumptions!$E$34/100,0)+IF(AND(O$74&gt;=2,MOD(O$74,2)=0,O$74&lt;=IF(ISNUMBER($C$65),$C$65-2,12)),Assumptions!$C$29*Assumptions!$D$34/2,0)+IF(ISNUMBER($C$65),IF(O$74=$E$65,Assumptions!$C$29*$D$65,0),IF(O$74=12,Assumptions!$C$29*$E77/100,0))</f>
        <v>453.125</v>
      </c>
      <c r="P77" s="35" t="n">
        <f aca="false">IF(P$74=0,-Assumptions!$C$29*Assumptions!$E$34/100,0)+IF(AND(P$74&gt;=2,MOD(P$74,2)=0,P$74&lt;=IF(ISNUMBER($C$65),$C$65-2,12)),Assumptions!$C$29*Assumptions!$D$34/2,0)+IF(ISNUMBER($C$65),IF(P$74=$E$65,Assumptions!$C$29*$D$65,0),IF(P$74=12,Assumptions!$C$29*$E77/100,0))</f>
        <v>0</v>
      </c>
      <c r="Q77" s="35" t="n">
        <f aca="false">IF(Q$74=0,-Assumptions!$C$29*Assumptions!$E$34/100,0)+IF(AND(Q$74&gt;=2,MOD(Q$74,2)=0,Q$74&lt;=IF(ISNUMBER($C$65),$C$65-2,12)),Assumptions!$C$29*Assumptions!$D$34/2,0)+IF(ISNUMBER($C$65),IF(Q$74=$E$65,Assumptions!$C$29*$D$65,0),IF(Q$74=12,Assumptions!$C$29*$E77/100,0))</f>
        <v>453.125</v>
      </c>
      <c r="R77" s="35" t="n">
        <f aca="false">IF(R$74=0,-Assumptions!$C$29*Assumptions!$E$34/100,0)+IF(AND(R$74&gt;=2,MOD(R$74,2)=0,R$74&lt;=IF(ISNUMBER($C$65),$C$65-2,12)),Assumptions!$C$29*Assumptions!$D$34/2,0)+IF(ISNUMBER($C$65),IF(R$74=$E$65,Assumptions!$C$29*$D$65,0),IF(R$74=12,Assumptions!$C$29*$E77/100,0))</f>
        <v>0</v>
      </c>
      <c r="S77" s="35" t="n">
        <f aca="false">IF(S$74=0,-Assumptions!$C$29*Assumptions!$E$34/100,0)+IF(AND(S$74&gt;=2,MOD(S$74,2)=0,S$74&lt;=IF(ISNUMBER($C$65),$C$65-2,12)),Assumptions!$C$29*Assumptions!$D$34/2,0)+IF(ISNUMBER($C$65),IF(S$74=$E$65,Assumptions!$C$29*$D$65,0),IF(S$74=12,Assumptions!$C$29*$E77/100,0))</f>
        <v>453.125</v>
      </c>
      <c r="T77" s="35" t="n">
        <f aca="false">IF(T$74=0,-Assumptions!$C$29*Assumptions!$E$34/100,0)+IF(AND(T$74&gt;=2,MOD(T$74,2)=0,T$74&lt;=IF(ISNUMBER($C$65),$C$65-2,12)),Assumptions!$C$29*Assumptions!$D$34/2,0)+IF(ISNUMBER($C$65),IF(T$74=$E$65,Assumptions!$C$29*$D$65,0),IF(T$74=12,Assumptions!$C$29*$E77/100,0))</f>
        <v>0</v>
      </c>
      <c r="U77" s="35" t="n">
        <f aca="false">IF(U$74=0,-Assumptions!$C$29*Assumptions!$E$34/100,0)+IF(AND(U$74&gt;=2,MOD(U$74,2)=0,U$74&lt;=IF(ISNUMBER($C$65),$C$65-2,12)),Assumptions!$C$29*Assumptions!$D$34/2,0)+IF(ISNUMBER($C$65),IF(U$74=$E$65,Assumptions!$C$29*$D$65,0),IF(U$74=12,Assumptions!$C$29*$E77/100,0))</f>
        <v>12841.6232049574</v>
      </c>
      <c r="V77" s="35" t="n">
        <f aca="false">IF(V$74=0,-Assumptions!$C$29*Assumptions!$E$34/100,0)+IF(AND(V$74&gt;=2,MOD(V$74,2)=0,V$74&lt;=IF(ISNUMBER($C$65),$C$65-2,12)),Assumptions!$C$29*Assumptions!$D$34/2,0)+IF(ISNUMBER($C$65),IF(V$74=$E$65,Assumptions!$C$29*$D$65,0),IF(V$74=12,Assumptions!$C$29*$E77/100,0))</f>
        <v>0</v>
      </c>
      <c r="W77" s="35" t="n">
        <f aca="false">IF(W$74=0,-Assumptions!$C$29*Assumptions!$E$34/100,0)+IF(AND(W$74&gt;=2,MOD(W$74,2)=0,W$74&lt;=IF(ISNUMBER($C$65),$C$65-2,12)),Assumptions!$C$29*Assumptions!$D$34/2,0)+IF(ISNUMBER($C$65),IF(W$74=$E$65,Assumptions!$C$29*$D$65,0),IF(W$74=12,Assumptions!$C$29*$E77/100,0))</f>
        <v>0</v>
      </c>
      <c r="X77" s="35" t="n">
        <f aca="false">IF(X$74=0,-Assumptions!$C$29*Assumptions!$E$34/100,0)+IF(AND(X$74&gt;=2,MOD(X$74,2)=0,X$74&lt;=IF(ISNUMBER($C$65),$C$65-2,12)),Assumptions!$C$29*Assumptions!$D$34/2,0)+IF(ISNUMBER($C$65),IF(X$74=$E$65,Assumptions!$C$29*$D$65,0),IF(X$74=12,Assumptions!$C$29*$E77/100,0))</f>
        <v>0</v>
      </c>
      <c r="Y77" s="35" t="n">
        <f aca="false">IF(Y$74=0,-Assumptions!$C$29*Assumptions!$E$34/100,0)+IF(AND(Y$74&gt;=2,MOD(Y$74,2)=0,Y$74&lt;=IF(ISNUMBER($C$65),$C$65-2,12)),Assumptions!$C$29*Assumptions!$D$34/2,0)+IF(ISNUMBER($C$65),IF(Y$74=$E$65,Assumptions!$C$29*$D$65,0),IF(Y$74=12,Assumptions!$C$29*$E77/100,0))</f>
        <v>0</v>
      </c>
    </row>
    <row r="78" customFormat="false" ht="15" hidden="false" customHeight="false" outlineLevel="0" collapsed="false">
      <c r="B78" s="9" t="s">
        <v>50</v>
      </c>
      <c r="C78" s="9" t="s">
        <v>136</v>
      </c>
      <c r="D78" s="19" t="n">
        <f aca="false">Assumptions!$F$35</f>
        <v>12187.5</v>
      </c>
      <c r="E78" s="34" t="n">
        <f aca="false">PV(($F78+$C$59+$C$61)/2,(Assumptions!$C$30*4-12)/2,-Assumptions!$D$35*100/2,-100)</f>
        <v>98.8794329841845</v>
      </c>
      <c r="F78" s="17" t="n">
        <f aca="false">RATE(Assumptions!$C$30*2,Assumptions!$D$35*100/2,-Assumptions!$E$35,100)*2</f>
        <v>0.0811827080590467</v>
      </c>
      <c r="G78" s="26" t="n">
        <f aca="false">SUM(I78:Y78)</f>
        <v>2984.92912302306</v>
      </c>
      <c r="H78" s="29" t="n">
        <f aca="false">(1+IRR(I78:Y78,IF(SUM(I78:Y78)&lt;0,-0.05,0.01)))^4-1</f>
        <v>0.0828303660809961</v>
      </c>
      <c r="I78" s="35" t="n">
        <f aca="false">IF(I$74=0,-Assumptions!$C$29*Assumptions!$E$35/100,0)+IF(AND(I$74&gt;=2,MOD(I$74,2)=0,I$74&lt;=IF(ISNUMBER($C$66),$C$66-2,12)),Assumptions!$C$29*Assumptions!$D$35/2,0)+IF(ISNUMBER($C$66),IF(I$74=$E$66,Assumptions!$C$29*$D$66,0),IF(I$74=12,Assumptions!$C$29*$E78/100,0))</f>
        <v>-12187.5</v>
      </c>
      <c r="J78" s="35" t="n">
        <f aca="false">IF(J$74=0,-Assumptions!$C$29*Assumptions!$E$35/100,0)+IF(AND(J$74&gt;=2,MOD(J$74,2)=0,J$74&lt;=IF(ISNUMBER($C$66),$C$66-2,12)),Assumptions!$C$29*Assumptions!$D$35/2,0)+IF(ISNUMBER($C$66),IF(J$74=$E$66,Assumptions!$C$29*$D$66,0),IF(J$74=12,Assumptions!$C$29*$E78/100,0))</f>
        <v>0</v>
      </c>
      <c r="K78" s="35" t="n">
        <f aca="false">IF(K$74=0,-Assumptions!$C$29*Assumptions!$E$35/100,0)+IF(AND(K$74&gt;=2,MOD(K$74,2)=0,K$74&lt;=IF(ISNUMBER($C$66),$C$66-2,12)),Assumptions!$C$29*Assumptions!$D$35/2,0)+IF(ISNUMBER($C$66),IF(K$74=$E$66,Assumptions!$C$29*$D$66,0),IF(K$74=12,Assumptions!$C$29*$E78/100,0))</f>
        <v>468.75</v>
      </c>
      <c r="L78" s="35" t="n">
        <f aca="false">IF(L$74=0,-Assumptions!$C$29*Assumptions!$E$35/100,0)+IF(AND(L$74&gt;=2,MOD(L$74,2)=0,L$74&lt;=IF(ISNUMBER($C$66),$C$66-2,12)),Assumptions!$C$29*Assumptions!$D$35/2,0)+IF(ISNUMBER($C$66),IF(L$74=$E$66,Assumptions!$C$29*$D$66,0),IF(L$74=12,Assumptions!$C$29*$E78/100,0))</f>
        <v>0</v>
      </c>
      <c r="M78" s="35" t="n">
        <f aca="false">IF(M$74=0,-Assumptions!$C$29*Assumptions!$E$35/100,0)+IF(AND(M$74&gt;=2,MOD(M$74,2)=0,M$74&lt;=IF(ISNUMBER($C$66),$C$66-2,12)),Assumptions!$C$29*Assumptions!$D$35/2,0)+IF(ISNUMBER($C$66),IF(M$74=$E$66,Assumptions!$C$29*$D$66,0),IF(M$74=12,Assumptions!$C$29*$E78/100,0))</f>
        <v>468.75</v>
      </c>
      <c r="N78" s="35" t="n">
        <f aca="false">IF(N$74=0,-Assumptions!$C$29*Assumptions!$E$35/100,0)+IF(AND(N$74&gt;=2,MOD(N$74,2)=0,N$74&lt;=IF(ISNUMBER($C$66),$C$66-2,12)),Assumptions!$C$29*Assumptions!$D$35/2,0)+IF(ISNUMBER($C$66),IF(N$74=$E$66,Assumptions!$C$29*$D$66,0),IF(N$74=12,Assumptions!$C$29*$E78/100,0))</f>
        <v>0</v>
      </c>
      <c r="O78" s="35" t="n">
        <f aca="false">IF(O$74=0,-Assumptions!$C$29*Assumptions!$E$35/100,0)+IF(AND(O$74&gt;=2,MOD(O$74,2)=0,O$74&lt;=IF(ISNUMBER($C$66),$C$66-2,12)),Assumptions!$C$29*Assumptions!$D$35/2,0)+IF(ISNUMBER($C$66),IF(O$74=$E$66,Assumptions!$C$29*$D$66,0),IF(O$74=12,Assumptions!$C$29*$E78/100,0))</f>
        <v>468.75</v>
      </c>
      <c r="P78" s="35" t="n">
        <f aca="false">IF(P$74=0,-Assumptions!$C$29*Assumptions!$E$35/100,0)+IF(AND(P$74&gt;=2,MOD(P$74,2)=0,P$74&lt;=IF(ISNUMBER($C$66),$C$66-2,12)),Assumptions!$C$29*Assumptions!$D$35/2,0)+IF(ISNUMBER($C$66),IF(P$74=$E$66,Assumptions!$C$29*$D$66,0),IF(P$74=12,Assumptions!$C$29*$E78/100,0))</f>
        <v>0</v>
      </c>
      <c r="Q78" s="35" t="n">
        <f aca="false">IF(Q$74=0,-Assumptions!$C$29*Assumptions!$E$35/100,0)+IF(AND(Q$74&gt;=2,MOD(Q$74,2)=0,Q$74&lt;=IF(ISNUMBER($C$66),$C$66-2,12)),Assumptions!$C$29*Assumptions!$D$35/2,0)+IF(ISNUMBER($C$66),IF(Q$74=$E$66,Assumptions!$C$29*$D$66,0),IF(Q$74=12,Assumptions!$C$29*$E78/100,0))</f>
        <v>468.75</v>
      </c>
      <c r="R78" s="35" t="n">
        <f aca="false">IF(R$74=0,-Assumptions!$C$29*Assumptions!$E$35/100,0)+IF(AND(R$74&gt;=2,MOD(R$74,2)=0,R$74&lt;=IF(ISNUMBER($C$66),$C$66-2,12)),Assumptions!$C$29*Assumptions!$D$35/2,0)+IF(ISNUMBER($C$66),IF(R$74=$E$66,Assumptions!$C$29*$D$66,0),IF(R$74=12,Assumptions!$C$29*$E78/100,0))</f>
        <v>0</v>
      </c>
      <c r="S78" s="35" t="n">
        <f aca="false">IF(S$74=0,-Assumptions!$C$29*Assumptions!$E$35/100,0)+IF(AND(S$74&gt;=2,MOD(S$74,2)=0,S$74&lt;=IF(ISNUMBER($C$66),$C$66-2,12)),Assumptions!$C$29*Assumptions!$D$35/2,0)+IF(ISNUMBER($C$66),IF(S$74=$E$66,Assumptions!$C$29*$D$66,0),IF(S$74=12,Assumptions!$C$29*$E78/100,0))</f>
        <v>468.75</v>
      </c>
      <c r="T78" s="35" t="n">
        <f aca="false">IF(T$74=0,-Assumptions!$C$29*Assumptions!$E$35/100,0)+IF(AND(T$74&gt;=2,MOD(T$74,2)=0,T$74&lt;=IF(ISNUMBER($C$66),$C$66-2,12)),Assumptions!$C$29*Assumptions!$D$35/2,0)+IF(ISNUMBER($C$66),IF(T$74=$E$66,Assumptions!$C$29*$D$66,0),IF(T$74=12,Assumptions!$C$29*$E78/100,0))</f>
        <v>0</v>
      </c>
      <c r="U78" s="35" t="n">
        <f aca="false">IF(U$74=0,-Assumptions!$C$29*Assumptions!$E$35/100,0)+IF(AND(U$74&gt;=2,MOD(U$74,2)=0,U$74&lt;=IF(ISNUMBER($C$66),$C$66-2,12)),Assumptions!$C$29*Assumptions!$D$35/2,0)+IF(ISNUMBER($C$66),IF(U$74=$E$66,Assumptions!$C$29*$D$66,0),IF(U$74=12,Assumptions!$C$29*$E78/100,0))</f>
        <v>12828.6791230231</v>
      </c>
      <c r="V78" s="35" t="n">
        <f aca="false">IF(V$74=0,-Assumptions!$C$29*Assumptions!$E$35/100,0)+IF(AND(V$74&gt;=2,MOD(V$74,2)=0,V$74&lt;=IF(ISNUMBER($C$66),$C$66-2,12)),Assumptions!$C$29*Assumptions!$D$35/2,0)+IF(ISNUMBER($C$66),IF(V$74=$E$66,Assumptions!$C$29*$D$66,0),IF(V$74=12,Assumptions!$C$29*$E78/100,0))</f>
        <v>0</v>
      </c>
      <c r="W78" s="35" t="n">
        <f aca="false">IF(W$74=0,-Assumptions!$C$29*Assumptions!$E$35/100,0)+IF(AND(W$74&gt;=2,MOD(W$74,2)=0,W$74&lt;=IF(ISNUMBER($C$66),$C$66-2,12)),Assumptions!$C$29*Assumptions!$D$35/2,0)+IF(ISNUMBER($C$66),IF(W$74=$E$66,Assumptions!$C$29*$D$66,0),IF(W$74=12,Assumptions!$C$29*$E78/100,0))</f>
        <v>0</v>
      </c>
      <c r="X78" s="35" t="n">
        <f aca="false">IF(X$74=0,-Assumptions!$C$29*Assumptions!$E$35/100,0)+IF(AND(X$74&gt;=2,MOD(X$74,2)=0,X$74&lt;=IF(ISNUMBER($C$66),$C$66-2,12)),Assumptions!$C$29*Assumptions!$D$35/2,0)+IF(ISNUMBER($C$66),IF(X$74=$E$66,Assumptions!$C$29*$D$66,0),IF(X$74=12,Assumptions!$C$29*$E78/100,0))</f>
        <v>0</v>
      </c>
      <c r="Y78" s="35" t="n">
        <f aca="false">IF(Y$74=0,-Assumptions!$C$29*Assumptions!$E$35/100,0)+IF(AND(Y$74&gt;=2,MOD(Y$74,2)=0,Y$74&lt;=IF(ISNUMBER($C$66),$C$66-2,12)),Assumptions!$C$29*Assumptions!$D$35/2,0)+IF(ISNUMBER($C$66),IF(Y$74=$E$66,Assumptions!$C$29*$D$66,0),IF(Y$74=12,Assumptions!$C$29*$E78/100,0))</f>
        <v>0</v>
      </c>
    </row>
    <row r="79" customFormat="false" ht="15" hidden="false" customHeight="false" outlineLevel="0" collapsed="false">
      <c r="B79" s="9" t="s">
        <v>51</v>
      </c>
      <c r="C79" s="9" t="s">
        <v>136</v>
      </c>
      <c r="D79" s="19" t="n">
        <f aca="false">Assumptions!$F$36</f>
        <v>12125</v>
      </c>
      <c r="E79" s="34" t="n">
        <f aca="false">PV(($F79+$C$59+$C$61)/2,(Assumptions!$C$30*4-12)/2,-Assumptions!$D$36*100/2,-100)</f>
        <v>98.6441572961372</v>
      </c>
      <c r="F79" s="17" t="n">
        <f aca="false">RATE(Assumptions!$C$30*2,Assumptions!$D$36*100/2,-Assumptions!$E$36,100)*2</f>
        <v>0.0875368825411204</v>
      </c>
      <c r="G79" s="26" t="n">
        <f aca="false">SUM(I79:Y79)</f>
        <v>3205.51966201715</v>
      </c>
      <c r="H79" s="29" t="n">
        <f aca="false">(1+IRR(I79:Y79,IF(SUM(I79:Y79)&lt;0,-0.05,0.01)))^4-1</f>
        <v>0.0894525589923749</v>
      </c>
      <c r="I79" s="35" t="n">
        <f aca="false">IF(I$74=0,-Assumptions!$C$29*Assumptions!$E$36/100,0)+IF(AND(I$74&gt;=2,MOD(I$74,2)=0,I$74&lt;=IF(ISNUMBER($C$67),$C$67-2,12)),Assumptions!$C$29*Assumptions!$D$36/2,0)+IF(ISNUMBER($C$67),IF(I$74=$E$67,Assumptions!$C$29*$D$67,0),IF(I$74=12,Assumptions!$C$29*$E79/100,0))</f>
        <v>-12125</v>
      </c>
      <c r="J79" s="35" t="n">
        <f aca="false">IF(J$74=0,-Assumptions!$C$29*Assumptions!$E$36/100,0)+IF(AND(J$74&gt;=2,MOD(J$74,2)=0,J$74&lt;=IF(ISNUMBER($C$67),$C$67-2,12)),Assumptions!$C$29*Assumptions!$D$36/2,0)+IF(ISNUMBER($C$67),IF(J$74=$E$67,Assumptions!$C$29*$D$67,0),IF(J$74=12,Assumptions!$C$29*$E79/100,0))</f>
        <v>0</v>
      </c>
      <c r="K79" s="35" t="n">
        <f aca="false">IF(K$74=0,-Assumptions!$C$29*Assumptions!$E$36/100,0)+IF(AND(K$74&gt;=2,MOD(K$74,2)=0,K$74&lt;=IF(ISNUMBER($C$67),$C$67-2,12)),Assumptions!$C$29*Assumptions!$D$36/2,0)+IF(ISNUMBER($C$67),IF(K$74=$E$67,Assumptions!$C$29*$D$67,0),IF(K$74=12,Assumptions!$C$29*$E79/100,0))</f>
        <v>500</v>
      </c>
      <c r="L79" s="35" t="n">
        <f aca="false">IF(L$74=0,-Assumptions!$C$29*Assumptions!$E$36/100,0)+IF(AND(L$74&gt;=2,MOD(L$74,2)=0,L$74&lt;=IF(ISNUMBER($C$67),$C$67-2,12)),Assumptions!$C$29*Assumptions!$D$36/2,0)+IF(ISNUMBER($C$67),IF(L$74=$E$67,Assumptions!$C$29*$D$67,0),IF(L$74=12,Assumptions!$C$29*$E79/100,0))</f>
        <v>0</v>
      </c>
      <c r="M79" s="35" t="n">
        <f aca="false">IF(M$74=0,-Assumptions!$C$29*Assumptions!$E$36/100,0)+IF(AND(M$74&gt;=2,MOD(M$74,2)=0,M$74&lt;=IF(ISNUMBER($C$67),$C$67-2,12)),Assumptions!$C$29*Assumptions!$D$36/2,0)+IF(ISNUMBER($C$67),IF(M$74=$E$67,Assumptions!$C$29*$D$67,0),IF(M$74=12,Assumptions!$C$29*$E79/100,0))</f>
        <v>500</v>
      </c>
      <c r="N79" s="35" t="n">
        <f aca="false">IF(N$74=0,-Assumptions!$C$29*Assumptions!$E$36/100,0)+IF(AND(N$74&gt;=2,MOD(N$74,2)=0,N$74&lt;=IF(ISNUMBER($C$67),$C$67-2,12)),Assumptions!$C$29*Assumptions!$D$36/2,0)+IF(ISNUMBER($C$67),IF(N$74=$E$67,Assumptions!$C$29*$D$67,0),IF(N$74=12,Assumptions!$C$29*$E79/100,0))</f>
        <v>0</v>
      </c>
      <c r="O79" s="35" t="n">
        <f aca="false">IF(O$74=0,-Assumptions!$C$29*Assumptions!$E$36/100,0)+IF(AND(O$74&gt;=2,MOD(O$74,2)=0,O$74&lt;=IF(ISNUMBER($C$67),$C$67-2,12)),Assumptions!$C$29*Assumptions!$D$36/2,0)+IF(ISNUMBER($C$67),IF(O$74=$E$67,Assumptions!$C$29*$D$67,0),IF(O$74=12,Assumptions!$C$29*$E79/100,0))</f>
        <v>500</v>
      </c>
      <c r="P79" s="35" t="n">
        <f aca="false">IF(P$74=0,-Assumptions!$C$29*Assumptions!$E$36/100,0)+IF(AND(P$74&gt;=2,MOD(P$74,2)=0,P$74&lt;=IF(ISNUMBER($C$67),$C$67-2,12)),Assumptions!$C$29*Assumptions!$D$36/2,0)+IF(ISNUMBER($C$67),IF(P$74=$E$67,Assumptions!$C$29*$D$67,0),IF(P$74=12,Assumptions!$C$29*$E79/100,0))</f>
        <v>0</v>
      </c>
      <c r="Q79" s="35" t="n">
        <f aca="false">IF(Q$74=0,-Assumptions!$C$29*Assumptions!$E$36/100,0)+IF(AND(Q$74&gt;=2,MOD(Q$74,2)=0,Q$74&lt;=IF(ISNUMBER($C$67),$C$67-2,12)),Assumptions!$C$29*Assumptions!$D$36/2,0)+IF(ISNUMBER($C$67),IF(Q$74=$E$67,Assumptions!$C$29*$D$67,0),IF(Q$74=12,Assumptions!$C$29*$E79/100,0))</f>
        <v>500</v>
      </c>
      <c r="R79" s="35" t="n">
        <f aca="false">IF(R$74=0,-Assumptions!$C$29*Assumptions!$E$36/100,0)+IF(AND(R$74&gt;=2,MOD(R$74,2)=0,R$74&lt;=IF(ISNUMBER($C$67),$C$67-2,12)),Assumptions!$C$29*Assumptions!$D$36/2,0)+IF(ISNUMBER($C$67),IF(R$74=$E$67,Assumptions!$C$29*$D$67,0),IF(R$74=12,Assumptions!$C$29*$E79/100,0))</f>
        <v>0</v>
      </c>
      <c r="S79" s="35" t="n">
        <f aca="false">IF(S$74=0,-Assumptions!$C$29*Assumptions!$E$36/100,0)+IF(AND(S$74&gt;=2,MOD(S$74,2)=0,S$74&lt;=IF(ISNUMBER($C$67),$C$67-2,12)),Assumptions!$C$29*Assumptions!$D$36/2,0)+IF(ISNUMBER($C$67),IF(S$74=$E$67,Assumptions!$C$29*$D$67,0),IF(S$74=12,Assumptions!$C$29*$E79/100,0))</f>
        <v>500</v>
      </c>
      <c r="T79" s="35" t="n">
        <f aca="false">IF(T$74=0,-Assumptions!$C$29*Assumptions!$E$36/100,0)+IF(AND(T$74&gt;=2,MOD(T$74,2)=0,T$74&lt;=IF(ISNUMBER($C$67),$C$67-2,12)),Assumptions!$C$29*Assumptions!$D$36/2,0)+IF(ISNUMBER($C$67),IF(T$74=$E$67,Assumptions!$C$29*$D$67,0),IF(T$74=12,Assumptions!$C$29*$E79/100,0))</f>
        <v>0</v>
      </c>
      <c r="U79" s="35" t="n">
        <f aca="false">IF(U$74=0,-Assumptions!$C$29*Assumptions!$E$36/100,0)+IF(AND(U$74&gt;=2,MOD(U$74,2)=0,U$74&lt;=IF(ISNUMBER($C$67),$C$67-2,12)),Assumptions!$C$29*Assumptions!$D$36/2,0)+IF(ISNUMBER($C$67),IF(U$74=$E$67,Assumptions!$C$29*$D$67,0),IF(U$74=12,Assumptions!$C$29*$E79/100,0))</f>
        <v>12830.5196620172</v>
      </c>
      <c r="V79" s="35" t="n">
        <f aca="false">IF(V$74=0,-Assumptions!$C$29*Assumptions!$E$36/100,0)+IF(AND(V$74&gt;=2,MOD(V$74,2)=0,V$74&lt;=IF(ISNUMBER($C$67),$C$67-2,12)),Assumptions!$C$29*Assumptions!$D$36/2,0)+IF(ISNUMBER($C$67),IF(V$74=$E$67,Assumptions!$C$29*$D$67,0),IF(V$74=12,Assumptions!$C$29*$E79/100,0))</f>
        <v>0</v>
      </c>
      <c r="W79" s="35" t="n">
        <f aca="false">IF(W$74=0,-Assumptions!$C$29*Assumptions!$E$36/100,0)+IF(AND(W$74&gt;=2,MOD(W$74,2)=0,W$74&lt;=IF(ISNUMBER($C$67),$C$67-2,12)),Assumptions!$C$29*Assumptions!$D$36/2,0)+IF(ISNUMBER($C$67),IF(W$74=$E$67,Assumptions!$C$29*$D$67,0),IF(W$74=12,Assumptions!$C$29*$E79/100,0))</f>
        <v>0</v>
      </c>
      <c r="X79" s="35" t="n">
        <f aca="false">IF(X$74=0,-Assumptions!$C$29*Assumptions!$E$36/100,0)+IF(AND(X$74&gt;=2,MOD(X$74,2)=0,X$74&lt;=IF(ISNUMBER($C$67),$C$67-2,12)),Assumptions!$C$29*Assumptions!$D$36/2,0)+IF(ISNUMBER($C$67),IF(X$74=$E$67,Assumptions!$C$29*$D$67,0),IF(X$74=12,Assumptions!$C$29*$E79/100,0))</f>
        <v>0</v>
      </c>
      <c r="Y79" s="35" t="n">
        <f aca="false">IF(Y$74=0,-Assumptions!$C$29*Assumptions!$E$36/100,0)+IF(AND(Y$74&gt;=2,MOD(Y$74,2)=0,Y$74&lt;=IF(ISNUMBER($C$67),$C$67-2,12)),Assumptions!$C$29*Assumptions!$D$36/2,0)+IF(ISNUMBER($C$67),IF(Y$74=$E$67,Assumptions!$C$29*$D$67,0),IF(Y$74=12,Assumptions!$C$29*$E79/100,0))</f>
        <v>0</v>
      </c>
    </row>
    <row r="80" customFormat="false" ht="15" hidden="false" customHeight="false" outlineLevel="0" collapsed="false">
      <c r="B80" s="9" t="s">
        <v>52</v>
      </c>
      <c r="C80" s="9" t="s">
        <v>136</v>
      </c>
      <c r="D80" s="19" t="n">
        <f aca="false">Assumptions!$F$37</f>
        <v>11750</v>
      </c>
      <c r="E80" s="34" t="n">
        <f aca="false">PV(($F80+$C$59+$C$61)/2,(Assumptions!$C$30*4-12)/2,-Assumptions!$D$37*100/2,-100)</f>
        <v>97.2427387979842</v>
      </c>
      <c r="F80" s="17" t="n">
        <f aca="false">RATE(Assumptions!$C$30*2,Assumptions!$D$37*100/2,-Assumptions!$E$37,100)*2</f>
        <v>0.100561753609911</v>
      </c>
      <c r="G80" s="26" t="n">
        <f aca="false">SUM(I80:Y80)</f>
        <v>3592.84234974802</v>
      </c>
      <c r="H80" s="29" t="n">
        <f aca="false">(1+IRR(I80:Y80,IF(SUM(I80:Y80)&lt;0,-0.05,0.01)))^4-1</f>
        <v>0.103089920182186</v>
      </c>
      <c r="I80" s="35" t="n">
        <f aca="false">IF(I$74=0,-Assumptions!$C$29*Assumptions!$E$37/100,0)+IF(AND(I$74&gt;=2,MOD(I$74,2)=0,I$74&lt;=IF(ISNUMBER($C$68),$C$68-2,12)),Assumptions!$C$29*Assumptions!$D$37/2,0)+IF(ISNUMBER($C$68),IF(I$74=$E$68,Assumptions!$C$29*$D$68,0),IF(I$74=12,Assumptions!$C$29*$E80/100,0))</f>
        <v>-11750</v>
      </c>
      <c r="J80" s="35" t="n">
        <f aca="false">IF(J$74=0,-Assumptions!$C$29*Assumptions!$E$37/100,0)+IF(AND(J$74&gt;=2,MOD(J$74,2)=0,J$74&lt;=IF(ISNUMBER($C$68),$C$68-2,12)),Assumptions!$C$29*Assumptions!$D$37/2,0)+IF(ISNUMBER($C$68),IF(J$74=$E$68,Assumptions!$C$29*$D$68,0),IF(J$74=12,Assumptions!$C$29*$E80/100,0))</f>
        <v>0</v>
      </c>
      <c r="K80" s="35" t="n">
        <f aca="false">IF(K$74=0,-Assumptions!$C$29*Assumptions!$E$37/100,0)+IF(AND(K$74&gt;=2,MOD(K$74,2)=0,K$74&lt;=IF(ISNUMBER($C$68),$C$68-2,12)),Assumptions!$C$29*Assumptions!$D$37/2,0)+IF(ISNUMBER($C$68),IF(K$74=$E$68,Assumptions!$C$29*$D$68,0),IF(K$74=12,Assumptions!$C$29*$E80/100,0))</f>
        <v>531.25</v>
      </c>
      <c r="L80" s="35" t="n">
        <f aca="false">IF(L$74=0,-Assumptions!$C$29*Assumptions!$E$37/100,0)+IF(AND(L$74&gt;=2,MOD(L$74,2)=0,L$74&lt;=IF(ISNUMBER($C$68),$C$68-2,12)),Assumptions!$C$29*Assumptions!$D$37/2,0)+IF(ISNUMBER($C$68),IF(L$74=$E$68,Assumptions!$C$29*$D$68,0),IF(L$74=12,Assumptions!$C$29*$E80/100,0))</f>
        <v>0</v>
      </c>
      <c r="M80" s="35" t="n">
        <f aca="false">IF(M$74=0,-Assumptions!$C$29*Assumptions!$E$37/100,0)+IF(AND(M$74&gt;=2,MOD(M$74,2)=0,M$74&lt;=IF(ISNUMBER($C$68),$C$68-2,12)),Assumptions!$C$29*Assumptions!$D$37/2,0)+IF(ISNUMBER($C$68),IF(M$74=$E$68,Assumptions!$C$29*$D$68,0),IF(M$74=12,Assumptions!$C$29*$E80/100,0))</f>
        <v>531.25</v>
      </c>
      <c r="N80" s="35" t="n">
        <f aca="false">IF(N$74=0,-Assumptions!$C$29*Assumptions!$E$37/100,0)+IF(AND(N$74&gt;=2,MOD(N$74,2)=0,N$74&lt;=IF(ISNUMBER($C$68),$C$68-2,12)),Assumptions!$C$29*Assumptions!$D$37/2,0)+IF(ISNUMBER($C$68),IF(N$74=$E$68,Assumptions!$C$29*$D$68,0),IF(N$74=12,Assumptions!$C$29*$E80/100,0))</f>
        <v>0</v>
      </c>
      <c r="O80" s="35" t="n">
        <f aca="false">IF(O$74=0,-Assumptions!$C$29*Assumptions!$E$37/100,0)+IF(AND(O$74&gt;=2,MOD(O$74,2)=0,O$74&lt;=IF(ISNUMBER($C$68),$C$68-2,12)),Assumptions!$C$29*Assumptions!$D$37/2,0)+IF(ISNUMBER($C$68),IF(O$74=$E$68,Assumptions!$C$29*$D$68,0),IF(O$74=12,Assumptions!$C$29*$E80/100,0))</f>
        <v>531.25</v>
      </c>
      <c r="P80" s="35" t="n">
        <f aca="false">IF(P$74=0,-Assumptions!$C$29*Assumptions!$E$37/100,0)+IF(AND(P$74&gt;=2,MOD(P$74,2)=0,P$74&lt;=IF(ISNUMBER($C$68),$C$68-2,12)),Assumptions!$C$29*Assumptions!$D$37/2,0)+IF(ISNUMBER($C$68),IF(P$74=$E$68,Assumptions!$C$29*$D$68,0),IF(P$74=12,Assumptions!$C$29*$E80/100,0))</f>
        <v>0</v>
      </c>
      <c r="Q80" s="35" t="n">
        <f aca="false">IF(Q$74=0,-Assumptions!$C$29*Assumptions!$E$37/100,0)+IF(AND(Q$74&gt;=2,MOD(Q$74,2)=0,Q$74&lt;=IF(ISNUMBER($C$68),$C$68-2,12)),Assumptions!$C$29*Assumptions!$D$37/2,0)+IF(ISNUMBER($C$68),IF(Q$74=$E$68,Assumptions!$C$29*$D$68,0),IF(Q$74=12,Assumptions!$C$29*$E80/100,0))</f>
        <v>531.25</v>
      </c>
      <c r="R80" s="35" t="n">
        <f aca="false">IF(R$74=0,-Assumptions!$C$29*Assumptions!$E$37/100,0)+IF(AND(R$74&gt;=2,MOD(R$74,2)=0,R$74&lt;=IF(ISNUMBER($C$68),$C$68-2,12)),Assumptions!$C$29*Assumptions!$D$37/2,0)+IF(ISNUMBER($C$68),IF(R$74=$E$68,Assumptions!$C$29*$D$68,0),IF(R$74=12,Assumptions!$C$29*$E80/100,0))</f>
        <v>0</v>
      </c>
      <c r="S80" s="35" t="n">
        <f aca="false">IF(S$74=0,-Assumptions!$C$29*Assumptions!$E$37/100,0)+IF(AND(S$74&gt;=2,MOD(S$74,2)=0,S$74&lt;=IF(ISNUMBER($C$68),$C$68-2,12)),Assumptions!$C$29*Assumptions!$D$37/2,0)+IF(ISNUMBER($C$68),IF(S$74=$E$68,Assumptions!$C$29*$D$68,0),IF(S$74=12,Assumptions!$C$29*$E80/100,0))</f>
        <v>531.25</v>
      </c>
      <c r="T80" s="35" t="n">
        <f aca="false">IF(T$74=0,-Assumptions!$C$29*Assumptions!$E$37/100,0)+IF(AND(T$74&gt;=2,MOD(T$74,2)=0,T$74&lt;=IF(ISNUMBER($C$68),$C$68-2,12)),Assumptions!$C$29*Assumptions!$D$37/2,0)+IF(ISNUMBER($C$68),IF(T$74=$E$68,Assumptions!$C$29*$D$68,0),IF(T$74=12,Assumptions!$C$29*$E80/100,0))</f>
        <v>0</v>
      </c>
      <c r="U80" s="35" t="n">
        <f aca="false">IF(U$74=0,-Assumptions!$C$29*Assumptions!$E$37/100,0)+IF(AND(U$74&gt;=2,MOD(U$74,2)=0,U$74&lt;=IF(ISNUMBER($C$68),$C$68-2,12)),Assumptions!$C$29*Assumptions!$D$37/2,0)+IF(ISNUMBER($C$68),IF(U$74=$E$68,Assumptions!$C$29*$D$68,0),IF(U$74=12,Assumptions!$C$29*$E80/100,0))</f>
        <v>12686.592349748</v>
      </c>
      <c r="V80" s="35" t="n">
        <f aca="false">IF(V$74=0,-Assumptions!$C$29*Assumptions!$E$37/100,0)+IF(AND(V$74&gt;=2,MOD(V$74,2)=0,V$74&lt;=IF(ISNUMBER($C$68),$C$68-2,12)),Assumptions!$C$29*Assumptions!$D$37/2,0)+IF(ISNUMBER($C$68),IF(V$74=$E$68,Assumptions!$C$29*$D$68,0),IF(V$74=12,Assumptions!$C$29*$E80/100,0))</f>
        <v>0</v>
      </c>
      <c r="W80" s="35" t="n">
        <f aca="false">IF(W$74=0,-Assumptions!$C$29*Assumptions!$E$37/100,0)+IF(AND(W$74&gt;=2,MOD(W$74,2)=0,W$74&lt;=IF(ISNUMBER($C$68),$C$68-2,12)),Assumptions!$C$29*Assumptions!$D$37/2,0)+IF(ISNUMBER($C$68),IF(W$74=$E$68,Assumptions!$C$29*$D$68,0),IF(W$74=12,Assumptions!$C$29*$E80/100,0))</f>
        <v>0</v>
      </c>
      <c r="X80" s="35" t="n">
        <f aca="false">IF(X$74=0,-Assumptions!$C$29*Assumptions!$E$37/100,0)+IF(AND(X$74&gt;=2,MOD(X$74,2)=0,X$74&lt;=IF(ISNUMBER($C$68),$C$68-2,12)),Assumptions!$C$29*Assumptions!$D$37/2,0)+IF(ISNUMBER($C$68),IF(X$74=$E$68,Assumptions!$C$29*$D$68,0),IF(X$74=12,Assumptions!$C$29*$E80/100,0))</f>
        <v>0</v>
      </c>
      <c r="Y80" s="35" t="n">
        <f aca="false">IF(Y$74=0,-Assumptions!$C$29*Assumptions!$E$37/100,0)+IF(AND(Y$74&gt;=2,MOD(Y$74,2)=0,Y$74&lt;=IF(ISNUMBER($C$68),$C$68-2,12)),Assumptions!$C$29*Assumptions!$D$37/2,0)+IF(ISNUMBER($C$68),IF(Y$74=$E$68,Assumptions!$C$29*$D$68,0),IF(Y$74=12,Assumptions!$C$29*$E80/100,0))</f>
        <v>0</v>
      </c>
    </row>
    <row r="82" customFormat="false" ht="15" hidden="false" customHeight="false" outlineLevel="0" collapsed="false">
      <c r="B82" s="30" t="s">
        <v>138</v>
      </c>
      <c r="C82" s="9" t="s">
        <v>136</v>
      </c>
      <c r="D82" s="26" t="n">
        <f aca="false">SUMIF($C$75:$C$80,"HY",D$75:D$80)</f>
        <v>73000</v>
      </c>
      <c r="G82" s="36" t="n">
        <f aca="false">SUM(I82:Y82)</f>
        <v>17970.8772222062</v>
      </c>
      <c r="H82" s="29" t="n">
        <f aca="false">(1+IRR(I82:Y82,IF(SUM(I82:Y82)&lt;0,-0.05,0.01)))^4-1</f>
        <v>0.0832358496413976</v>
      </c>
      <c r="I82" s="35" t="n">
        <f aca="false">SUMIF($C$75:$C$80,"HY",I$75:I$80)</f>
        <v>-73000</v>
      </c>
      <c r="J82" s="35" t="n">
        <f aca="false">SUMIF($C$75:$C$80,"HY",J$75:J$80)</f>
        <v>0</v>
      </c>
      <c r="K82" s="35" t="n">
        <f aca="false">SUMIF($C$75:$C$80,"HY",K$75:K$80)</f>
        <v>2812.5</v>
      </c>
      <c r="L82" s="35" t="n">
        <f aca="false">SUMIF($C$75:$C$80,"HY",L$75:L$80)</f>
        <v>0</v>
      </c>
      <c r="M82" s="35" t="n">
        <f aca="false">SUMIF($C$75:$C$80,"HY",M$75:M$80)</f>
        <v>2812.5</v>
      </c>
      <c r="N82" s="35" t="n">
        <f aca="false">SUMIF($C$75:$C$80,"HY",N$75:N$80)</f>
        <v>0</v>
      </c>
      <c r="O82" s="35" t="n">
        <f aca="false">SUMIF($C$75:$C$80,"HY",O$75:O$80)</f>
        <v>2812.5</v>
      </c>
      <c r="P82" s="35" t="n">
        <f aca="false">SUMIF($C$75:$C$80,"HY",P$75:P$80)</f>
        <v>0</v>
      </c>
      <c r="Q82" s="35" t="n">
        <f aca="false">SUMIF($C$75:$C$80,"HY",Q$75:Q$80)</f>
        <v>2812.5</v>
      </c>
      <c r="R82" s="35" t="n">
        <f aca="false">SUMIF($C$75:$C$80,"HY",R$75:R$80)</f>
        <v>0</v>
      </c>
      <c r="S82" s="35" t="n">
        <f aca="false">SUMIF($C$75:$C$80,"HY",S$75:S$80)</f>
        <v>2812.5</v>
      </c>
      <c r="T82" s="35" t="n">
        <f aca="false">SUMIF($C$75:$C$80,"HY",T$75:T$80)</f>
        <v>0</v>
      </c>
      <c r="U82" s="35" t="n">
        <f aca="false">SUMIF($C$75:$C$80,"HY",U$75:U$80)</f>
        <v>76908.3772222062</v>
      </c>
      <c r="V82" s="35" t="n">
        <f aca="false">SUMIF($C$75:$C$80,"HY",V$75:V$80)</f>
        <v>0</v>
      </c>
      <c r="W82" s="35" t="n">
        <f aca="false">SUMIF($C$75:$C$80,"HY",W$75:W$80)</f>
        <v>0</v>
      </c>
      <c r="X82" s="35" t="n">
        <f aca="false">SUMIF($C$75:$C$80,"HY",X$75:X$80)</f>
        <v>0</v>
      </c>
      <c r="Y82" s="35" t="n">
        <f aca="false">SUMIF($C$75:$C$80,"HY",Y$75:Y$80)</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4" min="4" style="0" width="30"/>
  </cols>
  <sheetData>
    <row r="1" customFormat="false" ht="6" hidden="false" customHeight="true" outlineLevel="0" collapsed="false"/>
    <row r="2" customFormat="false" ht="17.35" hidden="false" customHeight="false" outlineLevel="0" collapsed="false">
      <c r="B2" s="5" t="s">
        <v>141</v>
      </c>
    </row>
    <row r="3" customFormat="false" ht="15" hidden="false" customHeight="false" outlineLevel="0" collapsed="false">
      <c r="B3" s="6" t="s">
        <v>142</v>
      </c>
    </row>
    <row r="5" customFormat="false" ht="15" hidden="false" customHeight="false" outlineLevel="0" collapsed="false">
      <c r="B5" s="9" t="s">
        <v>143</v>
      </c>
      <c r="C5" s="19" t="n">
        <f aca="false">Assumptions!$C$41</f>
        <v>10</v>
      </c>
    </row>
    <row r="6" customFormat="false" ht="15" hidden="false" customHeight="false" outlineLevel="0" collapsed="false">
      <c r="B6" s="9" t="s">
        <v>144</v>
      </c>
      <c r="C6" s="35" t="n">
        <f aca="false">Loan_Fund_Paths!$C$16</f>
        <v>7500</v>
      </c>
    </row>
    <row r="7" customFormat="false" ht="15" hidden="false" customHeight="false" outlineLevel="0" collapsed="false">
      <c r="B7" s="9" t="s">
        <v>56</v>
      </c>
      <c r="C7" s="17" t="n">
        <f aca="false">Assumptions!$C$42</f>
        <v>0.036</v>
      </c>
    </row>
    <row r="8" customFormat="false" ht="15" hidden="false" customHeight="false" outlineLevel="0" collapsed="false">
      <c r="B8" s="9" t="s">
        <v>57</v>
      </c>
      <c r="C8" s="17" t="n">
        <f aca="false">Assumptions!$C$43</f>
        <v>0.0095</v>
      </c>
    </row>
    <row r="9" customFormat="false" ht="15" hidden="false" customHeight="false" outlineLevel="0" collapsed="false">
      <c r="B9" s="9" t="s">
        <v>145</v>
      </c>
      <c r="C9" s="17" t="n">
        <f aca="false">Loan_Fund_Paths!$C$17</f>
        <v>0.0665</v>
      </c>
    </row>
    <row r="10" customFormat="false" ht="15" hidden="false" customHeight="false" outlineLevel="0" collapsed="false">
      <c r="B10" s="9" t="s">
        <v>146</v>
      </c>
      <c r="C10" s="17" t="n">
        <f aca="false">Assumptions!$C$44*Assumptions!$C$45</f>
        <v>0.0105</v>
      </c>
    </row>
    <row r="11" customFormat="false" ht="15" hidden="false" customHeight="false" outlineLevel="0" collapsed="false">
      <c r="B11" s="9" t="s">
        <v>147</v>
      </c>
      <c r="C11" s="37" t="n">
        <f aca="false">Loan_Fund_Paths!$M$21</f>
        <v>9.89541271445919</v>
      </c>
    </row>
    <row r="12" customFormat="false" ht="15" hidden="false" customHeight="false" outlineLevel="0" collapsed="false">
      <c r="B12" s="9" t="s">
        <v>148</v>
      </c>
      <c r="C12" s="37" t="n">
        <f aca="false">Loan_Fund_Paths!$Q$21</f>
        <v>9.79191927894805</v>
      </c>
    </row>
    <row r="13" customFormat="false" ht="15" hidden="false" customHeight="false" outlineLevel="0" collapsed="false">
      <c r="B13" s="9" t="s">
        <v>149</v>
      </c>
      <c r="C13" s="37" t="n">
        <f aca="false">Loan_Fund_Paths!$U$21</f>
        <v>9.68950825318605</v>
      </c>
    </row>
    <row r="14" customFormat="false" ht="15" hidden="false" customHeight="false" outlineLevel="0" collapsed="false">
      <c r="B14" s="9" t="s">
        <v>150</v>
      </c>
      <c r="C14" s="26" t="n">
        <f aca="false">Loan_Fund_Paths!$C$22</f>
        <v>14748.3579736628</v>
      </c>
    </row>
    <row r="15" customFormat="false" ht="15" hidden="false" customHeight="false" outlineLevel="0" collapsed="false">
      <c r="B15" s="30" t="s">
        <v>151</v>
      </c>
      <c r="C15" s="29" t="n">
        <f aca="false">Loan_Fund_Paths!$H$26</f>
        <v>0.0571870144159075</v>
      </c>
    </row>
    <row r="16" customFormat="false" ht="15" hidden="false" customHeight="false" outlineLevel="0" collapsed="false">
      <c r="B16" s="30" t="s">
        <v>152</v>
      </c>
      <c r="C16" s="29" t="n">
        <f aca="false">Loan_Fund_Paths!$H$52</f>
        <v>0.0744950190553291</v>
      </c>
    </row>
    <row r="17" customFormat="false" ht="15" hidden="false" customHeight="false" outlineLevel="0" collapsed="false">
      <c r="B17" s="9" t="s">
        <v>153</v>
      </c>
      <c r="C17" s="17" t="n">
        <f aca="false">Loan_Fund_Paths!$C$43</f>
        <v>0.0865</v>
      </c>
    </row>
    <row r="18" customFormat="false" ht="15" hidden="false" customHeight="false" outlineLevel="0" collapsed="false">
      <c r="B18" s="9" t="s">
        <v>154</v>
      </c>
      <c r="C18" s="38" t="n">
        <f aca="false">Loan_Fund_Paths!$C$34</f>
        <v>0.04</v>
      </c>
    </row>
    <row r="19" customFormat="false" ht="15" hidden="false" customHeight="false" outlineLevel="0" collapsed="false">
      <c r="B19" s="30" t="s">
        <v>155</v>
      </c>
      <c r="C19" s="29" t="n">
        <f aca="false">Loan_Fund_Paths!$H$78</f>
        <v>0.0367881825294081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156</v>
      </c>
    </row>
    <row r="3" customFormat="false" ht="15" hidden="false" customHeight="false" outlineLevel="0" collapsed="false">
      <c r="B3" s="6" t="s">
        <v>157</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158</v>
      </c>
      <c r="C8" s="38" t="n">
        <f aca="false">Assumptions!$C$44</f>
        <v>0.03</v>
      </c>
    </row>
    <row r="9" customFormat="false" ht="15" hidden="false" customHeight="false" outlineLevel="0" collapsed="false">
      <c r="B9" s="9" t="s">
        <v>159</v>
      </c>
      <c r="C9" s="38" t="n">
        <f aca="false">$C$8</f>
        <v>0.03</v>
      </c>
    </row>
    <row r="10" customFormat="false" ht="15" hidden="false" customHeight="false" outlineLevel="0" collapsed="false">
      <c r="B10" s="9" t="s">
        <v>160</v>
      </c>
      <c r="C10" s="22" t="n">
        <f aca="false">Assumptions!$C$45</f>
        <v>0.35</v>
      </c>
    </row>
    <row r="12" customFormat="false" ht="15" hidden="false" customHeight="false" outlineLevel="0" collapsed="false">
      <c r="B12" s="7" t="s">
        <v>126</v>
      </c>
      <c r="I12" s="33" t="n">
        <v>0</v>
      </c>
      <c r="J12" s="33" t="n">
        <v>1</v>
      </c>
      <c r="K12" s="33" t="n">
        <v>2</v>
      </c>
      <c r="L12" s="33" t="n">
        <v>3</v>
      </c>
      <c r="M12" s="33" t="n">
        <v>4</v>
      </c>
      <c r="N12" s="33" t="n">
        <v>5</v>
      </c>
      <c r="O12" s="33" t="n">
        <v>6</v>
      </c>
      <c r="P12" s="33" t="n">
        <v>7</v>
      </c>
      <c r="Q12" s="33" t="n">
        <v>8</v>
      </c>
      <c r="R12" s="33" t="n">
        <v>9</v>
      </c>
      <c r="S12" s="33" t="n">
        <v>10</v>
      </c>
      <c r="T12" s="33" t="n">
        <v>11</v>
      </c>
      <c r="U12" s="33" t="n">
        <v>12</v>
      </c>
      <c r="V12" s="33" t="n">
        <v>13</v>
      </c>
      <c r="W12" s="33" t="n">
        <v>14</v>
      </c>
      <c r="X12" s="33" t="n">
        <v>15</v>
      </c>
      <c r="Y12" s="33" t="n">
        <v>16</v>
      </c>
    </row>
    <row r="13" customFormat="false" ht="15" hidden="false" customHeight="false" outlineLevel="0" collapsed="false">
      <c r="B13" s="9" t="s">
        <v>127</v>
      </c>
      <c r="I13" s="17" t="n">
        <f aca="false">IF(I$12=0,Assumptions!$C$6,Assumptions!$C$6+$C$6+IF(I$12&gt;=5,$C$7,0))</f>
        <v>0.04</v>
      </c>
      <c r="J13" s="17" t="n">
        <f aca="false">IF(J$12=0,Assumptions!$C$6,Assumptions!$C$6+$C$6+IF(J$12&gt;=5,$C$7,0))</f>
        <v>0.04</v>
      </c>
      <c r="K13" s="17" t="n">
        <f aca="false">IF(K$12=0,Assumptions!$C$6,Assumptions!$C$6+$C$6+IF(K$12&gt;=5,$C$7,0))</f>
        <v>0.04</v>
      </c>
      <c r="L13" s="17" t="n">
        <f aca="false">IF(L$12=0,Assumptions!$C$6,Assumptions!$C$6+$C$6+IF(L$12&gt;=5,$C$7,0))</f>
        <v>0.04</v>
      </c>
      <c r="M13" s="17" t="n">
        <f aca="false">IF(M$12=0,Assumptions!$C$6,Assumptions!$C$6+$C$6+IF(M$12&gt;=5,$C$7,0))</f>
        <v>0.04</v>
      </c>
      <c r="N13" s="17" t="n">
        <f aca="false">IF(N$12=0,Assumptions!$C$6,Assumptions!$C$6+$C$6+IF(N$12&gt;=5,$C$7,0))</f>
        <v>0.04</v>
      </c>
      <c r="O13" s="17" t="n">
        <f aca="false">IF(O$12=0,Assumptions!$C$6,Assumptions!$C$6+$C$6+IF(O$12&gt;=5,$C$7,0))</f>
        <v>0.04</v>
      </c>
      <c r="P13" s="17" t="n">
        <f aca="false">IF(P$12=0,Assumptions!$C$6,Assumptions!$C$6+$C$6+IF(P$12&gt;=5,$C$7,0))</f>
        <v>0.04</v>
      </c>
      <c r="Q13" s="17" t="n">
        <f aca="false">IF(Q$12=0,Assumptions!$C$6,Assumptions!$C$6+$C$6+IF(Q$12&gt;=5,$C$7,0))</f>
        <v>0.04</v>
      </c>
      <c r="R13" s="17" t="n">
        <f aca="false">IF(R$12=0,Assumptions!$C$6,Assumptions!$C$6+$C$6+IF(R$12&gt;=5,$C$7,0))</f>
        <v>0.04</v>
      </c>
      <c r="S13" s="17" t="n">
        <f aca="false">IF(S$12=0,Assumptions!$C$6,Assumptions!$C$6+$C$6+IF(S$12&gt;=5,$C$7,0))</f>
        <v>0.04</v>
      </c>
      <c r="T13" s="17" t="n">
        <f aca="false">IF(T$12=0,Assumptions!$C$6,Assumptions!$C$6+$C$6+IF(T$12&gt;=5,$C$7,0))</f>
        <v>0.04</v>
      </c>
      <c r="U13" s="17" t="n">
        <f aca="false">IF(U$12=0,Assumptions!$C$6,Assumptions!$C$6+$C$6+IF(U$12&gt;=5,$C$7,0))</f>
        <v>0.04</v>
      </c>
      <c r="V13" s="17" t="n">
        <f aca="false">IF(V$12=0,Assumptions!$C$6,Assumptions!$C$6+$C$6+IF(V$12&gt;=5,$C$7,0))</f>
        <v>0.04</v>
      </c>
      <c r="W13" s="17" t="n">
        <f aca="false">IF(W$12=0,Assumptions!$C$6,Assumptions!$C$6+$C$6+IF(W$12&gt;=5,$C$7,0))</f>
        <v>0.04</v>
      </c>
      <c r="X13" s="17" t="n">
        <f aca="false">IF(X$12=0,Assumptions!$C$6,Assumptions!$C$6+$C$6+IF(X$12&gt;=5,$C$7,0))</f>
        <v>0.04</v>
      </c>
      <c r="Y13" s="17" t="n">
        <f aca="false">IF(Y$12=0,Assumptions!$C$6,Assumptions!$C$6+$C$6+IF(Y$12&gt;=5,$C$7,0))</f>
        <v>0.04</v>
      </c>
    </row>
    <row r="15" customFormat="false" ht="15" hidden="false" customHeight="false" outlineLevel="0" collapsed="false">
      <c r="B15" s="7" t="s">
        <v>161</v>
      </c>
      <c r="C15" s="8"/>
      <c r="D15" s="8"/>
      <c r="E15" s="8"/>
      <c r="F15" s="8"/>
      <c r="G15" s="8"/>
      <c r="H15" s="8"/>
      <c r="I15" s="8"/>
      <c r="J15" s="8"/>
      <c r="K15" s="8"/>
      <c r="L15" s="8"/>
      <c r="M15" s="8"/>
      <c r="N15" s="8"/>
      <c r="O15" s="8"/>
      <c r="P15" s="8"/>
      <c r="Q15" s="8"/>
      <c r="R15" s="8"/>
      <c r="S15" s="8"/>
      <c r="T15" s="8"/>
      <c r="U15" s="8"/>
    </row>
    <row r="16" customFormat="false" ht="15" hidden="false" customHeight="false" outlineLevel="0" collapsed="false">
      <c r="B16" s="9" t="s">
        <v>144</v>
      </c>
      <c r="C16" s="35" t="n">
        <f aca="false">Assumptions!$C$40/Assumptions!$C$41</f>
        <v>7500</v>
      </c>
    </row>
    <row r="17" customFormat="false" ht="15" hidden="false" customHeight="false" outlineLevel="0" collapsed="false">
      <c r="B17" s="9" t="s">
        <v>162</v>
      </c>
      <c r="C17" s="17" t="n">
        <f aca="false">J13+Assumptions!$C$42-Assumptions!$C$43</f>
        <v>0.0665</v>
      </c>
    </row>
    <row r="18" customFormat="false" ht="15" hidden="false" customHeight="false" outlineLevel="0" collapsed="false">
      <c r="B18" s="9" t="s">
        <v>163</v>
      </c>
      <c r="J18" s="38" t="n">
        <f aca="false">IF(AND(J$12&gt;=5,J$12&lt;=8),$C$9,$C$8)</f>
        <v>0.03</v>
      </c>
      <c r="K18" s="38" t="n">
        <f aca="false">IF(AND(K$12&gt;=5,K$12&lt;=8),$C$9,$C$8)</f>
        <v>0.03</v>
      </c>
      <c r="L18" s="38" t="n">
        <f aca="false">IF(AND(L$12&gt;=5,L$12&lt;=8),$C$9,$C$8)</f>
        <v>0.03</v>
      </c>
      <c r="M18" s="38" t="n">
        <f aca="false">IF(AND(M$12&gt;=5,M$12&lt;=8),$C$9,$C$8)</f>
        <v>0.03</v>
      </c>
      <c r="N18" s="38" t="n">
        <f aca="false">IF(AND(N$12&gt;=5,N$12&lt;=8),$C$9,$C$8)</f>
        <v>0.03</v>
      </c>
      <c r="O18" s="38" t="n">
        <f aca="false">IF(AND(O$12&gt;=5,O$12&lt;=8),$C$9,$C$8)</f>
        <v>0.03</v>
      </c>
      <c r="P18" s="38" t="n">
        <f aca="false">IF(AND(P$12&gt;=5,P$12&lt;=8),$C$9,$C$8)</f>
        <v>0.03</v>
      </c>
      <c r="Q18" s="38" t="n">
        <f aca="false">IF(AND(Q$12&gt;=5,Q$12&lt;=8),$C$9,$C$8)</f>
        <v>0.03</v>
      </c>
      <c r="R18" s="38" t="n">
        <f aca="false">IF(AND(R$12&gt;=5,R$12&lt;=8),$C$9,$C$8)</f>
        <v>0.03</v>
      </c>
      <c r="S18" s="38" t="n">
        <f aca="false">IF(AND(S$12&gt;=5,S$12&lt;=8),$C$9,$C$8)</f>
        <v>0.03</v>
      </c>
      <c r="T18" s="38" t="n">
        <f aca="false">IF(AND(T$12&gt;=5,T$12&lt;=8),$C$9,$C$8)</f>
        <v>0.03</v>
      </c>
      <c r="U18" s="38" t="n">
        <f aca="false">IF(AND(U$12&gt;=5,U$12&lt;=8),$C$9,$C$8)</f>
        <v>0.03</v>
      </c>
    </row>
    <row r="19" customFormat="false" ht="15" hidden="false" customHeight="false" outlineLevel="0" collapsed="false">
      <c r="B19" s="9" t="s">
        <v>93</v>
      </c>
      <c r="J19" s="22" t="n">
        <f aca="false">IF(AND(J$12&gt;=5,J$12&lt;=8),$C$10,Assumptions!$C$45)</f>
        <v>0.35</v>
      </c>
      <c r="K19" s="22" t="n">
        <f aca="false">IF(AND(K$12&gt;=5,K$12&lt;=8),$C$10,Assumptions!$C$45)</f>
        <v>0.35</v>
      </c>
      <c r="L19" s="22" t="n">
        <f aca="false">IF(AND(L$12&gt;=5,L$12&lt;=8),$C$10,Assumptions!$C$45)</f>
        <v>0.35</v>
      </c>
      <c r="M19" s="22" t="n">
        <f aca="false">IF(AND(M$12&gt;=5,M$12&lt;=8),$C$10,Assumptions!$C$45)</f>
        <v>0.35</v>
      </c>
      <c r="N19" s="22" t="n">
        <f aca="false">IF(AND(N$12&gt;=5,N$12&lt;=8),$C$10,Assumptions!$C$45)</f>
        <v>0.35</v>
      </c>
      <c r="O19" s="22" t="n">
        <f aca="false">IF(AND(O$12&gt;=5,O$12&lt;=8),$C$10,Assumptions!$C$45)</f>
        <v>0.35</v>
      </c>
      <c r="P19" s="22" t="n">
        <f aca="false">IF(AND(P$12&gt;=5,P$12&lt;=8),$C$10,Assumptions!$C$45)</f>
        <v>0.35</v>
      </c>
      <c r="Q19" s="22" t="n">
        <f aca="false">IF(AND(Q$12&gt;=5,Q$12&lt;=8),$C$10,Assumptions!$C$45)</f>
        <v>0.35</v>
      </c>
      <c r="R19" s="22" t="n">
        <f aca="false">IF(AND(R$12&gt;=5,R$12&lt;=8),$C$10,Assumptions!$C$45)</f>
        <v>0.35</v>
      </c>
      <c r="S19" s="22" t="n">
        <f aca="false">IF(AND(S$12&gt;=5,S$12&lt;=8),$C$10,Assumptions!$C$45)</f>
        <v>0.35</v>
      </c>
      <c r="T19" s="22" t="n">
        <f aca="false">IF(AND(T$12&gt;=5,T$12&lt;=8),$C$10,Assumptions!$C$45)</f>
        <v>0.35</v>
      </c>
      <c r="U19" s="22" t="n">
        <f aca="false">IF(AND(U$12&gt;=5,U$12&lt;=8),$C$10,Assumptions!$C$45)</f>
        <v>0.35</v>
      </c>
    </row>
    <row r="20" customFormat="false" ht="15" hidden="false" customHeight="false" outlineLevel="0" collapsed="false">
      <c r="B20" s="9" t="s">
        <v>164</v>
      </c>
      <c r="J20" s="39" t="n">
        <f aca="false">I21*(J13+Assumptions!$C$42-Assumptions!$C$43)/4</f>
        <v>0.16625</v>
      </c>
      <c r="K20" s="39" t="n">
        <f aca="false">J21*(K13+Assumptions!$C$42-Assumptions!$C$43)/4</f>
        <v>0.16581359375</v>
      </c>
      <c r="L20" s="39" t="n">
        <f aca="false">K21*(L13+Assumptions!$C$42-Assumptions!$C$43)/4</f>
        <v>0.165378333066406</v>
      </c>
      <c r="M20" s="39" t="n">
        <f aca="false">L21*(M13+Assumptions!$C$42-Assumptions!$C$43)/4</f>
        <v>0.164944214942107</v>
      </c>
      <c r="N20" s="39" t="n">
        <f aca="false">M21*(N13+Assumptions!$C$42-Assumptions!$C$43)/4</f>
        <v>0.164511236377884</v>
      </c>
      <c r="O20" s="39" t="n">
        <f aca="false">N21*(O13+Assumptions!$C$42-Assumptions!$C$43)/4</f>
        <v>0.164079394382392</v>
      </c>
      <c r="P20" s="39" t="n">
        <f aca="false">O21*(P13+Assumptions!$C$42-Assumptions!$C$43)/4</f>
        <v>0.163648685972138</v>
      </c>
      <c r="Q20" s="39" t="n">
        <f aca="false">P21*(Q13+Assumptions!$C$42-Assumptions!$C$43)/4</f>
        <v>0.163219108171461</v>
      </c>
      <c r="R20" s="39" t="n">
        <f aca="false">Q21*(R13+Assumptions!$C$42-Assumptions!$C$43)/4</f>
        <v>0.162790658012511</v>
      </c>
      <c r="S20" s="39" t="n">
        <f aca="false">R21*(S13+Assumptions!$C$42-Assumptions!$C$43)/4</f>
        <v>0.162363332535228</v>
      </c>
      <c r="T20" s="39" t="n">
        <f aca="false">S21*(T13+Assumptions!$C$42-Assumptions!$C$43)/4</f>
        <v>0.161937128787324</v>
      </c>
      <c r="U20" s="39" t="n">
        <f aca="false">T21*(U13+Assumptions!$C$42-Assumptions!$C$43)/4</f>
        <v>0.161512043824257</v>
      </c>
    </row>
    <row r="21" customFormat="false" ht="15" hidden="false" customHeight="false" outlineLevel="0" collapsed="false">
      <c r="B21" s="9" t="s">
        <v>165</v>
      </c>
      <c r="I21" s="37" t="n">
        <f aca="false">Assumptions!$C$41</f>
        <v>10</v>
      </c>
      <c r="J21" s="37" t="n">
        <f aca="false">I21*(1-J18*J19/4)</f>
        <v>9.97375</v>
      </c>
      <c r="K21" s="37" t="n">
        <f aca="false">J21*(1-K18*K19/4)</f>
        <v>9.94756890625</v>
      </c>
      <c r="L21" s="37" t="n">
        <f aca="false">K21*(1-L18*L19/4)</f>
        <v>9.9214565378711</v>
      </c>
      <c r="M21" s="37" t="n">
        <f aca="false">L21*(1-M18*M19/4)</f>
        <v>9.89541271445919</v>
      </c>
      <c r="N21" s="37" t="n">
        <f aca="false">M21*(1-N18*N19/4)</f>
        <v>9.86943725608373</v>
      </c>
      <c r="O21" s="37" t="n">
        <f aca="false">N21*(1-O18*O19/4)</f>
        <v>9.84352998328651</v>
      </c>
      <c r="P21" s="37" t="n">
        <f aca="false">O21*(1-P18*P19/4)</f>
        <v>9.81769071708038</v>
      </c>
      <c r="Q21" s="37" t="n">
        <f aca="false">P21*(1-Q18*Q19/4)</f>
        <v>9.79191927894805</v>
      </c>
      <c r="R21" s="37" t="n">
        <f aca="false">Q21*(1-R18*R19/4)</f>
        <v>9.76621549084081</v>
      </c>
      <c r="S21" s="37" t="n">
        <f aca="false">R21*(1-S18*S19/4)</f>
        <v>9.74057917517735</v>
      </c>
      <c r="T21" s="37" t="n">
        <f aca="false">S21*(1-T18*T19/4)</f>
        <v>9.71501015484251</v>
      </c>
      <c r="U21" s="37" t="n">
        <f aca="false">T21*(1-U18*U19/4)</f>
        <v>9.68950825318605</v>
      </c>
    </row>
    <row r="22" customFormat="false" ht="15" hidden="false" customHeight="false" outlineLevel="0" collapsed="false">
      <c r="B22" s="9" t="s">
        <v>166</v>
      </c>
      <c r="C22" s="26" t="n">
        <f aca="false">$C$16*SUM(J20:U20)</f>
        <v>14748.3579736628</v>
      </c>
    </row>
    <row r="24" customFormat="false" ht="15" hidden="false" customHeight="false" outlineLevel="0" collapsed="false">
      <c r="B24" s="7" t="s">
        <v>128</v>
      </c>
      <c r="C24" s="8"/>
      <c r="D24" s="8"/>
      <c r="E24" s="8"/>
      <c r="F24" s="8"/>
      <c r="G24" s="8"/>
      <c r="H24" s="8"/>
      <c r="I24" s="8"/>
      <c r="J24" s="8"/>
      <c r="K24" s="8"/>
      <c r="L24" s="8"/>
      <c r="M24" s="8"/>
      <c r="N24" s="8"/>
      <c r="O24" s="8"/>
      <c r="P24" s="8"/>
      <c r="Q24" s="8"/>
      <c r="R24" s="8"/>
      <c r="S24" s="8"/>
      <c r="T24" s="8"/>
      <c r="U24" s="8"/>
      <c r="V24" s="8"/>
      <c r="W24" s="8"/>
      <c r="X24" s="8"/>
      <c r="Y24" s="8"/>
    </row>
    <row r="25" customFormat="false" ht="43.5" hidden="false" customHeight="true" outlineLevel="0" collapsed="false">
      <c r="B25" s="13" t="s">
        <v>129</v>
      </c>
      <c r="C25" s="14" t="s">
        <v>130</v>
      </c>
      <c r="D25" s="14" t="s">
        <v>46</v>
      </c>
      <c r="E25" s="14" t="s">
        <v>131</v>
      </c>
      <c r="F25" s="14" t="s">
        <v>132</v>
      </c>
      <c r="G25" s="14" t="s">
        <v>133</v>
      </c>
      <c r="H25" s="14" t="s">
        <v>134</v>
      </c>
      <c r="I25" s="33" t="n">
        <v>0</v>
      </c>
      <c r="J25" s="33" t="n">
        <v>1</v>
      </c>
      <c r="K25" s="33" t="n">
        <v>2</v>
      </c>
      <c r="L25" s="33" t="n">
        <v>3</v>
      </c>
      <c r="M25" s="33" t="n">
        <v>4</v>
      </c>
      <c r="N25" s="33" t="n">
        <v>5</v>
      </c>
      <c r="O25" s="33" t="n">
        <v>6</v>
      </c>
      <c r="P25" s="33" t="n">
        <v>7</v>
      </c>
      <c r="Q25" s="33" t="n">
        <v>8</v>
      </c>
      <c r="R25" s="33" t="n">
        <v>9</v>
      </c>
      <c r="S25" s="33" t="n">
        <v>10</v>
      </c>
      <c r="T25" s="33" t="n">
        <v>11</v>
      </c>
      <c r="U25" s="33" t="n">
        <v>12</v>
      </c>
      <c r="V25" s="33" t="n">
        <v>13</v>
      </c>
      <c r="W25" s="33" t="n">
        <v>14</v>
      </c>
      <c r="X25" s="33" t="n">
        <v>15</v>
      </c>
      <c r="Y25" s="33" t="n">
        <v>16</v>
      </c>
    </row>
    <row r="26" customFormat="false" ht="15" hidden="false" customHeight="false" outlineLevel="0" collapsed="false">
      <c r="B26" s="9" t="s">
        <v>167</v>
      </c>
      <c r="C26" s="9" t="s">
        <v>168</v>
      </c>
      <c r="D26" s="26" t="n">
        <f aca="false">Assumptions!$C$40</f>
        <v>75000</v>
      </c>
      <c r="F26" s="17" t="n">
        <f aca="false">$C$17</f>
        <v>0.0665</v>
      </c>
      <c r="G26" s="26" t="n">
        <f aca="false">SUM(I26:Y26)</f>
        <v>12419.6698725582</v>
      </c>
      <c r="H26" s="29" t="n">
        <f aca="false">(1+IRR(I26:Y26,IF(SUM(I26:Y26)&lt;0,-0.05,0.01)))^4-1</f>
        <v>0.0571870144159075</v>
      </c>
      <c r="I26" s="35" t="n">
        <f aca="false">IF(I$25=0,-$D26,0)+IF(AND(I$25&gt;=1,I$25&lt;=12),$C$16*$I$20,0)+IF(I$25=12,$C$16*$I$21,0)</f>
        <v>-75000</v>
      </c>
      <c r="J26" s="35" t="n">
        <f aca="false">IF(J$25=0,-$D26,0)+IF(AND(J$25&gt;=1,J$25&lt;=12),$C$16*$J$20,0)+IF(J$25=12,$C$16*$J$21,0)</f>
        <v>1246.875</v>
      </c>
      <c r="K26" s="35" t="n">
        <f aca="false">IF(K$25=0,-$D26,0)+IF(AND(K$25&gt;=1,K$25&lt;=12),$C$16*$K$20,0)+IF(K$25=12,$C$16*$K$21,0)</f>
        <v>1243.601953125</v>
      </c>
      <c r="L26" s="35" t="n">
        <f aca="false">IF(L$25=0,-$D26,0)+IF(AND(L$25&gt;=1,L$25&lt;=12),$C$16*$L$20,0)+IF(L$25=12,$C$16*$L$21,0)</f>
        <v>1240.33749799805</v>
      </c>
      <c r="M26" s="35" t="n">
        <f aca="false">IF(M$25=0,-$D26,0)+IF(AND(M$25&gt;=1,M$25&lt;=12),$C$16*$M$20,0)+IF(M$25=12,$C$16*$M$21,0)</f>
        <v>1237.0816120658</v>
      </c>
      <c r="N26" s="35" t="n">
        <f aca="false">IF(N$25=0,-$D26,0)+IF(AND(N$25&gt;=1,N$25&lt;=12),$C$16*$N$20,0)+IF(N$25=12,$C$16*$N$21,0)</f>
        <v>1233.83427283413</v>
      </c>
      <c r="O26" s="35" t="n">
        <f aca="false">IF(O$25=0,-$D26,0)+IF(AND(O$25&gt;=1,O$25&lt;=12),$C$16*$O$20,0)+IF(O$25=12,$C$16*$O$21,0)</f>
        <v>1230.59545786794</v>
      </c>
      <c r="P26" s="35" t="n">
        <f aca="false">IF(P$25=0,-$D26,0)+IF(AND(P$25&gt;=1,P$25&lt;=12),$C$16*$P$20,0)+IF(P$25=12,$C$16*$P$21,0)</f>
        <v>1227.36514479104</v>
      </c>
      <c r="Q26" s="35" t="n">
        <f aca="false">IF(Q$25=0,-$D26,0)+IF(AND(Q$25&gt;=1,Q$25&lt;=12),$C$16*$Q$20,0)+IF(Q$25=12,$C$16*$Q$21,0)</f>
        <v>1224.14331128596</v>
      </c>
      <c r="R26" s="35" t="n">
        <f aca="false">IF(R$25=0,-$D26,0)+IF(AND(R$25&gt;=1,R$25&lt;=12),$C$16*$R$20,0)+IF(R$25=12,$C$16*$R$21,0)</f>
        <v>1220.92993509383</v>
      </c>
      <c r="S26" s="35" t="n">
        <f aca="false">IF(S$25=0,-$D26,0)+IF(AND(S$25&gt;=1,S$25&lt;=12),$C$16*$S$20,0)+IF(S$25=12,$C$16*$S$21,0)</f>
        <v>1217.72499401421</v>
      </c>
      <c r="T26" s="35" t="n">
        <f aca="false">IF(T$25=0,-$D26,0)+IF(AND(T$25&gt;=1,T$25&lt;=12),$C$16*$T$20,0)+IF(T$25=12,$C$16*$T$21,0)</f>
        <v>1214.52846590493</v>
      </c>
      <c r="U26" s="35" t="n">
        <f aca="false">IF(U$25=0,-$D26,0)+IF(AND(U$25&gt;=1,U$25&lt;=12),$C$16*$U$20,0)+IF(U$25=12,$C$16*$U$21,0)</f>
        <v>73882.6522275773</v>
      </c>
      <c r="V26" s="35" t="n">
        <f aca="false">0</f>
        <v>0</v>
      </c>
      <c r="W26" s="35" t="n">
        <f aca="false">0</f>
        <v>0</v>
      </c>
      <c r="X26" s="35" t="n">
        <f aca="false">0</f>
        <v>0</v>
      </c>
      <c r="Y26" s="35" t="n">
        <f aca="false">0</f>
        <v>0</v>
      </c>
    </row>
    <row r="28" customFormat="false" ht="15" hidden="false" customHeight="false" outlineLevel="0" collapsed="false">
      <c r="B28" s="30" t="s">
        <v>169</v>
      </c>
      <c r="C28" s="9" t="s">
        <v>168</v>
      </c>
      <c r="D28" s="26" t="n">
        <f aca="false">SUMIF($C$26:$C$26,"Loan fund",D$26:D$26)</f>
        <v>75000</v>
      </c>
      <c r="G28" s="36" t="n">
        <f aca="false">SUM(I28:Y28)</f>
        <v>12419.6698725582</v>
      </c>
      <c r="H28" s="29" t="n">
        <f aca="false">(1+IRR(I28:Y28,IF(SUM(I28:Y28)&lt;0,-0.05,0.01)))^4-1</f>
        <v>0.0571870144159075</v>
      </c>
      <c r="I28" s="35" t="n">
        <f aca="false">SUMIF($C$26:$C$26,"Loan fund",I$26:I$26)</f>
        <v>-75000</v>
      </c>
      <c r="J28" s="35" t="n">
        <f aca="false">SUMIF($C$26:$C$26,"Loan fund",J$26:J$26)</f>
        <v>1246.875</v>
      </c>
      <c r="K28" s="35" t="n">
        <f aca="false">SUMIF($C$26:$C$26,"Loan fund",K$26:K$26)</f>
        <v>1243.601953125</v>
      </c>
      <c r="L28" s="35" t="n">
        <f aca="false">SUMIF($C$26:$C$26,"Loan fund",L$26:L$26)</f>
        <v>1240.33749799805</v>
      </c>
      <c r="M28" s="35" t="n">
        <f aca="false">SUMIF($C$26:$C$26,"Loan fund",M$26:M$26)</f>
        <v>1237.0816120658</v>
      </c>
      <c r="N28" s="35" t="n">
        <f aca="false">SUMIF($C$26:$C$26,"Loan fund",N$26:N$26)</f>
        <v>1233.83427283413</v>
      </c>
      <c r="O28" s="35" t="n">
        <f aca="false">SUMIF($C$26:$C$26,"Loan fund",O$26:O$26)</f>
        <v>1230.59545786794</v>
      </c>
      <c r="P28" s="35" t="n">
        <f aca="false">SUMIF($C$26:$C$26,"Loan fund",P$26:P$26)</f>
        <v>1227.36514479104</v>
      </c>
      <c r="Q28" s="35" t="n">
        <f aca="false">SUMIF($C$26:$C$26,"Loan fund",Q$26:Q$26)</f>
        <v>1224.14331128596</v>
      </c>
      <c r="R28" s="35" t="n">
        <f aca="false">SUMIF($C$26:$C$26,"Loan fund",R$26:R$26)</f>
        <v>1220.92993509383</v>
      </c>
      <c r="S28" s="35" t="n">
        <f aca="false">SUMIF($C$26:$C$26,"Loan fund",S$26:S$26)</f>
        <v>1217.72499401421</v>
      </c>
      <c r="T28" s="35" t="n">
        <f aca="false">SUMIF($C$26:$C$26,"Loan fund",T$26:T$26)</f>
        <v>1214.52846590493</v>
      </c>
      <c r="U28" s="35" t="n">
        <f aca="false">SUMIF($C$26:$C$26,"Loan fund",U$26:U$26)</f>
        <v>73882.6522275773</v>
      </c>
      <c r="V28" s="35" t="n">
        <f aca="false">SUMIF($C$26:$C$26,"Loan fund",V$26:V$26)</f>
        <v>0</v>
      </c>
      <c r="W28" s="35" t="n">
        <f aca="false">SUMIF($C$26:$C$26,"Loan fund",W$26:W$26)</f>
        <v>0</v>
      </c>
      <c r="X28" s="35" t="n">
        <f aca="false">SUMIF($C$26:$C$26,"Loan fund",X$26:X$26)</f>
        <v>0</v>
      </c>
      <c r="Y28" s="35" t="n">
        <f aca="false">SUMIF($C$26:$C$26,"Loan fund",Y$26:Y$26)</f>
        <v>0</v>
      </c>
    </row>
    <row r="31" customFormat="false" ht="15" hidden="false" customHeight="false" outlineLevel="0" collapsed="false">
      <c r="B31" s="7" t="s">
        <v>170</v>
      </c>
      <c r="C31" s="8"/>
      <c r="D31" s="8"/>
      <c r="E31" s="8"/>
      <c r="F31" s="8"/>
      <c r="G31" s="8"/>
      <c r="H31" s="8"/>
    </row>
    <row r="32" customFormat="false" ht="15" hidden="false" customHeight="false" outlineLevel="0" collapsed="false">
      <c r="B32" s="9" t="s">
        <v>116</v>
      </c>
      <c r="C32" s="10" t="n">
        <v>0.02</v>
      </c>
      <c r="D32" s="6" t="s">
        <v>117</v>
      </c>
    </row>
    <row r="33" customFormat="false" ht="15" hidden="false" customHeight="false" outlineLevel="0" collapsed="false">
      <c r="B33" s="9" t="s">
        <v>118</v>
      </c>
      <c r="C33" s="10" t="n">
        <v>0</v>
      </c>
      <c r="D33" s="6" t="s">
        <v>117</v>
      </c>
    </row>
    <row r="34" customFormat="false" ht="15" hidden="false" customHeight="false" outlineLevel="0" collapsed="false">
      <c r="B34" s="9" t="s">
        <v>158</v>
      </c>
      <c r="C34" s="21" t="n">
        <v>0.04</v>
      </c>
    </row>
    <row r="35" customFormat="false" ht="15" hidden="false" customHeight="false" outlineLevel="0" collapsed="false">
      <c r="B35" s="9" t="s">
        <v>159</v>
      </c>
      <c r="C35" s="38" t="n">
        <f aca="false">$C$34</f>
        <v>0.04</v>
      </c>
    </row>
    <row r="36" customFormat="false" ht="15" hidden="false" customHeight="false" outlineLevel="0" collapsed="false">
      <c r="B36" s="9" t="s">
        <v>160</v>
      </c>
      <c r="C36" s="22" t="n">
        <f aca="false">Assumptions!$C$45</f>
        <v>0.35</v>
      </c>
    </row>
    <row r="38" customFormat="false" ht="15" hidden="false" customHeight="false" outlineLevel="0" collapsed="false">
      <c r="B38" s="7" t="s">
        <v>126</v>
      </c>
      <c r="I38" s="33" t="n">
        <v>0</v>
      </c>
      <c r="J38" s="33" t="n">
        <v>1</v>
      </c>
      <c r="K38" s="33" t="n">
        <v>2</v>
      </c>
      <c r="L38" s="33" t="n">
        <v>3</v>
      </c>
      <c r="M38" s="33" t="n">
        <v>4</v>
      </c>
      <c r="N38" s="33" t="n">
        <v>5</v>
      </c>
      <c r="O38" s="33" t="n">
        <v>6</v>
      </c>
      <c r="P38" s="33" t="n">
        <v>7</v>
      </c>
      <c r="Q38" s="33" t="n">
        <v>8</v>
      </c>
      <c r="R38" s="33" t="n">
        <v>9</v>
      </c>
      <c r="S38" s="33" t="n">
        <v>10</v>
      </c>
      <c r="T38" s="33" t="n">
        <v>11</v>
      </c>
      <c r="U38" s="33" t="n">
        <v>12</v>
      </c>
      <c r="V38" s="33" t="n">
        <v>13</v>
      </c>
      <c r="W38" s="33" t="n">
        <v>14</v>
      </c>
      <c r="X38" s="33" t="n">
        <v>15</v>
      </c>
      <c r="Y38" s="33" t="n">
        <v>16</v>
      </c>
    </row>
    <row r="39" customFormat="false" ht="15" hidden="false" customHeight="false" outlineLevel="0" collapsed="false">
      <c r="B39" s="9" t="s">
        <v>127</v>
      </c>
      <c r="I39" s="17" t="n">
        <f aca="false">IF(I$38=0,Assumptions!$C$6,Assumptions!$C$6+$C$32+IF(I$38&gt;=5,$C$33,0))</f>
        <v>0.04</v>
      </c>
      <c r="J39" s="17" t="n">
        <f aca="false">IF(J$38=0,Assumptions!$C$6,Assumptions!$C$6+$C$32+IF(J$38&gt;=5,$C$33,0))</f>
        <v>0.06</v>
      </c>
      <c r="K39" s="17" t="n">
        <f aca="false">IF(K$38=0,Assumptions!$C$6,Assumptions!$C$6+$C$32+IF(K$38&gt;=5,$C$33,0))</f>
        <v>0.06</v>
      </c>
      <c r="L39" s="17" t="n">
        <f aca="false">IF(L$38=0,Assumptions!$C$6,Assumptions!$C$6+$C$32+IF(L$38&gt;=5,$C$33,0))</f>
        <v>0.06</v>
      </c>
      <c r="M39" s="17" t="n">
        <f aca="false">IF(M$38=0,Assumptions!$C$6,Assumptions!$C$6+$C$32+IF(M$38&gt;=5,$C$33,0))</f>
        <v>0.06</v>
      </c>
      <c r="N39" s="17" t="n">
        <f aca="false">IF(N$38=0,Assumptions!$C$6,Assumptions!$C$6+$C$32+IF(N$38&gt;=5,$C$33,0))</f>
        <v>0.06</v>
      </c>
      <c r="O39" s="17" t="n">
        <f aca="false">IF(O$38=0,Assumptions!$C$6,Assumptions!$C$6+$C$32+IF(O$38&gt;=5,$C$33,0))</f>
        <v>0.06</v>
      </c>
      <c r="P39" s="17" t="n">
        <f aca="false">IF(P$38=0,Assumptions!$C$6,Assumptions!$C$6+$C$32+IF(P$38&gt;=5,$C$33,0))</f>
        <v>0.06</v>
      </c>
      <c r="Q39" s="17" t="n">
        <f aca="false">IF(Q$38=0,Assumptions!$C$6,Assumptions!$C$6+$C$32+IF(Q$38&gt;=5,$C$33,0))</f>
        <v>0.06</v>
      </c>
      <c r="R39" s="17" t="n">
        <f aca="false">IF(R$38=0,Assumptions!$C$6,Assumptions!$C$6+$C$32+IF(R$38&gt;=5,$C$33,0))</f>
        <v>0.06</v>
      </c>
      <c r="S39" s="17" t="n">
        <f aca="false">IF(S$38=0,Assumptions!$C$6,Assumptions!$C$6+$C$32+IF(S$38&gt;=5,$C$33,0))</f>
        <v>0.06</v>
      </c>
      <c r="T39" s="17" t="n">
        <f aca="false">IF(T$38=0,Assumptions!$C$6,Assumptions!$C$6+$C$32+IF(T$38&gt;=5,$C$33,0))</f>
        <v>0.06</v>
      </c>
      <c r="U39" s="17" t="n">
        <f aca="false">IF(U$38=0,Assumptions!$C$6,Assumptions!$C$6+$C$32+IF(U$38&gt;=5,$C$33,0))</f>
        <v>0.06</v>
      </c>
      <c r="V39" s="17" t="n">
        <f aca="false">IF(V$38=0,Assumptions!$C$6,Assumptions!$C$6+$C$32+IF(V$38&gt;=5,$C$33,0))</f>
        <v>0.06</v>
      </c>
      <c r="W39" s="17" t="n">
        <f aca="false">IF(W$38=0,Assumptions!$C$6,Assumptions!$C$6+$C$32+IF(W$38&gt;=5,$C$33,0))</f>
        <v>0.06</v>
      </c>
      <c r="X39" s="17" t="n">
        <f aca="false">IF(X$38=0,Assumptions!$C$6,Assumptions!$C$6+$C$32+IF(X$38&gt;=5,$C$33,0))</f>
        <v>0.06</v>
      </c>
      <c r="Y39" s="17" t="n">
        <f aca="false">IF(Y$38=0,Assumptions!$C$6,Assumptions!$C$6+$C$32+IF(Y$38&gt;=5,$C$33,0))</f>
        <v>0.06</v>
      </c>
    </row>
    <row r="41" customFormat="false" ht="15" hidden="false" customHeight="false" outlineLevel="0" collapsed="false">
      <c r="B41" s="7" t="s">
        <v>161</v>
      </c>
      <c r="C41" s="8"/>
      <c r="D41" s="8"/>
      <c r="E41" s="8"/>
      <c r="F41" s="8"/>
      <c r="G41" s="8"/>
      <c r="H41" s="8"/>
      <c r="I41" s="8"/>
      <c r="J41" s="8"/>
      <c r="K41" s="8"/>
      <c r="L41" s="8"/>
      <c r="M41" s="8"/>
      <c r="N41" s="8"/>
      <c r="O41" s="8"/>
      <c r="P41" s="8"/>
      <c r="Q41" s="8"/>
      <c r="R41" s="8"/>
      <c r="S41" s="8"/>
      <c r="T41" s="8"/>
      <c r="U41" s="8"/>
    </row>
    <row r="42" customFormat="false" ht="15" hidden="false" customHeight="false" outlineLevel="0" collapsed="false">
      <c r="B42" s="9" t="s">
        <v>144</v>
      </c>
      <c r="C42" s="35" t="n">
        <f aca="false">Assumptions!$C$40/Assumptions!$C$41</f>
        <v>7500</v>
      </c>
    </row>
    <row r="43" customFormat="false" ht="15" hidden="false" customHeight="false" outlineLevel="0" collapsed="false">
      <c r="B43" s="9" t="s">
        <v>162</v>
      </c>
      <c r="C43" s="17" t="n">
        <f aca="false">J39+Assumptions!$C$42-Assumptions!$C$43</f>
        <v>0.0865</v>
      </c>
    </row>
    <row r="44" customFormat="false" ht="15" hidden="false" customHeight="false" outlineLevel="0" collapsed="false">
      <c r="B44" s="9" t="s">
        <v>163</v>
      </c>
      <c r="J44" s="38" t="n">
        <f aca="false">IF(AND(J$38&gt;=5,J$38&lt;=8),$C$35,$C$34)</f>
        <v>0.04</v>
      </c>
      <c r="K44" s="38" t="n">
        <f aca="false">IF(AND(K$38&gt;=5,K$38&lt;=8),$C$35,$C$34)</f>
        <v>0.04</v>
      </c>
      <c r="L44" s="38" t="n">
        <f aca="false">IF(AND(L$38&gt;=5,L$38&lt;=8),$C$35,$C$34)</f>
        <v>0.04</v>
      </c>
      <c r="M44" s="38" t="n">
        <f aca="false">IF(AND(M$38&gt;=5,M$38&lt;=8),$C$35,$C$34)</f>
        <v>0.04</v>
      </c>
      <c r="N44" s="38" t="n">
        <f aca="false">IF(AND(N$38&gt;=5,N$38&lt;=8),$C$35,$C$34)</f>
        <v>0.04</v>
      </c>
      <c r="O44" s="38" t="n">
        <f aca="false">IF(AND(O$38&gt;=5,O$38&lt;=8),$C$35,$C$34)</f>
        <v>0.04</v>
      </c>
      <c r="P44" s="38" t="n">
        <f aca="false">IF(AND(P$38&gt;=5,P$38&lt;=8),$C$35,$C$34)</f>
        <v>0.04</v>
      </c>
      <c r="Q44" s="38" t="n">
        <f aca="false">IF(AND(Q$38&gt;=5,Q$38&lt;=8),$C$35,$C$34)</f>
        <v>0.04</v>
      </c>
      <c r="R44" s="38" t="n">
        <f aca="false">IF(AND(R$38&gt;=5,R$38&lt;=8),$C$35,$C$34)</f>
        <v>0.04</v>
      </c>
      <c r="S44" s="38" t="n">
        <f aca="false">IF(AND(S$38&gt;=5,S$38&lt;=8),$C$35,$C$34)</f>
        <v>0.04</v>
      </c>
      <c r="T44" s="38" t="n">
        <f aca="false">IF(AND(T$38&gt;=5,T$38&lt;=8),$C$35,$C$34)</f>
        <v>0.04</v>
      </c>
      <c r="U44" s="38" t="n">
        <f aca="false">IF(AND(U$38&gt;=5,U$38&lt;=8),$C$35,$C$34)</f>
        <v>0.04</v>
      </c>
    </row>
    <row r="45" customFormat="false" ht="15" hidden="false" customHeight="false" outlineLevel="0" collapsed="false">
      <c r="B45" s="9" t="s">
        <v>93</v>
      </c>
      <c r="J45" s="22" t="n">
        <f aca="false">IF(AND(J$38&gt;=5,J$38&lt;=8),$C$36,Assumptions!$C$45)</f>
        <v>0.35</v>
      </c>
      <c r="K45" s="22" t="n">
        <f aca="false">IF(AND(K$38&gt;=5,K$38&lt;=8),$C$36,Assumptions!$C$45)</f>
        <v>0.35</v>
      </c>
      <c r="L45" s="22" t="n">
        <f aca="false">IF(AND(L$38&gt;=5,L$38&lt;=8),$C$36,Assumptions!$C$45)</f>
        <v>0.35</v>
      </c>
      <c r="M45" s="22" t="n">
        <f aca="false">IF(AND(M$38&gt;=5,M$38&lt;=8),$C$36,Assumptions!$C$45)</f>
        <v>0.35</v>
      </c>
      <c r="N45" s="22" t="n">
        <f aca="false">IF(AND(N$38&gt;=5,N$38&lt;=8),$C$36,Assumptions!$C$45)</f>
        <v>0.35</v>
      </c>
      <c r="O45" s="22" t="n">
        <f aca="false">IF(AND(O$38&gt;=5,O$38&lt;=8),$C$36,Assumptions!$C$45)</f>
        <v>0.35</v>
      </c>
      <c r="P45" s="22" t="n">
        <f aca="false">IF(AND(P$38&gt;=5,P$38&lt;=8),$C$36,Assumptions!$C$45)</f>
        <v>0.35</v>
      </c>
      <c r="Q45" s="22" t="n">
        <f aca="false">IF(AND(Q$38&gt;=5,Q$38&lt;=8),$C$36,Assumptions!$C$45)</f>
        <v>0.35</v>
      </c>
      <c r="R45" s="22" t="n">
        <f aca="false">IF(AND(R$38&gt;=5,R$38&lt;=8),$C$36,Assumptions!$C$45)</f>
        <v>0.35</v>
      </c>
      <c r="S45" s="22" t="n">
        <f aca="false">IF(AND(S$38&gt;=5,S$38&lt;=8),$C$36,Assumptions!$C$45)</f>
        <v>0.35</v>
      </c>
      <c r="T45" s="22" t="n">
        <f aca="false">IF(AND(T$38&gt;=5,T$38&lt;=8),$C$36,Assumptions!$C$45)</f>
        <v>0.35</v>
      </c>
      <c r="U45" s="22" t="n">
        <f aca="false">IF(AND(U$38&gt;=5,U$38&lt;=8),$C$36,Assumptions!$C$45)</f>
        <v>0.35</v>
      </c>
    </row>
    <row r="46" customFormat="false" ht="15" hidden="false" customHeight="false" outlineLevel="0" collapsed="false">
      <c r="B46" s="9" t="s">
        <v>164</v>
      </c>
      <c r="J46" s="39" t="n">
        <f aca="false">I47*(J39+Assumptions!$C$42-Assumptions!$C$43)/4</f>
        <v>0.21625</v>
      </c>
      <c r="K46" s="39" t="n">
        <f aca="false">J47*(K39+Assumptions!$C$42-Assumptions!$C$43)/4</f>
        <v>0.215493125</v>
      </c>
      <c r="L46" s="39" t="n">
        <f aca="false">K47*(L39+Assumptions!$C$42-Assumptions!$C$43)/4</f>
        <v>0.2147388990625</v>
      </c>
      <c r="M46" s="39" t="n">
        <f aca="false">L47*(M39+Assumptions!$C$42-Assumptions!$C$43)/4</f>
        <v>0.213987312915781</v>
      </c>
      <c r="N46" s="39" t="n">
        <f aca="false">M47*(N39+Assumptions!$C$42-Assumptions!$C$43)/4</f>
        <v>0.213238357320576</v>
      </c>
      <c r="O46" s="39" t="n">
        <f aca="false">N47*(O39+Assumptions!$C$42-Assumptions!$C$43)/4</f>
        <v>0.212492023069954</v>
      </c>
      <c r="P46" s="39" t="n">
        <f aca="false">O47*(P39+Assumptions!$C$42-Assumptions!$C$43)/4</f>
        <v>0.211748300989209</v>
      </c>
      <c r="Q46" s="39" t="n">
        <f aca="false">P47*(Q39+Assumptions!$C$42-Assumptions!$C$43)/4</f>
        <v>0.211007181935747</v>
      </c>
      <c r="R46" s="39" t="n">
        <f aca="false">Q47*(R39+Assumptions!$C$42-Assumptions!$C$43)/4</f>
        <v>0.210268656798972</v>
      </c>
      <c r="S46" s="39" t="n">
        <f aca="false">R47*(S39+Assumptions!$C$42-Assumptions!$C$43)/4</f>
        <v>0.209532716500176</v>
      </c>
      <c r="T46" s="39" t="n">
        <f aca="false">S47*(T39+Assumptions!$C$42-Assumptions!$C$43)/4</f>
        <v>0.208799351992425</v>
      </c>
      <c r="U46" s="39" t="n">
        <f aca="false">T47*(U39+Assumptions!$C$42-Assumptions!$C$43)/4</f>
        <v>0.208068554260451</v>
      </c>
    </row>
    <row r="47" customFormat="false" ht="15" hidden="false" customHeight="false" outlineLevel="0" collapsed="false">
      <c r="B47" s="9" t="s">
        <v>165</v>
      </c>
      <c r="I47" s="37" t="n">
        <f aca="false">Assumptions!$C$41</f>
        <v>10</v>
      </c>
      <c r="J47" s="37" t="n">
        <f aca="false">I47*(1-J44*J45/4)</f>
        <v>9.965</v>
      </c>
      <c r="K47" s="37" t="n">
        <f aca="false">J47*(1-K44*K45/4)</f>
        <v>9.9301225</v>
      </c>
      <c r="L47" s="37" t="n">
        <f aca="false">K47*(1-L44*L45/4)</f>
        <v>9.89536707125</v>
      </c>
      <c r="M47" s="37" t="n">
        <f aca="false">L47*(1-M44*M45/4)</f>
        <v>9.86073328650063</v>
      </c>
      <c r="N47" s="37" t="n">
        <f aca="false">M47*(1-N44*N45/4)</f>
        <v>9.82622071999787</v>
      </c>
      <c r="O47" s="37" t="n">
        <f aca="false">N47*(1-O44*O45/4)</f>
        <v>9.79182894747788</v>
      </c>
      <c r="P47" s="37" t="n">
        <f aca="false">O47*(1-P44*P45/4)</f>
        <v>9.75755754616171</v>
      </c>
      <c r="Q47" s="37" t="n">
        <f aca="false">P47*(1-Q44*Q45/4)</f>
        <v>9.72340609475014</v>
      </c>
      <c r="R47" s="37" t="n">
        <f aca="false">Q47*(1-R44*R45/4)</f>
        <v>9.68937417341852</v>
      </c>
      <c r="S47" s="37" t="n">
        <f aca="false">R47*(1-S44*S45/4)</f>
        <v>9.65546136381156</v>
      </c>
      <c r="T47" s="37" t="n">
        <f aca="false">S47*(1-T44*T45/4)</f>
        <v>9.62166724903822</v>
      </c>
      <c r="U47" s="37" t="n">
        <f aca="false">T47*(1-U44*U45/4)</f>
        <v>9.58799141366658</v>
      </c>
    </row>
    <row r="48" customFormat="false" ht="15" hidden="false" customHeight="false" outlineLevel="0" collapsed="false">
      <c r="B48" s="9" t="s">
        <v>166</v>
      </c>
      <c r="C48" s="26" t="n">
        <f aca="false">$C$42*SUM(J46:U46)</f>
        <v>19092.1835988434</v>
      </c>
    </row>
    <row r="50" customFormat="false" ht="15" hidden="false" customHeight="false" outlineLevel="0" collapsed="false">
      <c r="B50" s="7" t="s">
        <v>128</v>
      </c>
      <c r="C50" s="8"/>
      <c r="D50" s="8"/>
      <c r="E50" s="8"/>
      <c r="F50" s="8"/>
      <c r="G50" s="8"/>
      <c r="H50" s="8"/>
      <c r="I50" s="8"/>
      <c r="J50" s="8"/>
      <c r="K50" s="8"/>
      <c r="L50" s="8"/>
      <c r="M50" s="8"/>
      <c r="N50" s="8"/>
      <c r="O50" s="8"/>
      <c r="P50" s="8"/>
      <c r="Q50" s="8"/>
      <c r="R50" s="8"/>
      <c r="S50" s="8"/>
      <c r="T50" s="8"/>
      <c r="U50" s="8"/>
      <c r="V50" s="8"/>
      <c r="W50" s="8"/>
      <c r="X50" s="8"/>
      <c r="Y50" s="8"/>
    </row>
    <row r="51" customFormat="false" ht="43.5" hidden="false" customHeight="true" outlineLevel="0" collapsed="false">
      <c r="B51" s="13" t="s">
        <v>129</v>
      </c>
      <c r="C51" s="14" t="s">
        <v>130</v>
      </c>
      <c r="D51" s="14" t="s">
        <v>46</v>
      </c>
      <c r="E51" s="14" t="s">
        <v>131</v>
      </c>
      <c r="F51" s="14" t="s">
        <v>132</v>
      </c>
      <c r="G51" s="14" t="s">
        <v>133</v>
      </c>
      <c r="H51" s="14" t="s">
        <v>134</v>
      </c>
      <c r="I51" s="33" t="n">
        <v>0</v>
      </c>
      <c r="J51" s="33" t="n">
        <v>1</v>
      </c>
      <c r="K51" s="33" t="n">
        <v>2</v>
      </c>
      <c r="L51" s="33" t="n">
        <v>3</v>
      </c>
      <c r="M51" s="33" t="n">
        <v>4</v>
      </c>
      <c r="N51" s="33" t="n">
        <v>5</v>
      </c>
      <c r="O51" s="33" t="n">
        <v>6</v>
      </c>
      <c r="P51" s="33" t="n">
        <v>7</v>
      </c>
      <c r="Q51" s="33" t="n">
        <v>8</v>
      </c>
      <c r="R51" s="33" t="n">
        <v>9</v>
      </c>
      <c r="S51" s="33" t="n">
        <v>10</v>
      </c>
      <c r="T51" s="33" t="n">
        <v>11</v>
      </c>
      <c r="U51" s="33" t="n">
        <v>12</v>
      </c>
      <c r="V51" s="33" t="n">
        <v>13</v>
      </c>
      <c r="W51" s="33" t="n">
        <v>14</v>
      </c>
      <c r="X51" s="33" t="n">
        <v>15</v>
      </c>
      <c r="Y51" s="33" t="n">
        <v>16</v>
      </c>
    </row>
    <row r="52" customFormat="false" ht="15" hidden="false" customHeight="false" outlineLevel="0" collapsed="false">
      <c r="B52" s="9" t="s">
        <v>167</v>
      </c>
      <c r="C52" s="9" t="s">
        <v>168</v>
      </c>
      <c r="D52" s="26" t="n">
        <f aca="false">Assumptions!$C$40</f>
        <v>75000</v>
      </c>
      <c r="F52" s="17" t="n">
        <f aca="false">$C$43</f>
        <v>0.0865</v>
      </c>
      <c r="G52" s="26" t="n">
        <f aca="false">SUM(I52:Y52)</f>
        <v>16002.1192013428</v>
      </c>
      <c r="H52" s="29" t="n">
        <f aca="false">(1+IRR(I52:Y52,IF(SUM(I52:Y52)&lt;0,-0.05,0.01)))^4-1</f>
        <v>0.0744950190553291</v>
      </c>
      <c r="I52" s="35" t="n">
        <f aca="false">IF(I$51=0,-$D52,0)+IF(AND(I$51&gt;=1,I$51&lt;=12),$C$42*$I$46,0)+IF(I$51=12,$C$42*$I$47,0)</f>
        <v>-75000</v>
      </c>
      <c r="J52" s="35" t="n">
        <f aca="false">IF(J$51=0,-$D52,0)+IF(AND(J$51&gt;=1,J$51&lt;=12),$C$42*$J$46,0)+IF(J$51=12,$C$42*$J$47,0)</f>
        <v>1621.875</v>
      </c>
      <c r="K52" s="35" t="n">
        <f aca="false">IF(K$51=0,-$D52,0)+IF(AND(K$51&gt;=1,K$51&lt;=12),$C$42*$K$46,0)+IF(K$51=12,$C$42*$K$47,0)</f>
        <v>1616.1984375</v>
      </c>
      <c r="L52" s="35" t="n">
        <f aca="false">IF(L$51=0,-$D52,0)+IF(AND(L$51&gt;=1,L$51&lt;=12),$C$42*$L$46,0)+IF(L$51=12,$C$42*$L$47,0)</f>
        <v>1610.54174296875</v>
      </c>
      <c r="M52" s="35" t="n">
        <f aca="false">IF(M$51=0,-$D52,0)+IF(AND(M$51&gt;=1,M$51&lt;=12),$C$42*$M$46,0)+IF(M$51=12,$C$42*$M$47,0)</f>
        <v>1604.90484686836</v>
      </c>
      <c r="N52" s="35" t="n">
        <f aca="false">IF(N$51=0,-$D52,0)+IF(AND(N$51&gt;=1,N$51&lt;=12),$C$42*$N$46,0)+IF(N$51=12,$C$42*$N$47,0)</f>
        <v>1599.28767990432</v>
      </c>
      <c r="O52" s="35" t="n">
        <f aca="false">IF(O$51=0,-$D52,0)+IF(AND(O$51&gt;=1,O$51&lt;=12),$C$42*$O$46,0)+IF(O$51=12,$C$42*$O$47,0)</f>
        <v>1593.69017302466</v>
      </c>
      <c r="P52" s="35" t="n">
        <f aca="false">IF(P$51=0,-$D52,0)+IF(AND(P$51&gt;=1,P$51&lt;=12),$C$42*$P$46,0)+IF(P$51=12,$C$42*$P$47,0)</f>
        <v>1588.11225741907</v>
      </c>
      <c r="Q52" s="35" t="n">
        <f aca="false">IF(Q$51=0,-$D52,0)+IF(AND(Q$51&gt;=1,Q$51&lt;=12),$C$42*$Q$46,0)+IF(Q$51=12,$C$42*$Q$47,0)</f>
        <v>1582.5538645181</v>
      </c>
      <c r="R52" s="35" t="n">
        <f aca="false">IF(R$51=0,-$D52,0)+IF(AND(R$51&gt;=1,R$51&lt;=12),$C$42*$R$46,0)+IF(R$51=12,$C$42*$R$47,0)</f>
        <v>1577.01492599229</v>
      </c>
      <c r="S52" s="35" t="n">
        <f aca="false">IF(S$51=0,-$D52,0)+IF(AND(S$51&gt;=1,S$51&lt;=12),$C$42*$S$46,0)+IF(S$51=12,$C$42*$S$47,0)</f>
        <v>1571.49537375132</v>
      </c>
      <c r="T52" s="35" t="n">
        <f aca="false">IF(T$51=0,-$D52,0)+IF(AND(T$51&gt;=1,T$51&lt;=12),$C$42*$T$46,0)+IF(T$51=12,$C$42*$T$47,0)</f>
        <v>1565.99513994319</v>
      </c>
      <c r="U52" s="35" t="n">
        <f aca="false">IF(U$51=0,-$D52,0)+IF(AND(U$51&gt;=1,U$51&lt;=12),$C$42*$U$46,0)+IF(U$51=12,$C$42*$U$47,0)</f>
        <v>73470.4497594528</v>
      </c>
      <c r="V52" s="35" t="n">
        <f aca="false">0</f>
        <v>0</v>
      </c>
      <c r="W52" s="35" t="n">
        <f aca="false">0</f>
        <v>0</v>
      </c>
      <c r="X52" s="35" t="n">
        <f aca="false">0</f>
        <v>0</v>
      </c>
      <c r="Y52" s="35" t="n">
        <f aca="false">0</f>
        <v>0</v>
      </c>
    </row>
    <row r="54" customFormat="false" ht="15" hidden="false" customHeight="false" outlineLevel="0" collapsed="false">
      <c r="B54" s="30" t="s">
        <v>169</v>
      </c>
      <c r="C54" s="9" t="s">
        <v>168</v>
      </c>
      <c r="D54" s="26" t="n">
        <f aca="false">SUMIF($C$52:$C$52,"Loan fund",D$52:D$52)</f>
        <v>75000</v>
      </c>
      <c r="G54" s="36" t="n">
        <f aca="false">SUM(I54:Y54)</f>
        <v>16002.1192013428</v>
      </c>
      <c r="H54" s="29" t="n">
        <f aca="false">(1+IRR(I54:Y54,IF(SUM(I54:Y54)&lt;0,-0.05,0.01)))^4-1</f>
        <v>0.0744950190553291</v>
      </c>
      <c r="I54" s="35" t="n">
        <f aca="false">SUMIF($C$52:$C$52,"Loan fund",I$52:I$52)</f>
        <v>-75000</v>
      </c>
      <c r="J54" s="35" t="n">
        <f aca="false">SUMIF($C$52:$C$52,"Loan fund",J$52:J$52)</f>
        <v>1621.875</v>
      </c>
      <c r="K54" s="35" t="n">
        <f aca="false">SUMIF($C$52:$C$52,"Loan fund",K$52:K$52)</f>
        <v>1616.1984375</v>
      </c>
      <c r="L54" s="35" t="n">
        <f aca="false">SUMIF($C$52:$C$52,"Loan fund",L$52:L$52)</f>
        <v>1610.54174296875</v>
      </c>
      <c r="M54" s="35" t="n">
        <f aca="false">SUMIF($C$52:$C$52,"Loan fund",M$52:M$52)</f>
        <v>1604.90484686836</v>
      </c>
      <c r="N54" s="35" t="n">
        <f aca="false">SUMIF($C$52:$C$52,"Loan fund",N$52:N$52)</f>
        <v>1599.28767990432</v>
      </c>
      <c r="O54" s="35" t="n">
        <f aca="false">SUMIF($C$52:$C$52,"Loan fund",O$52:O$52)</f>
        <v>1593.69017302466</v>
      </c>
      <c r="P54" s="35" t="n">
        <f aca="false">SUMIF($C$52:$C$52,"Loan fund",P$52:P$52)</f>
        <v>1588.11225741907</v>
      </c>
      <c r="Q54" s="35" t="n">
        <f aca="false">SUMIF($C$52:$C$52,"Loan fund",Q$52:Q$52)</f>
        <v>1582.5538645181</v>
      </c>
      <c r="R54" s="35" t="n">
        <f aca="false">SUMIF($C$52:$C$52,"Loan fund",R$52:R$52)</f>
        <v>1577.01492599229</v>
      </c>
      <c r="S54" s="35" t="n">
        <f aca="false">SUMIF($C$52:$C$52,"Loan fund",S$52:S$52)</f>
        <v>1571.49537375132</v>
      </c>
      <c r="T54" s="35" t="n">
        <f aca="false">SUMIF($C$52:$C$52,"Loan fund",T$52:T$52)</f>
        <v>1565.99513994319</v>
      </c>
      <c r="U54" s="35" t="n">
        <f aca="false">SUMIF($C$52:$C$52,"Loan fund",U$52:U$52)</f>
        <v>73470.4497594528</v>
      </c>
      <c r="V54" s="35" t="n">
        <f aca="false">SUMIF($C$52:$C$52,"Loan fund",V$52:V$52)</f>
        <v>0</v>
      </c>
      <c r="W54" s="35" t="n">
        <f aca="false">SUMIF($C$52:$C$52,"Loan fund",W$52:W$52)</f>
        <v>0</v>
      </c>
      <c r="X54" s="35" t="n">
        <f aca="false">SUMIF($C$52:$C$52,"Loan fund",X$52:X$52)</f>
        <v>0</v>
      </c>
      <c r="Y54" s="35" t="n">
        <f aca="false">SUMIF($C$52:$C$52,"Loan fund",Y$52:Y$52)</f>
        <v>0</v>
      </c>
    </row>
    <row r="57" customFormat="false" ht="15" hidden="false" customHeight="false" outlineLevel="0" collapsed="false">
      <c r="B57" s="7" t="s">
        <v>171</v>
      </c>
      <c r="C57" s="8"/>
      <c r="D57" s="8"/>
      <c r="E57" s="8"/>
      <c r="F57" s="8"/>
      <c r="G57" s="8"/>
      <c r="H57" s="8"/>
    </row>
    <row r="58" customFormat="false" ht="15" hidden="false" customHeight="false" outlineLevel="0" collapsed="false">
      <c r="B58" s="9" t="s">
        <v>116</v>
      </c>
      <c r="C58" s="10" t="n">
        <v>0</v>
      </c>
      <c r="D58" s="6" t="s">
        <v>117</v>
      </c>
    </row>
    <row r="59" customFormat="false" ht="15" hidden="false" customHeight="false" outlineLevel="0" collapsed="false">
      <c r="B59" s="9" t="s">
        <v>118</v>
      </c>
      <c r="C59" s="10" t="n">
        <v>-0.015</v>
      </c>
      <c r="D59" s="6" t="s">
        <v>117</v>
      </c>
    </row>
    <row r="60" customFormat="false" ht="15" hidden="false" customHeight="false" outlineLevel="0" collapsed="false">
      <c r="B60" s="9" t="s">
        <v>158</v>
      </c>
      <c r="C60" s="38" t="n">
        <f aca="false">Assumptions!$C$44</f>
        <v>0.03</v>
      </c>
    </row>
    <row r="61" customFormat="false" ht="15" hidden="false" customHeight="false" outlineLevel="0" collapsed="false">
      <c r="B61" s="9" t="s">
        <v>159</v>
      </c>
      <c r="C61" s="21" t="n">
        <v>0.09</v>
      </c>
    </row>
    <row r="62" customFormat="false" ht="15" hidden="false" customHeight="false" outlineLevel="0" collapsed="false">
      <c r="B62" s="9" t="s">
        <v>160</v>
      </c>
      <c r="C62" s="12" t="n">
        <v>0.45</v>
      </c>
    </row>
    <row r="64" customFormat="false" ht="15" hidden="false" customHeight="false" outlineLevel="0" collapsed="false">
      <c r="B64" s="7" t="s">
        <v>126</v>
      </c>
      <c r="I64" s="33" t="n">
        <v>0</v>
      </c>
      <c r="J64" s="33" t="n">
        <v>1</v>
      </c>
      <c r="K64" s="33" t="n">
        <v>2</v>
      </c>
      <c r="L64" s="33" t="n">
        <v>3</v>
      </c>
      <c r="M64" s="33" t="n">
        <v>4</v>
      </c>
      <c r="N64" s="33" t="n">
        <v>5</v>
      </c>
      <c r="O64" s="33" t="n">
        <v>6</v>
      </c>
      <c r="P64" s="33" t="n">
        <v>7</v>
      </c>
      <c r="Q64" s="33" t="n">
        <v>8</v>
      </c>
      <c r="R64" s="33" t="n">
        <v>9</v>
      </c>
      <c r="S64" s="33" t="n">
        <v>10</v>
      </c>
      <c r="T64" s="33" t="n">
        <v>11</v>
      </c>
      <c r="U64" s="33" t="n">
        <v>12</v>
      </c>
      <c r="V64" s="33" t="n">
        <v>13</v>
      </c>
      <c r="W64" s="33" t="n">
        <v>14</v>
      </c>
      <c r="X64" s="33" t="n">
        <v>15</v>
      </c>
      <c r="Y64" s="33" t="n">
        <v>16</v>
      </c>
    </row>
    <row r="65" customFormat="false" ht="15" hidden="false" customHeight="false" outlineLevel="0" collapsed="false">
      <c r="B65" s="9" t="s">
        <v>127</v>
      </c>
      <c r="I65" s="17" t="n">
        <f aca="false">IF(I$64=0,Assumptions!$C$6,Assumptions!$C$6+$C$58+IF(I$64&gt;=5,$C$59,0))</f>
        <v>0.04</v>
      </c>
      <c r="J65" s="17" t="n">
        <f aca="false">IF(J$64=0,Assumptions!$C$6,Assumptions!$C$6+$C$58+IF(J$64&gt;=5,$C$59,0))</f>
        <v>0.04</v>
      </c>
      <c r="K65" s="17" t="n">
        <f aca="false">IF(K$64=0,Assumptions!$C$6,Assumptions!$C$6+$C$58+IF(K$64&gt;=5,$C$59,0))</f>
        <v>0.04</v>
      </c>
      <c r="L65" s="17" t="n">
        <f aca="false">IF(L$64=0,Assumptions!$C$6,Assumptions!$C$6+$C$58+IF(L$64&gt;=5,$C$59,0))</f>
        <v>0.04</v>
      </c>
      <c r="M65" s="17" t="n">
        <f aca="false">IF(M$64=0,Assumptions!$C$6,Assumptions!$C$6+$C$58+IF(M$64&gt;=5,$C$59,0))</f>
        <v>0.04</v>
      </c>
      <c r="N65" s="17" t="n">
        <f aca="false">IF(N$64=0,Assumptions!$C$6,Assumptions!$C$6+$C$58+IF(N$64&gt;=5,$C$59,0))</f>
        <v>0.025</v>
      </c>
      <c r="O65" s="17" t="n">
        <f aca="false">IF(O$64=0,Assumptions!$C$6,Assumptions!$C$6+$C$58+IF(O$64&gt;=5,$C$59,0))</f>
        <v>0.025</v>
      </c>
      <c r="P65" s="17" t="n">
        <f aca="false">IF(P$64=0,Assumptions!$C$6,Assumptions!$C$6+$C$58+IF(P$64&gt;=5,$C$59,0))</f>
        <v>0.025</v>
      </c>
      <c r="Q65" s="17" t="n">
        <f aca="false">IF(Q$64=0,Assumptions!$C$6,Assumptions!$C$6+$C$58+IF(Q$64&gt;=5,$C$59,0))</f>
        <v>0.025</v>
      </c>
      <c r="R65" s="17" t="n">
        <f aca="false">IF(R$64=0,Assumptions!$C$6,Assumptions!$C$6+$C$58+IF(R$64&gt;=5,$C$59,0))</f>
        <v>0.025</v>
      </c>
      <c r="S65" s="17" t="n">
        <f aca="false">IF(S$64=0,Assumptions!$C$6,Assumptions!$C$6+$C$58+IF(S$64&gt;=5,$C$59,0))</f>
        <v>0.025</v>
      </c>
      <c r="T65" s="17" t="n">
        <f aca="false">IF(T$64=0,Assumptions!$C$6,Assumptions!$C$6+$C$58+IF(T$64&gt;=5,$C$59,0))</f>
        <v>0.025</v>
      </c>
      <c r="U65" s="17" t="n">
        <f aca="false">IF(U$64=0,Assumptions!$C$6,Assumptions!$C$6+$C$58+IF(U$64&gt;=5,$C$59,0))</f>
        <v>0.025</v>
      </c>
      <c r="V65" s="17" t="n">
        <f aca="false">IF(V$64=0,Assumptions!$C$6,Assumptions!$C$6+$C$58+IF(V$64&gt;=5,$C$59,0))</f>
        <v>0.025</v>
      </c>
      <c r="W65" s="17" t="n">
        <f aca="false">IF(W$64=0,Assumptions!$C$6,Assumptions!$C$6+$C$58+IF(W$64&gt;=5,$C$59,0))</f>
        <v>0.025</v>
      </c>
      <c r="X65" s="17" t="n">
        <f aca="false">IF(X$64=0,Assumptions!$C$6,Assumptions!$C$6+$C$58+IF(X$64&gt;=5,$C$59,0))</f>
        <v>0.025</v>
      </c>
      <c r="Y65" s="17" t="n">
        <f aca="false">IF(Y$64=0,Assumptions!$C$6,Assumptions!$C$6+$C$58+IF(Y$64&gt;=5,$C$59,0))</f>
        <v>0.025</v>
      </c>
    </row>
    <row r="67" customFormat="false" ht="15" hidden="false" customHeight="false" outlineLevel="0" collapsed="false">
      <c r="B67" s="7" t="s">
        <v>161</v>
      </c>
      <c r="C67" s="8"/>
      <c r="D67" s="8"/>
      <c r="E67" s="8"/>
      <c r="F67" s="8"/>
      <c r="G67" s="8"/>
      <c r="H67" s="8"/>
      <c r="I67" s="8"/>
      <c r="J67" s="8"/>
      <c r="K67" s="8"/>
      <c r="L67" s="8"/>
      <c r="M67" s="8"/>
      <c r="N67" s="8"/>
      <c r="O67" s="8"/>
      <c r="P67" s="8"/>
      <c r="Q67" s="8"/>
      <c r="R67" s="8"/>
      <c r="S67" s="8"/>
      <c r="T67" s="8"/>
      <c r="U67" s="8"/>
    </row>
    <row r="68" customFormat="false" ht="15" hidden="false" customHeight="false" outlineLevel="0" collapsed="false">
      <c r="B68" s="9" t="s">
        <v>144</v>
      </c>
      <c r="C68" s="35" t="n">
        <f aca="false">Assumptions!$C$40/Assumptions!$C$41</f>
        <v>7500</v>
      </c>
    </row>
    <row r="69" customFormat="false" ht="15" hidden="false" customHeight="false" outlineLevel="0" collapsed="false">
      <c r="B69" s="9" t="s">
        <v>162</v>
      </c>
      <c r="C69" s="17" t="n">
        <f aca="false">J65+Assumptions!$C$42-Assumptions!$C$43</f>
        <v>0.0665</v>
      </c>
    </row>
    <row r="70" customFormat="false" ht="15" hidden="false" customHeight="false" outlineLevel="0" collapsed="false">
      <c r="B70" s="9" t="s">
        <v>163</v>
      </c>
      <c r="J70" s="38" t="n">
        <f aca="false">IF(AND(J$64&gt;=5,J$64&lt;=8),$C$61,$C$60)</f>
        <v>0.03</v>
      </c>
      <c r="K70" s="38" t="n">
        <f aca="false">IF(AND(K$64&gt;=5,K$64&lt;=8),$C$61,$C$60)</f>
        <v>0.03</v>
      </c>
      <c r="L70" s="38" t="n">
        <f aca="false">IF(AND(L$64&gt;=5,L$64&lt;=8),$C$61,$C$60)</f>
        <v>0.03</v>
      </c>
      <c r="M70" s="38" t="n">
        <f aca="false">IF(AND(M$64&gt;=5,M$64&lt;=8),$C$61,$C$60)</f>
        <v>0.03</v>
      </c>
      <c r="N70" s="38" t="n">
        <f aca="false">IF(AND(N$64&gt;=5,N$64&lt;=8),$C$61,$C$60)</f>
        <v>0.09</v>
      </c>
      <c r="O70" s="38" t="n">
        <f aca="false">IF(AND(O$64&gt;=5,O$64&lt;=8),$C$61,$C$60)</f>
        <v>0.09</v>
      </c>
      <c r="P70" s="38" t="n">
        <f aca="false">IF(AND(P$64&gt;=5,P$64&lt;=8),$C$61,$C$60)</f>
        <v>0.09</v>
      </c>
      <c r="Q70" s="38" t="n">
        <f aca="false">IF(AND(Q$64&gt;=5,Q$64&lt;=8),$C$61,$C$60)</f>
        <v>0.09</v>
      </c>
      <c r="R70" s="38" t="n">
        <f aca="false">IF(AND(R$64&gt;=5,R$64&lt;=8),$C$61,$C$60)</f>
        <v>0.03</v>
      </c>
      <c r="S70" s="38" t="n">
        <f aca="false">IF(AND(S$64&gt;=5,S$64&lt;=8),$C$61,$C$60)</f>
        <v>0.03</v>
      </c>
      <c r="T70" s="38" t="n">
        <f aca="false">IF(AND(T$64&gt;=5,T$64&lt;=8),$C$61,$C$60)</f>
        <v>0.03</v>
      </c>
      <c r="U70" s="38" t="n">
        <f aca="false">IF(AND(U$64&gt;=5,U$64&lt;=8),$C$61,$C$60)</f>
        <v>0.03</v>
      </c>
    </row>
    <row r="71" customFormat="false" ht="15" hidden="false" customHeight="false" outlineLevel="0" collapsed="false">
      <c r="B71" s="9" t="s">
        <v>93</v>
      </c>
      <c r="J71" s="22" t="n">
        <f aca="false">IF(AND(J$64&gt;=5,J$64&lt;=8),$C$62,Assumptions!$C$45)</f>
        <v>0.35</v>
      </c>
      <c r="K71" s="22" t="n">
        <f aca="false">IF(AND(K$64&gt;=5,K$64&lt;=8),$C$62,Assumptions!$C$45)</f>
        <v>0.35</v>
      </c>
      <c r="L71" s="22" t="n">
        <f aca="false">IF(AND(L$64&gt;=5,L$64&lt;=8),$C$62,Assumptions!$C$45)</f>
        <v>0.35</v>
      </c>
      <c r="M71" s="22" t="n">
        <f aca="false">IF(AND(M$64&gt;=5,M$64&lt;=8),$C$62,Assumptions!$C$45)</f>
        <v>0.35</v>
      </c>
      <c r="N71" s="22" t="n">
        <f aca="false">IF(AND(N$64&gt;=5,N$64&lt;=8),$C$62,Assumptions!$C$45)</f>
        <v>0.45</v>
      </c>
      <c r="O71" s="22" t="n">
        <f aca="false">IF(AND(O$64&gt;=5,O$64&lt;=8),$C$62,Assumptions!$C$45)</f>
        <v>0.45</v>
      </c>
      <c r="P71" s="22" t="n">
        <f aca="false">IF(AND(P$64&gt;=5,P$64&lt;=8),$C$62,Assumptions!$C$45)</f>
        <v>0.45</v>
      </c>
      <c r="Q71" s="22" t="n">
        <f aca="false">IF(AND(Q$64&gt;=5,Q$64&lt;=8),$C$62,Assumptions!$C$45)</f>
        <v>0.45</v>
      </c>
      <c r="R71" s="22" t="n">
        <f aca="false">IF(AND(R$64&gt;=5,R$64&lt;=8),$C$62,Assumptions!$C$45)</f>
        <v>0.35</v>
      </c>
      <c r="S71" s="22" t="n">
        <f aca="false">IF(AND(S$64&gt;=5,S$64&lt;=8),$C$62,Assumptions!$C$45)</f>
        <v>0.35</v>
      </c>
      <c r="T71" s="22" t="n">
        <f aca="false">IF(AND(T$64&gt;=5,T$64&lt;=8),$C$62,Assumptions!$C$45)</f>
        <v>0.35</v>
      </c>
      <c r="U71" s="22" t="n">
        <f aca="false">IF(AND(U$64&gt;=5,U$64&lt;=8),$C$62,Assumptions!$C$45)</f>
        <v>0.35</v>
      </c>
    </row>
    <row r="72" customFormat="false" ht="15" hidden="false" customHeight="false" outlineLevel="0" collapsed="false">
      <c r="B72" s="9" t="s">
        <v>164</v>
      </c>
      <c r="J72" s="39" t="n">
        <f aca="false">I73*(J65+Assumptions!$C$42-Assumptions!$C$43)/4</f>
        <v>0.16625</v>
      </c>
      <c r="K72" s="39" t="n">
        <f aca="false">J73*(K65+Assumptions!$C$42-Assumptions!$C$43)/4</f>
        <v>0.16581359375</v>
      </c>
      <c r="L72" s="39" t="n">
        <f aca="false">K73*(L65+Assumptions!$C$42-Assumptions!$C$43)/4</f>
        <v>0.165378333066406</v>
      </c>
      <c r="M72" s="39" t="n">
        <f aca="false">L73*(M65+Assumptions!$C$42-Assumptions!$C$43)/4</f>
        <v>0.164944214942107</v>
      </c>
      <c r="N72" s="39" t="n">
        <f aca="false">M73*(N65+Assumptions!$C$42-Assumptions!$C$43)/4</f>
        <v>0.127403438698662</v>
      </c>
      <c r="O72" s="39" t="n">
        <f aca="false">N73*(O65+Assumptions!$C$42-Assumptions!$C$43)/4</f>
        <v>0.126113478881838</v>
      </c>
      <c r="P72" s="39" t="n">
        <f aca="false">O73*(P65+Assumptions!$C$42-Assumptions!$C$43)/4</f>
        <v>0.124836579908159</v>
      </c>
      <c r="Q72" s="39" t="n">
        <f aca="false">P73*(Q65+Assumptions!$C$42-Assumptions!$C$43)/4</f>
        <v>0.123572609536589</v>
      </c>
      <c r="R72" s="39" t="n">
        <f aca="false">Q73*(R65+Assumptions!$C$42-Assumptions!$C$43)/4</f>
        <v>0.122321436865031</v>
      </c>
      <c r="S72" s="39" t="n">
        <f aca="false">R73*(S65+Assumptions!$C$42-Assumptions!$C$43)/4</f>
        <v>0.122000343093261</v>
      </c>
      <c r="T72" s="39" t="n">
        <f aca="false">S73*(T65+Assumptions!$C$42-Assumptions!$C$43)/4</f>
        <v>0.121680092192641</v>
      </c>
      <c r="U72" s="39" t="n">
        <f aca="false">T73*(U65+Assumptions!$C$42-Assumptions!$C$43)/4</f>
        <v>0.121360681950635</v>
      </c>
    </row>
    <row r="73" customFormat="false" ht="15" hidden="false" customHeight="false" outlineLevel="0" collapsed="false">
      <c r="B73" s="9" t="s">
        <v>165</v>
      </c>
      <c r="I73" s="37" t="n">
        <f aca="false">Assumptions!$C$41</f>
        <v>10</v>
      </c>
      <c r="J73" s="37" t="n">
        <f aca="false">I73*(1-J70*J71/4)</f>
        <v>9.97375</v>
      </c>
      <c r="K73" s="37" t="n">
        <f aca="false">J73*(1-K70*K71/4)</f>
        <v>9.94756890625</v>
      </c>
      <c r="L73" s="37" t="n">
        <f aca="false">K73*(1-L70*L71/4)</f>
        <v>9.9214565378711</v>
      </c>
      <c r="M73" s="37" t="n">
        <f aca="false">L73*(1-M70*M71/4)</f>
        <v>9.89541271445919</v>
      </c>
      <c r="N73" s="37" t="n">
        <f aca="false">M73*(1-N70*N71/4)</f>
        <v>9.79522166072529</v>
      </c>
      <c r="O73" s="37" t="n">
        <f aca="false">N73*(1-O70*O71/4)</f>
        <v>9.69604504141044</v>
      </c>
      <c r="P73" s="37" t="n">
        <f aca="false">O73*(1-P70*P71/4)</f>
        <v>9.59787258536616</v>
      </c>
      <c r="Q73" s="37" t="n">
        <f aca="false">P73*(1-Q70*Q71/4)</f>
        <v>9.50069412543933</v>
      </c>
      <c r="R73" s="37" t="n">
        <f aca="false">Q73*(1-R70*R71/4)</f>
        <v>9.47575480336005</v>
      </c>
      <c r="S73" s="37" t="n">
        <f aca="false">R73*(1-S70*S71/4)</f>
        <v>9.45088094700123</v>
      </c>
      <c r="T73" s="37" t="n">
        <f aca="false">S73*(1-T70*T71/4)</f>
        <v>9.42607238451535</v>
      </c>
      <c r="U73" s="37" t="n">
        <f aca="false">T73*(1-U70*U71/4)</f>
        <v>9.401328944506</v>
      </c>
    </row>
    <row r="74" customFormat="false" ht="15" hidden="false" customHeight="false" outlineLevel="0" collapsed="false">
      <c r="B74" s="9" t="s">
        <v>166</v>
      </c>
      <c r="C74" s="26" t="n">
        <f aca="false">$C$68*SUM(J72:U72)</f>
        <v>12387.56102164</v>
      </c>
    </row>
    <row r="76" customFormat="false" ht="15" hidden="false" customHeight="false" outlineLevel="0" collapsed="false">
      <c r="B76" s="7" t="s">
        <v>128</v>
      </c>
      <c r="C76" s="8"/>
      <c r="D76" s="8"/>
      <c r="E76" s="8"/>
      <c r="F76" s="8"/>
      <c r="G76" s="8"/>
      <c r="H76" s="8"/>
      <c r="I76" s="8"/>
      <c r="J76" s="8"/>
      <c r="K76" s="8"/>
      <c r="L76" s="8"/>
      <c r="M76" s="8"/>
      <c r="N76" s="8"/>
      <c r="O76" s="8"/>
      <c r="P76" s="8"/>
      <c r="Q76" s="8"/>
      <c r="R76" s="8"/>
      <c r="S76" s="8"/>
      <c r="T76" s="8"/>
      <c r="U76" s="8"/>
      <c r="V76" s="8"/>
      <c r="W76" s="8"/>
      <c r="X76" s="8"/>
      <c r="Y76" s="8"/>
    </row>
    <row r="77" customFormat="false" ht="43.5" hidden="false" customHeight="true" outlineLevel="0" collapsed="false">
      <c r="B77" s="13" t="s">
        <v>129</v>
      </c>
      <c r="C77" s="14" t="s">
        <v>130</v>
      </c>
      <c r="D77" s="14" t="s">
        <v>46</v>
      </c>
      <c r="E77" s="14" t="s">
        <v>131</v>
      </c>
      <c r="F77" s="14" t="s">
        <v>132</v>
      </c>
      <c r="G77" s="14" t="s">
        <v>133</v>
      </c>
      <c r="H77" s="14" t="s">
        <v>134</v>
      </c>
      <c r="I77" s="33" t="n">
        <v>0</v>
      </c>
      <c r="J77" s="33" t="n">
        <v>1</v>
      </c>
      <c r="K77" s="33" t="n">
        <v>2</v>
      </c>
      <c r="L77" s="33" t="n">
        <v>3</v>
      </c>
      <c r="M77" s="33" t="n">
        <v>4</v>
      </c>
      <c r="N77" s="33" t="n">
        <v>5</v>
      </c>
      <c r="O77" s="33" t="n">
        <v>6</v>
      </c>
      <c r="P77" s="33" t="n">
        <v>7</v>
      </c>
      <c r="Q77" s="33" t="n">
        <v>8</v>
      </c>
      <c r="R77" s="33" t="n">
        <v>9</v>
      </c>
      <c r="S77" s="33" t="n">
        <v>10</v>
      </c>
      <c r="T77" s="33" t="n">
        <v>11</v>
      </c>
      <c r="U77" s="33" t="n">
        <v>12</v>
      </c>
      <c r="V77" s="33" t="n">
        <v>13</v>
      </c>
      <c r="W77" s="33" t="n">
        <v>14</v>
      </c>
      <c r="X77" s="33" t="n">
        <v>15</v>
      </c>
      <c r="Y77" s="33" t="n">
        <v>16</v>
      </c>
    </row>
    <row r="78" customFormat="false" ht="15" hidden="false" customHeight="false" outlineLevel="0" collapsed="false">
      <c r="B78" s="9" t="s">
        <v>167</v>
      </c>
      <c r="C78" s="9" t="s">
        <v>168</v>
      </c>
      <c r="D78" s="26" t="n">
        <f aca="false">Assumptions!$C$40</f>
        <v>75000</v>
      </c>
      <c r="F78" s="17" t="n">
        <f aca="false">$C$69</f>
        <v>0.0665</v>
      </c>
      <c r="G78" s="26" t="n">
        <f aca="false">SUM(I78:Y78)</f>
        <v>7897.52810543495</v>
      </c>
      <c r="H78" s="29" t="n">
        <f aca="false">(1+IRR(I78:Y78,IF(SUM(I78:Y78)&lt;0,-0.05,0.01)))^4-1</f>
        <v>0.0367881825294081</v>
      </c>
      <c r="I78" s="35" t="n">
        <f aca="false">IF(I$77=0,-$D78,0)+IF(AND(I$77&gt;=1,I$77&lt;=12),$C$68*$I$72,0)+IF(I$77=12,$C$68*$I$73,0)</f>
        <v>-75000</v>
      </c>
      <c r="J78" s="35" t="n">
        <f aca="false">IF(J$77=0,-$D78,0)+IF(AND(J$77&gt;=1,J$77&lt;=12),$C$68*$J$72,0)+IF(J$77=12,$C$68*$J$73,0)</f>
        <v>1246.875</v>
      </c>
      <c r="K78" s="35" t="n">
        <f aca="false">IF(K$77=0,-$D78,0)+IF(AND(K$77&gt;=1,K$77&lt;=12),$C$68*$K$72,0)+IF(K$77=12,$C$68*$K$73,0)</f>
        <v>1243.601953125</v>
      </c>
      <c r="L78" s="35" t="n">
        <f aca="false">IF(L$77=0,-$D78,0)+IF(AND(L$77&gt;=1,L$77&lt;=12),$C$68*$L$72,0)+IF(L$77=12,$C$68*$L$73,0)</f>
        <v>1240.33749799805</v>
      </c>
      <c r="M78" s="35" t="n">
        <f aca="false">IF(M$77=0,-$D78,0)+IF(AND(M$77&gt;=1,M$77&lt;=12),$C$68*$M$72,0)+IF(M$77=12,$C$68*$M$73,0)</f>
        <v>1237.0816120658</v>
      </c>
      <c r="N78" s="35" t="n">
        <f aca="false">IF(N$77=0,-$D78,0)+IF(AND(N$77&gt;=1,N$77&lt;=12),$C$68*$N$72,0)+IF(N$77=12,$C$68*$N$73,0)</f>
        <v>955.525790239965</v>
      </c>
      <c r="O78" s="35" t="n">
        <f aca="false">IF(O$77=0,-$D78,0)+IF(AND(O$77&gt;=1,O$77&lt;=12),$C$68*$O$72,0)+IF(O$77=12,$C$68*$O$73,0)</f>
        <v>945.851091613785</v>
      </c>
      <c r="P78" s="35" t="n">
        <f aca="false">IF(P$77=0,-$D78,0)+IF(AND(P$77&gt;=1,P$77&lt;=12),$C$68*$P$72,0)+IF(P$77=12,$C$68*$P$73,0)</f>
        <v>936.274349311196</v>
      </c>
      <c r="Q78" s="35" t="n">
        <f aca="false">IF(Q$77=0,-$D78,0)+IF(AND(Q$77&gt;=1,Q$77&lt;=12),$C$68*$Q$72,0)+IF(Q$77=12,$C$68*$Q$73,0)</f>
        <v>926.79457152442</v>
      </c>
      <c r="R78" s="35" t="n">
        <f aca="false">IF(R$77=0,-$D78,0)+IF(AND(R$77&gt;=1,R$77&lt;=12),$C$68*$R$72,0)+IF(R$77=12,$C$68*$R$73,0)</f>
        <v>917.410776487735</v>
      </c>
      <c r="S78" s="35" t="n">
        <f aca="false">IF(S$77=0,-$D78,0)+IF(AND(S$77&gt;=1,S$77&lt;=12),$C$68*$S$72,0)+IF(S$77=12,$C$68*$S$73,0)</f>
        <v>915.002573199455</v>
      </c>
      <c r="T78" s="35" t="n">
        <f aca="false">IF(T$77=0,-$D78,0)+IF(AND(T$77&gt;=1,T$77&lt;=12),$C$68*$T$72,0)+IF(T$77=12,$C$68*$T$73,0)</f>
        <v>912.600691444806</v>
      </c>
      <c r="U78" s="35" t="n">
        <f aca="false">IF(U$77=0,-$D78,0)+IF(AND(U$77&gt;=1,U$77&lt;=12),$C$68*$U$72,0)+IF(U$77=12,$C$68*$U$73,0)</f>
        <v>71420.1721984247</v>
      </c>
      <c r="V78" s="35" t="n">
        <f aca="false">0</f>
        <v>0</v>
      </c>
      <c r="W78" s="35" t="n">
        <f aca="false">0</f>
        <v>0</v>
      </c>
      <c r="X78" s="35" t="n">
        <f aca="false">0</f>
        <v>0</v>
      </c>
      <c r="Y78" s="35" t="n">
        <f aca="false">0</f>
        <v>0</v>
      </c>
    </row>
    <row r="80" customFormat="false" ht="15" hidden="false" customHeight="false" outlineLevel="0" collapsed="false">
      <c r="B80" s="30" t="s">
        <v>169</v>
      </c>
      <c r="C80" s="9" t="s">
        <v>168</v>
      </c>
      <c r="D80" s="26" t="n">
        <f aca="false">SUMIF($C$78:$C$78,"Loan fund",D$78:D$78)</f>
        <v>75000</v>
      </c>
      <c r="G80" s="36" t="n">
        <f aca="false">SUM(I80:Y80)</f>
        <v>7897.52810543495</v>
      </c>
      <c r="H80" s="29" t="n">
        <f aca="false">(1+IRR(I80:Y80,IF(SUM(I80:Y80)&lt;0,-0.05,0.01)))^4-1</f>
        <v>0.0367881825294081</v>
      </c>
      <c r="I80" s="35" t="n">
        <f aca="false">SUMIF($C$78:$C$78,"Loan fund",I$78:I$78)</f>
        <v>-75000</v>
      </c>
      <c r="J80" s="35" t="n">
        <f aca="false">SUMIF($C$78:$C$78,"Loan fund",J$78:J$78)</f>
        <v>1246.875</v>
      </c>
      <c r="K80" s="35" t="n">
        <f aca="false">SUMIF($C$78:$C$78,"Loan fund",K$78:K$78)</f>
        <v>1243.601953125</v>
      </c>
      <c r="L80" s="35" t="n">
        <f aca="false">SUMIF($C$78:$C$78,"Loan fund",L$78:L$78)</f>
        <v>1240.33749799805</v>
      </c>
      <c r="M80" s="35" t="n">
        <f aca="false">SUMIF($C$78:$C$78,"Loan fund",M$78:M$78)</f>
        <v>1237.0816120658</v>
      </c>
      <c r="N80" s="35" t="n">
        <f aca="false">SUMIF($C$78:$C$78,"Loan fund",N$78:N$78)</f>
        <v>955.525790239965</v>
      </c>
      <c r="O80" s="35" t="n">
        <f aca="false">SUMIF($C$78:$C$78,"Loan fund",O$78:O$78)</f>
        <v>945.851091613785</v>
      </c>
      <c r="P80" s="35" t="n">
        <f aca="false">SUMIF($C$78:$C$78,"Loan fund",P$78:P$78)</f>
        <v>936.274349311196</v>
      </c>
      <c r="Q80" s="35" t="n">
        <f aca="false">SUMIF($C$78:$C$78,"Loan fund",Q$78:Q$78)</f>
        <v>926.79457152442</v>
      </c>
      <c r="R80" s="35" t="n">
        <f aca="false">SUMIF($C$78:$C$78,"Loan fund",R$78:R$78)</f>
        <v>917.410776487735</v>
      </c>
      <c r="S80" s="35" t="n">
        <f aca="false">SUMIF($C$78:$C$78,"Loan fund",S$78:S$78)</f>
        <v>915.002573199455</v>
      </c>
      <c r="T80" s="35" t="n">
        <f aca="false">SUMIF($C$78:$C$78,"Loan fund",T$78:T$78)</f>
        <v>912.600691444806</v>
      </c>
      <c r="U80" s="35" t="n">
        <f aca="false">SUMIF($C$78:$C$78,"Loan fund",U$78:U$78)</f>
        <v>71420.1721984247</v>
      </c>
      <c r="V80" s="35" t="n">
        <f aca="false">SUMIF($C$78:$C$78,"Loan fund",V$78:V$78)</f>
        <v>0</v>
      </c>
      <c r="W80" s="35" t="n">
        <f aca="false">SUMIF($C$78:$C$78,"Loan fund",W$78:W$78)</f>
        <v>0</v>
      </c>
      <c r="X80" s="35" t="n">
        <f aca="false">SUMIF($C$78:$C$78,"Loan fund",X$78:X$78)</f>
        <v>0</v>
      </c>
      <c r="Y80" s="35" t="n">
        <f aca="false">SUMIF($C$78:$C$78,"Loan fund",Y$78:Y$78)</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5" min="3" style="0" width="15"/>
    <col collapsed="false" customWidth="true" hidden="false" outlineLevel="0" max="6" min="6" style="0" width="14"/>
  </cols>
  <sheetData>
    <row r="1" customFormat="false" ht="6" hidden="false" customHeight="true" outlineLevel="0" collapsed="false"/>
    <row r="2" customFormat="false" ht="17.35" hidden="false" customHeight="false" outlineLevel="0" collapsed="false">
      <c r="B2" s="5" t="s">
        <v>172</v>
      </c>
    </row>
    <row r="3" customFormat="false" ht="15" hidden="false" customHeight="false" outlineLevel="0" collapsed="false">
      <c r="B3" s="6" t="s">
        <v>173</v>
      </c>
    </row>
    <row r="5" customFormat="false" ht="30" hidden="false" customHeight="true" outlineLevel="0" collapsed="false">
      <c r="B5" s="13" t="s">
        <v>129</v>
      </c>
      <c r="C5" s="14" t="s">
        <v>64</v>
      </c>
      <c r="D5" s="14" t="s">
        <v>65</v>
      </c>
      <c r="E5" s="14" t="s">
        <v>66</v>
      </c>
    </row>
    <row r="6" customFormat="false" ht="15" hidden="false" customHeight="false" outlineLevel="0" collapsed="false">
      <c r="B6" s="9" t="s">
        <v>174</v>
      </c>
      <c r="C6" s="19" t="n">
        <f aca="false">Assumptions!$C$50</f>
        <v>19</v>
      </c>
      <c r="D6" s="19" t="n">
        <f aca="false">Assumptions!$D$50</f>
        <v>15</v>
      </c>
      <c r="E6" s="19" t="n">
        <f aca="false">Assumptions!$E$50</f>
        <v>9</v>
      </c>
    </row>
    <row r="7" customFormat="false" ht="15" hidden="false" customHeight="false" outlineLevel="0" collapsed="false">
      <c r="B7" s="9" t="s">
        <v>165</v>
      </c>
      <c r="C7" s="19" t="n">
        <f aca="false">Assumptions!$C$51</f>
        <v>20</v>
      </c>
      <c r="D7" s="19" t="n">
        <f aca="false">Assumptions!$D$51</f>
        <v>14</v>
      </c>
      <c r="E7" s="19" t="n">
        <f aca="false">Assumptions!$E$51</f>
        <v>11.25</v>
      </c>
    </row>
    <row r="8" customFormat="false" ht="15" hidden="false" customHeight="false" outlineLevel="0" collapsed="false">
      <c r="B8" s="9" t="s">
        <v>175</v>
      </c>
      <c r="C8" s="38" t="n">
        <f aca="false">BDC_Paths!$C$20</f>
        <v>-0.05</v>
      </c>
      <c r="D8" s="38" t="n">
        <f aca="false">BDC_Paths!$C$34</f>
        <v>0.0714285714285714</v>
      </c>
      <c r="E8" s="38" t="n">
        <f aca="false">BDC_Paths!$C$48</f>
        <v>-0.2</v>
      </c>
    </row>
    <row r="9" customFormat="false" ht="15" hidden="false" customHeight="false" outlineLevel="0" collapsed="false">
      <c r="B9" s="9" t="s">
        <v>176</v>
      </c>
      <c r="C9" s="17" t="n">
        <f aca="false">Assumptions!$C$52*4/Assumptions!$C$50</f>
        <v>0.101052631578947</v>
      </c>
      <c r="D9" s="17" t="n">
        <f aca="false">Assumptions!$D$52*4/Assumptions!$D$50</f>
        <v>0.106666666666667</v>
      </c>
      <c r="E9" s="17" t="n">
        <f aca="false">Assumptions!$E$52*4/Assumptions!$E$50</f>
        <v>0.146666666666667</v>
      </c>
    </row>
    <row r="10" customFormat="false" ht="15" hidden="false" customHeight="false" outlineLevel="0" collapsed="false">
      <c r="B10" s="9" t="s">
        <v>70</v>
      </c>
      <c r="C10" s="40" t="n">
        <f aca="false">Assumptions!$C$54</f>
        <v>1.1</v>
      </c>
      <c r="D10" s="40" t="n">
        <f aca="false">Assumptions!$D$54</f>
        <v>1</v>
      </c>
      <c r="E10" s="40" t="n">
        <f aca="false">Assumptions!$E$54</f>
        <v>1.35</v>
      </c>
    </row>
    <row r="11" customFormat="false" ht="15" hidden="false" customHeight="false" outlineLevel="0" collapsed="false">
      <c r="B11" s="9" t="s">
        <v>177</v>
      </c>
      <c r="C11" s="22" t="n">
        <f aca="false">(1+Assumptions!$C$54)/Assumptions!$C$54</f>
        <v>1.90909090909091</v>
      </c>
      <c r="D11" s="22" t="n">
        <f aca="false">(1+Assumptions!$D$54)/Assumptions!$D$54</f>
        <v>2</v>
      </c>
      <c r="E11" s="22" t="n">
        <f aca="false">(1+Assumptions!$E$54)/Assumptions!$E$54</f>
        <v>1.74074074074074</v>
      </c>
    </row>
    <row r="12" customFormat="false" ht="15" hidden="false" customHeight="false" outlineLevel="0" collapsed="false">
      <c r="B12" s="9" t="s">
        <v>178</v>
      </c>
      <c r="C12" s="17" t="n">
        <f aca="false">BDC_Paths!$J$22</f>
        <v>0.109</v>
      </c>
      <c r="D12" s="17" t="n">
        <f aca="false">BDC_Paths!$J$36</f>
        <v>0.1</v>
      </c>
      <c r="E12" s="17" t="n">
        <f aca="false">BDC_Paths!$J$50</f>
        <v>0.123</v>
      </c>
    </row>
    <row r="13" customFormat="false" ht="15" hidden="false" customHeight="false" outlineLevel="0" collapsed="false">
      <c r="B13" s="9" t="s">
        <v>76</v>
      </c>
      <c r="C13" s="38" t="n">
        <f aca="false">Assumptions!$C$60</f>
        <v>0.01</v>
      </c>
      <c r="D13" s="38" t="n">
        <f aca="false">Assumptions!$D$60</f>
        <v>0.008</v>
      </c>
      <c r="E13" s="38" t="n">
        <f aca="false">Assumptions!$E$60</f>
        <v>0.04</v>
      </c>
    </row>
    <row r="14" customFormat="false" ht="15" hidden="false" customHeight="false" outlineLevel="0" collapsed="false">
      <c r="B14" s="9" t="s">
        <v>179</v>
      </c>
      <c r="C14" s="17" t="n">
        <f aca="false">Assumptions!$C$55</f>
        <v>0.06</v>
      </c>
      <c r="D14" s="17" t="n">
        <f aca="false">Assumptions!$D$55</f>
        <v>0.058</v>
      </c>
      <c r="E14" s="17" t="n">
        <f aca="false">Assumptions!$E$55</f>
        <v>0.068</v>
      </c>
    </row>
    <row r="15" customFormat="false" ht="15" hidden="false" customHeight="false" outlineLevel="0" collapsed="false">
      <c r="B15" s="9" t="s">
        <v>72</v>
      </c>
      <c r="C15" s="17" t="n">
        <f aca="false">Assumptions!$C$56</f>
        <v>0.015</v>
      </c>
      <c r="D15" s="17" t="n">
        <f aca="false">Assumptions!$D$56</f>
        <v>0</v>
      </c>
      <c r="E15" s="17" t="n">
        <f aca="false">Assumptions!$E$56</f>
        <v>0.0175</v>
      </c>
    </row>
    <row r="16" customFormat="false" ht="15" hidden="false" customHeight="false" outlineLevel="0" collapsed="false">
      <c r="B16" s="9" t="s">
        <v>180</v>
      </c>
      <c r="C16" s="17" t="n">
        <f aca="false">Assumptions!$C$57</f>
        <v>0.009</v>
      </c>
      <c r="D16" s="17" t="n">
        <f aca="false">Assumptions!$D$57</f>
        <v>0.02</v>
      </c>
      <c r="E16" s="17" t="n">
        <f aca="false">Assumptions!$E$57</f>
        <v>0.011</v>
      </c>
    </row>
    <row r="17" customFormat="false" ht="15" hidden="false" customHeight="false" outlineLevel="0" collapsed="false">
      <c r="B17" s="9" t="s">
        <v>91</v>
      </c>
      <c r="C17" s="38" t="n">
        <f aca="false">Assumptions!$C$58</f>
        <v>0.175</v>
      </c>
      <c r="D17" s="38" t="n">
        <f aca="false">Assumptions!$D$58</f>
        <v>0</v>
      </c>
      <c r="E17" s="38" t="n">
        <f aca="false">Assumptions!$E$58</f>
        <v>0.2</v>
      </c>
    </row>
    <row r="18" customFormat="false" ht="15" hidden="false" customHeight="false" outlineLevel="0" collapsed="false">
      <c r="B18" s="9" t="s">
        <v>181</v>
      </c>
      <c r="C18" s="17" t="n">
        <f aca="false">BDC_Paths!$J$23</f>
        <v>0.120111</v>
      </c>
      <c r="D18" s="17" t="n">
        <f aca="false">BDC_Paths!$J$37</f>
        <v>0.1204</v>
      </c>
      <c r="E18" s="17" t="n">
        <f aca="false">BDC_Paths!$J$51</f>
        <v>0.133563</v>
      </c>
    </row>
    <row r="19" customFormat="false" ht="15" hidden="false" customHeight="false" outlineLevel="0" collapsed="false">
      <c r="B19" s="9" t="s">
        <v>182</v>
      </c>
      <c r="C19" s="17" t="n">
        <f aca="false">BDC_Paths!$J$24</f>
        <v>0.099091575</v>
      </c>
      <c r="D19" s="17" t="n">
        <f aca="false">BDC_Paths!$J$38</f>
        <v>0.1204</v>
      </c>
      <c r="E19" s="17" t="n">
        <f aca="false">BDC_Paths!$J$52</f>
        <v>0.1068504</v>
      </c>
    </row>
    <row r="20" customFormat="false" ht="15" hidden="false" customHeight="false" outlineLevel="0" collapsed="false">
      <c r="B20" s="9" t="s">
        <v>183</v>
      </c>
      <c r="C20" s="37" t="n">
        <f aca="false">BDC_Paths!$J$25</f>
        <v>0.495457875</v>
      </c>
      <c r="D20" s="37" t="n">
        <f aca="false">BDC_Paths!$J$39</f>
        <v>0.4214</v>
      </c>
      <c r="E20" s="37" t="n">
        <f aca="false">BDC_Paths!$J$53</f>
        <v>0.30051675</v>
      </c>
    </row>
    <row r="21" customFormat="false" ht="15" hidden="false" customHeight="false" outlineLevel="0" collapsed="false">
      <c r="B21" s="9" t="s">
        <v>184</v>
      </c>
      <c r="C21" s="19" t="n">
        <f aca="false">Assumptions!$C$52</f>
        <v>0.48</v>
      </c>
      <c r="D21" s="19" t="n">
        <f aca="false">Assumptions!$D$52</f>
        <v>0.4</v>
      </c>
      <c r="E21" s="19" t="n">
        <f aca="false">Assumptions!$E$52</f>
        <v>0.33</v>
      </c>
    </row>
    <row r="22" customFormat="false" ht="15" hidden="false" customHeight="false" outlineLevel="0" collapsed="false">
      <c r="B22" s="9" t="s">
        <v>185</v>
      </c>
      <c r="C22" s="17" t="n">
        <f aca="false">Assumptions!$C$59</f>
        <v>0.006</v>
      </c>
      <c r="D22" s="17" t="n">
        <f aca="false">Assumptions!$D$59</f>
        <v>0.005</v>
      </c>
      <c r="E22" s="17" t="n">
        <f aca="false">Assumptions!$E$59</f>
        <v>0.035</v>
      </c>
    </row>
    <row r="23" customFormat="false" ht="15" hidden="false" customHeight="false" outlineLevel="0" collapsed="false">
      <c r="B23" s="9" t="s">
        <v>186</v>
      </c>
      <c r="C23" s="37" t="n">
        <f aca="false">BDC_Paths!$M$28</f>
        <v>19.9397691870488</v>
      </c>
      <c r="D23" s="37" t="n">
        <f aca="false">BDC_Paths!$M$42</f>
        <v>14.0162881678798</v>
      </c>
      <c r="E23" s="37" t="n">
        <f aca="false">BDC_Paths!$M$56</f>
        <v>10.7243644259454</v>
      </c>
    </row>
    <row r="24" customFormat="false" ht="15" hidden="false" customHeight="false" outlineLevel="0" collapsed="false">
      <c r="B24" s="9" t="s">
        <v>187</v>
      </c>
      <c r="C24" s="37" t="n">
        <f aca="false">BDC_Paths!$Q$28</f>
        <v>19.8659450620228</v>
      </c>
      <c r="D24" s="37" t="n">
        <f aca="false">BDC_Paths!$Q$42</f>
        <v>14.0345389081471</v>
      </c>
      <c r="E24" s="37" t="n">
        <f aca="false">BDC_Paths!$Q$56</f>
        <v>10.3290821689262</v>
      </c>
    </row>
    <row r="25" customFormat="false" ht="15" hidden="false" customHeight="false" outlineLevel="0" collapsed="false">
      <c r="B25" s="9" t="s">
        <v>188</v>
      </c>
      <c r="C25" s="37" t="n">
        <f aca="false">BDC_Paths!$U$28</f>
        <v>19.7850347483796</v>
      </c>
      <c r="D25" s="37" t="n">
        <f aca="false">BDC_Paths!$U$42</f>
        <v>14.0491250556981</v>
      </c>
      <c r="E25" s="37" t="n">
        <f aca="false">BDC_Paths!$U$56</f>
        <v>9.94319046219924</v>
      </c>
    </row>
    <row r="26" customFormat="false" ht="15" hidden="false" customHeight="false" outlineLevel="0" collapsed="false">
      <c r="B26" s="9" t="s">
        <v>189</v>
      </c>
      <c r="C26" s="38" t="n">
        <f aca="false">BDC_Paths!$E$11</f>
        <v>-0.05</v>
      </c>
      <c r="D26" s="38" t="n">
        <f aca="false">BDC_Paths!$E$12</f>
        <v>0</v>
      </c>
      <c r="E26" s="38" t="n">
        <f aca="false">BDC_Paths!$E$13</f>
        <v>-0.25</v>
      </c>
    </row>
    <row r="27" customFormat="false" ht="15" hidden="false" customHeight="false" outlineLevel="0" collapsed="false">
      <c r="B27" s="9" t="s">
        <v>190</v>
      </c>
      <c r="C27" s="37" t="n">
        <f aca="false">BDC_Paths!$C$30</f>
        <v>18.7957830109606</v>
      </c>
      <c r="D27" s="37" t="n">
        <f aca="false">BDC_Paths!$C$44</f>
        <v>14.0491250556981</v>
      </c>
      <c r="E27" s="37" t="n">
        <f aca="false">BDC_Paths!$C$58</f>
        <v>7.45739284664943</v>
      </c>
    </row>
    <row r="28" customFormat="false" ht="15" hidden="false" customHeight="false" outlineLevel="0" collapsed="false">
      <c r="B28" s="9" t="s">
        <v>144</v>
      </c>
      <c r="C28" s="31" t="n">
        <f aca="false">BDC_Paths!$C$19</f>
        <v>1315.78947368421</v>
      </c>
      <c r="D28" s="31" t="n">
        <f aca="false">BDC_Paths!$C$33</f>
        <v>1666.66666666667</v>
      </c>
      <c r="E28" s="31" t="n">
        <f aca="false">BDC_Paths!$C$47</f>
        <v>2777.77777777778</v>
      </c>
    </row>
    <row r="29" customFormat="false" ht="15" hidden="false" customHeight="false" outlineLevel="0" collapsed="false">
      <c r="B29" s="9" t="s">
        <v>191</v>
      </c>
      <c r="C29" s="26" t="n">
        <f aca="false">BDC_Paths!$C$19*SUM(BDC_Paths!$J$26:$U$26)</f>
        <v>7578.94736842105</v>
      </c>
      <c r="D29" s="26" t="n">
        <f aca="false">BDC_Paths!$C$33*SUM(BDC_Paths!$J$40:$U$40)</f>
        <v>8000</v>
      </c>
      <c r="E29" s="26" t="n">
        <f aca="false">BDC_Paths!$C$47*SUM(BDC_Paths!$J$54:$U$54)</f>
        <v>9444.44444444445</v>
      </c>
    </row>
    <row r="30" customFormat="false" ht="15" hidden="false" customHeight="false" outlineLevel="0" collapsed="false">
      <c r="B30" s="9" t="s">
        <v>192</v>
      </c>
      <c r="C30" s="26" t="n">
        <f aca="false">BDC_Paths!$C$19*(BDC_Paths!$U$28-BDC_Paths!$I$28)*(1+BDC_Paths!$C$20)</f>
        <v>-268.706564525467</v>
      </c>
      <c r="D30" s="26" t="n">
        <f aca="false">BDC_Paths!$C$33*(BDC_Paths!$U$42-BDC_Paths!$I$42)*(1+BDC_Paths!$C$34)</f>
        <v>87.7233137465984</v>
      </c>
      <c r="E30" s="26" t="n">
        <f aca="false">BDC_Paths!$C$47*(BDC_Paths!$U$56-BDC_Paths!$I$56)*(1+BDC_Paths!$C$48)</f>
        <v>-2904.02119511281</v>
      </c>
    </row>
    <row r="31" customFormat="false" ht="15" hidden="false" customHeight="false" outlineLevel="0" collapsed="false">
      <c r="B31" s="9" t="s">
        <v>193</v>
      </c>
      <c r="C31" s="26" t="n">
        <f aca="false">BDC_Paths!$C$19*BDC_Paths!$U$28*(BDC_Paths!$E$11-BDC_Paths!$C$20)</f>
        <v>0</v>
      </c>
      <c r="D31" s="26" t="n">
        <f aca="false">BDC_Paths!$C$33*BDC_Paths!$U$42*(BDC_Paths!$E$12-BDC_Paths!$C$34)</f>
        <v>-1672.51488758311</v>
      </c>
      <c r="E31" s="26" t="n">
        <f aca="false">BDC_Paths!$C$47*BDC_Paths!$U$56*(BDC_Paths!$E$13-BDC_Paths!$C$48)</f>
        <v>-1380.99867530545</v>
      </c>
    </row>
    <row r="32" customFormat="false" ht="15" hidden="false" customHeight="false" outlineLevel="0" collapsed="false">
      <c r="B32" s="30" t="s">
        <v>194</v>
      </c>
      <c r="C32" s="36" t="n">
        <f aca="false">C29+C30+C31</f>
        <v>7310.24080389559</v>
      </c>
      <c r="D32" s="36" t="n">
        <f aca="false">D29+D30+D31</f>
        <v>6415.2084261635</v>
      </c>
      <c r="E32" s="36" t="n">
        <f aca="false">E29+E30+E31</f>
        <v>5159.42457402618</v>
      </c>
    </row>
    <row r="33" customFormat="false" ht="15" hidden="false" customHeight="false" outlineLevel="0" collapsed="false">
      <c r="B33" s="30" t="s">
        <v>195</v>
      </c>
      <c r="C33" s="29" t="n">
        <f aca="false">BDC_Paths!$H$62</f>
        <v>0.101582241333456</v>
      </c>
      <c r="D33" s="29" t="n">
        <f aca="false">BDC_Paths!$H$63</f>
        <v>0.0909166712365557</v>
      </c>
      <c r="E33" s="29" t="n">
        <f aca="false">BDC_Paths!$H$64</f>
        <v>0.0776161128438713</v>
      </c>
    </row>
    <row r="35" customFormat="false" ht="15" hidden="false" customHeight="false" outlineLevel="0" collapsed="false">
      <c r="B35" s="30" t="s">
        <v>196</v>
      </c>
      <c r="C35" s="29" t="n">
        <f aca="false">BDC_Paths!$H$66</f>
        <v>0.0903440091851642</v>
      </c>
    </row>
    <row r="37" customFormat="false" ht="15" hidden="false" customHeight="false" outlineLevel="0" collapsed="false">
      <c r="B37" s="7" t="s">
        <v>197</v>
      </c>
      <c r="C37" s="8"/>
      <c r="D37" s="8"/>
      <c r="E37" s="8"/>
      <c r="F37" s="8"/>
    </row>
    <row r="38" customFormat="false" ht="15" hidden="false" customHeight="false" outlineLevel="0" collapsed="false">
      <c r="B38" s="13" t="s">
        <v>126</v>
      </c>
      <c r="C38" s="14" t="s">
        <v>198</v>
      </c>
      <c r="D38" s="14" t="s">
        <v>199</v>
      </c>
      <c r="E38" s="14" t="s">
        <v>200</v>
      </c>
    </row>
    <row r="39" customFormat="false" ht="15" hidden="false" customHeight="false" outlineLevel="0" collapsed="false">
      <c r="B39" s="41" t="n">
        <v>1</v>
      </c>
      <c r="C39" s="37" t="n">
        <f aca="false">BDC_Paths!$J$53</f>
        <v>0.30051675</v>
      </c>
      <c r="D39" s="19" t="n">
        <f aca="false">BDC_Paths!$J$54</f>
        <v>0.33</v>
      </c>
      <c r="E39" s="42" t="n">
        <f aca="false">C39/D39</f>
        <v>0.910656818181818</v>
      </c>
    </row>
    <row r="40" customFormat="false" ht="15" hidden="false" customHeight="false" outlineLevel="0" collapsed="false">
      <c r="B40" s="41" t="n">
        <v>2</v>
      </c>
      <c r="C40" s="37" t="n">
        <f aca="false">BDC_Paths!$K$53</f>
        <v>0.29709965417355</v>
      </c>
      <c r="D40" s="19" t="n">
        <f aca="false">BDC_Paths!$K$54</f>
        <v>0.33</v>
      </c>
      <c r="E40" s="42" t="n">
        <f aca="false">C40/D40</f>
        <v>0.900301982344091</v>
      </c>
    </row>
    <row r="41" customFormat="false" ht="15" hidden="false" customHeight="false" outlineLevel="0" collapsed="false">
      <c r="B41" s="41" t="n">
        <v>3</v>
      </c>
      <c r="C41" s="37" t="n">
        <f aca="false">BDC_Paths!$L$53</f>
        <v>0.293621178421608</v>
      </c>
      <c r="D41" s="19" t="n">
        <f aca="false">BDC_Paths!$L$54</f>
        <v>0.33</v>
      </c>
      <c r="E41" s="42" t="n">
        <f aca="false">C41/D41</f>
        <v>0.889761146732145</v>
      </c>
    </row>
    <row r="42" customFormat="false" ht="15" hidden="false" customHeight="false" outlineLevel="0" collapsed="false">
      <c r="B42" s="41" t="n">
        <v>4</v>
      </c>
      <c r="C42" s="37" t="n">
        <f aca="false">BDC_Paths!$M$53</f>
        <v>0.290080220201124</v>
      </c>
      <c r="D42" s="19" t="n">
        <f aca="false">BDC_Paths!$M$54</f>
        <v>0.33</v>
      </c>
      <c r="E42" s="42" t="n">
        <f aca="false">C42/D42</f>
        <v>0.879030970306436</v>
      </c>
    </row>
    <row r="43" customFormat="false" ht="15" hidden="false" customHeight="false" outlineLevel="0" collapsed="false">
      <c r="B43" s="41" t="n">
        <v>5</v>
      </c>
      <c r="C43" s="37" t="n">
        <f aca="false">BDC_Paths!$N$53</f>
        <v>0.267876391940592</v>
      </c>
      <c r="D43" s="19" t="n">
        <f aca="false">BDC_Paths!$N$54</f>
        <v>0.33</v>
      </c>
      <c r="E43" s="42" t="n">
        <f aca="false">C43/D43</f>
        <v>0.811746642244217</v>
      </c>
    </row>
    <row r="44" customFormat="false" ht="15" hidden="false" customHeight="false" outlineLevel="0" collapsed="false">
      <c r="B44" s="41" t="n">
        <v>6</v>
      </c>
      <c r="C44" s="37" t="n">
        <f aca="false">BDC_Paths!$O$53</f>
        <v>0.263980731391921</v>
      </c>
      <c r="D44" s="19" t="n">
        <f aca="false">BDC_Paths!$O$54</f>
        <v>0.25</v>
      </c>
      <c r="E44" s="42" t="n">
        <f aca="false">C44/D44</f>
        <v>1.05592292556768</v>
      </c>
    </row>
    <row r="45" customFormat="false" ht="15" hidden="false" customHeight="false" outlineLevel="0" collapsed="false">
      <c r="B45" s="41" t="n">
        <v>7</v>
      </c>
      <c r="C45" s="37" t="n">
        <f aca="false">BDC_Paths!$P$53</f>
        <v>0.262020114895168</v>
      </c>
      <c r="D45" s="19" t="n">
        <f aca="false">BDC_Paths!$P$54</f>
        <v>0.25</v>
      </c>
      <c r="E45" s="42" t="n">
        <f aca="false">C45/D45</f>
        <v>1.04808045958067</v>
      </c>
    </row>
    <row r="46" customFormat="false" ht="15" hidden="false" customHeight="false" outlineLevel="0" collapsed="false">
      <c r="B46" s="41" t="n">
        <v>8</v>
      </c>
      <c r="C46" s="37" t="n">
        <f aca="false">BDC_Paths!$Q$53</f>
        <v>0.260027680925722</v>
      </c>
      <c r="D46" s="19" t="n">
        <f aca="false">BDC_Paths!$Q$54</f>
        <v>0.25</v>
      </c>
      <c r="E46" s="42" t="n">
        <f aca="false">C46/D46</f>
        <v>1.04011072370289</v>
      </c>
    </row>
    <row r="47" customFormat="false" ht="15" hidden="false" customHeight="false" outlineLevel="0" collapsed="false">
      <c r="B47" s="41" t="n">
        <v>9</v>
      </c>
      <c r="C47" s="37" t="n">
        <f aca="false">BDC_Paths!$R$53</f>
        <v>0.246060428336376</v>
      </c>
      <c r="D47" s="19" t="n">
        <f aca="false">BDC_Paths!$R$54</f>
        <v>0.25</v>
      </c>
      <c r="E47" s="42" t="n">
        <f aca="false">C47/D47</f>
        <v>0.984241713345505</v>
      </c>
    </row>
    <row r="48" customFormat="false" ht="15" hidden="false" customHeight="false" outlineLevel="0" collapsed="false">
      <c r="B48" s="41" t="n">
        <v>10</v>
      </c>
      <c r="C48" s="37" t="n">
        <f aca="false">BDC_Paths!$S$53</f>
        <v>0.243813550718305</v>
      </c>
      <c r="D48" s="19" t="n">
        <f aca="false">BDC_Paths!$S$54</f>
        <v>0.25</v>
      </c>
      <c r="E48" s="42" t="n">
        <f aca="false">C48/D48</f>
        <v>0.97525420287322</v>
      </c>
    </row>
    <row r="49" customFormat="false" ht="15" hidden="false" customHeight="false" outlineLevel="0" collapsed="false">
      <c r="B49" s="41" t="n">
        <v>11</v>
      </c>
      <c r="C49" s="37" t="n">
        <f aca="false">BDC_Paths!$T$53</f>
        <v>0.241532807936086</v>
      </c>
      <c r="D49" s="19" t="n">
        <f aca="false">BDC_Paths!$T$54</f>
        <v>0.25</v>
      </c>
      <c r="E49" s="42" t="n">
        <f aca="false">C49/D49</f>
        <v>0.966131231744345</v>
      </c>
    </row>
    <row r="50" customFormat="false" ht="15" hidden="false" customHeight="false" outlineLevel="0" collapsed="false">
      <c r="B50" s="41" t="n">
        <v>12</v>
      </c>
      <c r="C50" s="37" t="n">
        <f aca="false">BDC_Paths!$U$53</f>
        <v>0.23921768957058</v>
      </c>
      <c r="D50" s="19" t="n">
        <f aca="false">BDC_Paths!$U$54</f>
        <v>0.25</v>
      </c>
      <c r="E50" s="42" t="n">
        <f aca="false">C50/D50</f>
        <v>0.956870758282319</v>
      </c>
    </row>
    <row r="52" customFormat="false" ht="15" hidden="false" customHeight="false" outlineLevel="0" collapsed="false">
      <c r="B52" s="7" t="s">
        <v>201</v>
      </c>
      <c r="C52" s="8"/>
      <c r="D52" s="8"/>
    </row>
    <row r="53" customFormat="false" ht="15" hidden="false" customHeight="false" outlineLevel="0" collapsed="false">
      <c r="B53" s="9" t="s">
        <v>202</v>
      </c>
      <c r="C53" s="12" t="n">
        <v>1.5</v>
      </c>
    </row>
    <row r="54" customFormat="false" ht="15" hidden="false" customHeight="false" outlineLevel="0" collapsed="false">
      <c r="B54" s="9" t="s">
        <v>203</v>
      </c>
      <c r="C54" s="43" t="n">
        <f aca="false">1/($C$53-1)</f>
        <v>2</v>
      </c>
    </row>
    <row r="55" customFormat="false" ht="15" hidden="false" customHeight="false" outlineLevel="0" collapsed="false">
      <c r="B55" s="9" t="s">
        <v>202</v>
      </c>
      <c r="C55" s="12" t="n">
        <v>2</v>
      </c>
    </row>
    <row r="56" customFormat="false" ht="15" hidden="false" customHeight="false" outlineLevel="0" collapsed="false">
      <c r="B56" s="9" t="s">
        <v>203</v>
      </c>
      <c r="C56" s="43" t="n">
        <f aca="false">1/($C$55-1)</f>
        <v>1</v>
      </c>
    </row>
    <row r="58" customFormat="false" ht="15" hidden="false" customHeight="false" outlineLevel="0" collapsed="false">
      <c r="B58" s="7" t="s">
        <v>204</v>
      </c>
      <c r="C58" s="8"/>
      <c r="D58" s="8"/>
    </row>
    <row r="59" customFormat="false" ht="15" hidden="false" customHeight="false" outlineLevel="0" collapsed="false">
      <c r="B59" s="9" t="s">
        <v>205</v>
      </c>
      <c r="C59" s="17" t="n">
        <f aca="false">Assumptions!$C$56*(1+Assumptions!$C$54)</f>
        <v>0.0315</v>
      </c>
    </row>
    <row r="60" customFormat="false" ht="15" hidden="false" customHeight="false" outlineLevel="0" collapsed="false">
      <c r="B60" s="9" t="s">
        <v>180</v>
      </c>
      <c r="C60" s="17" t="n">
        <f aca="false">Assumptions!$C$57</f>
        <v>0.009</v>
      </c>
    </row>
    <row r="61" customFormat="false" ht="15" hidden="false" customHeight="false" outlineLevel="0" collapsed="false">
      <c r="B61" s="9" t="s">
        <v>206</v>
      </c>
      <c r="C61" s="17" t="n">
        <f aca="false">BDC_Paths!$J$23*Assumptions!$C$58</f>
        <v>0.021019425</v>
      </c>
    </row>
    <row r="62" customFormat="false" ht="15" hidden="false" customHeight="false" outlineLevel="0" collapsed="false">
      <c r="B62" s="30" t="s">
        <v>207</v>
      </c>
      <c r="C62" s="29" t="n">
        <f aca="false">SUM(C59:C61)</f>
        <v>0.061519425</v>
      </c>
    </row>
    <row r="64" customFormat="false" ht="15" hidden="false" customHeight="false" outlineLevel="0" collapsed="false">
      <c r="B64" s="7" t="s">
        <v>208</v>
      </c>
      <c r="C64" s="8"/>
      <c r="D64" s="8"/>
    </row>
    <row r="65" customFormat="false" ht="15" hidden="false" customHeight="false" outlineLevel="0" collapsed="false">
      <c r="B65" s="9" t="s">
        <v>205</v>
      </c>
      <c r="C65" s="17" t="n">
        <f aca="false">Assumptions!$C$56*(1+Assumptions!$C$54)</f>
        <v>0.0315</v>
      </c>
    </row>
    <row r="66" customFormat="false" ht="15" hidden="false" customHeight="false" outlineLevel="0" collapsed="false">
      <c r="B66" s="9" t="s">
        <v>180</v>
      </c>
      <c r="C66" s="17" t="n">
        <f aca="false">Assumptions!$C$57</f>
        <v>0.009</v>
      </c>
    </row>
    <row r="67" customFormat="false" ht="15" hidden="false" customHeight="false" outlineLevel="0" collapsed="false">
      <c r="B67" s="9" t="s">
        <v>206</v>
      </c>
      <c r="C67" s="17" t="n">
        <f aca="false">BDC_Paths!$J$23*Assumptions!$C$58</f>
        <v>0.021019425</v>
      </c>
    </row>
    <row r="68" customFormat="false" ht="15" hidden="false" customHeight="false" outlineLevel="0" collapsed="false">
      <c r="B68" s="30" t="s">
        <v>207</v>
      </c>
      <c r="C68" s="29" t="n">
        <f aca="false">SUM(C65:C67)</f>
        <v>0.061519425</v>
      </c>
    </row>
    <row r="69" customFormat="false" ht="15" hidden="false" customHeight="false" outlineLevel="0" collapsed="false">
      <c r="B69" s="9" t="s">
        <v>209</v>
      </c>
      <c r="C69" s="17" t="n">
        <f aca="false">Assumptions!$C$55*Assumptions!$C$54</f>
        <v>0.066</v>
      </c>
    </row>
    <row r="70" customFormat="false" ht="15" hidden="false" customHeight="false" outlineLevel="0" collapsed="false">
      <c r="B70" s="30" t="s">
        <v>210</v>
      </c>
      <c r="C70" s="29" t="n">
        <f aca="false">C68+C69</f>
        <v>0.127519425</v>
      </c>
    </row>
    <row r="72" customFormat="false" ht="15" hidden="false" customHeight="false" outlineLevel="0" collapsed="false">
      <c r="B72" s="7" t="s">
        <v>211</v>
      </c>
      <c r="C72" s="8"/>
      <c r="D72" s="8"/>
    </row>
    <row r="73" customFormat="false" ht="15" hidden="false" customHeight="false" outlineLevel="0" collapsed="false">
      <c r="B73" s="9" t="s">
        <v>205</v>
      </c>
      <c r="C73" s="17" t="n">
        <f aca="false">Assumptions!$D$56*(1+Assumptions!$D$54)</f>
        <v>0</v>
      </c>
    </row>
    <row r="74" customFormat="false" ht="15" hidden="false" customHeight="false" outlineLevel="0" collapsed="false">
      <c r="B74" s="9" t="s">
        <v>180</v>
      </c>
      <c r="C74" s="17" t="n">
        <f aca="false">Assumptions!$D$57</f>
        <v>0.02</v>
      </c>
    </row>
    <row r="75" customFormat="false" ht="15" hidden="false" customHeight="false" outlineLevel="0" collapsed="false">
      <c r="B75" s="9" t="s">
        <v>206</v>
      </c>
      <c r="C75" s="17" t="n">
        <f aca="false">BDC_Paths!$J$37*Assumptions!$D$58</f>
        <v>0</v>
      </c>
    </row>
    <row r="76" customFormat="false" ht="15" hidden="false" customHeight="false" outlineLevel="0" collapsed="false">
      <c r="B76" s="30" t="s">
        <v>207</v>
      </c>
      <c r="C76" s="29" t="n">
        <f aca="false">SUM(C73:C75)</f>
        <v>0.02</v>
      </c>
    </row>
    <row r="77" customFormat="false" ht="15" hidden="false" customHeight="false" outlineLevel="0" collapsed="false">
      <c r="B77" s="9" t="s">
        <v>209</v>
      </c>
      <c r="C77" s="17" t="n">
        <f aca="false">Assumptions!$D$55*Assumptions!$D$54</f>
        <v>0.058</v>
      </c>
    </row>
    <row r="78" customFormat="false" ht="15" hidden="false" customHeight="false" outlineLevel="0" collapsed="false">
      <c r="B78" s="30" t="s">
        <v>210</v>
      </c>
      <c r="C78" s="29" t="n">
        <f aca="false">C76+C77</f>
        <v>0.078</v>
      </c>
    </row>
    <row r="80" customFormat="false" ht="15" hidden="false" customHeight="false" outlineLevel="0" collapsed="false">
      <c r="B80" s="7" t="s">
        <v>212</v>
      </c>
      <c r="C80" s="8"/>
      <c r="D80" s="8"/>
    </row>
    <row r="81" customFormat="false" ht="15" hidden="false" customHeight="false" outlineLevel="0" collapsed="false">
      <c r="B81" s="9" t="s">
        <v>205</v>
      </c>
      <c r="C81" s="17" t="n">
        <f aca="false">Assumptions!$E$56*(1+Assumptions!$E$54)</f>
        <v>0.041125</v>
      </c>
    </row>
    <row r="82" customFormat="false" ht="15" hidden="false" customHeight="false" outlineLevel="0" collapsed="false">
      <c r="B82" s="9" t="s">
        <v>180</v>
      </c>
      <c r="C82" s="17" t="n">
        <f aca="false">Assumptions!$E$57</f>
        <v>0.011</v>
      </c>
    </row>
    <row r="83" customFormat="false" ht="15" hidden="false" customHeight="false" outlineLevel="0" collapsed="false">
      <c r="B83" s="9" t="s">
        <v>206</v>
      </c>
      <c r="C83" s="17" t="n">
        <f aca="false">BDC_Paths!$J$51*Assumptions!$E$58</f>
        <v>0.0267126</v>
      </c>
    </row>
    <row r="84" customFormat="false" ht="15" hidden="false" customHeight="false" outlineLevel="0" collapsed="false">
      <c r="B84" s="30" t="s">
        <v>207</v>
      </c>
      <c r="C84" s="29" t="n">
        <f aca="false">SUM(C81:C83)</f>
        <v>0.0788376</v>
      </c>
    </row>
    <row r="85" customFormat="false" ht="15" hidden="false" customHeight="false" outlineLevel="0" collapsed="false">
      <c r="B85" s="9" t="s">
        <v>209</v>
      </c>
      <c r="C85" s="17" t="n">
        <f aca="false">Assumptions!$E$55*Assumptions!$E$54</f>
        <v>0.0918</v>
      </c>
    </row>
    <row r="86" customFormat="false" ht="15" hidden="false" customHeight="false" outlineLevel="0" collapsed="false">
      <c r="B86" s="30" t="s">
        <v>210</v>
      </c>
      <c r="C86" s="29" t="n">
        <f aca="false">C84+C85</f>
        <v>0.1706376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213</v>
      </c>
    </row>
    <row r="3" customFormat="false" ht="15" hidden="false" customHeight="false" outlineLevel="0" collapsed="false">
      <c r="B3" s="6" t="s">
        <v>214</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215</v>
      </c>
      <c r="C8" s="44" t="n">
        <v>1</v>
      </c>
      <c r="D8" s="6" t="s">
        <v>216</v>
      </c>
    </row>
    <row r="9" customFormat="false" ht="15" hidden="false" customHeight="false" outlineLevel="0" collapsed="false">
      <c r="B9" s="9" t="s">
        <v>217</v>
      </c>
      <c r="C9" s="21" t="n">
        <v>0</v>
      </c>
      <c r="D9" s="6" t="s">
        <v>117</v>
      </c>
    </row>
    <row r="10" customFormat="false" ht="30" hidden="false" customHeight="true" outlineLevel="0" collapsed="false">
      <c r="B10" s="13" t="s">
        <v>218</v>
      </c>
      <c r="C10" s="14" t="s">
        <v>219</v>
      </c>
      <c r="D10" s="14" t="s">
        <v>81</v>
      </c>
      <c r="E10" s="14" t="s">
        <v>189</v>
      </c>
    </row>
    <row r="11" customFormat="false" ht="15" hidden="false" customHeight="false" outlineLevel="0" collapsed="false">
      <c r="B11" s="9" t="s">
        <v>64</v>
      </c>
      <c r="C11" s="24" t="s">
        <v>80</v>
      </c>
      <c r="D11" s="45" t="s">
        <v>125</v>
      </c>
      <c r="E11" s="38" t="n">
        <f aca="false">Assumptions!$C$65</f>
        <v>-0.05</v>
      </c>
    </row>
    <row r="12" customFormat="false" ht="15" hidden="false" customHeight="false" outlineLevel="0" collapsed="false">
      <c r="B12" s="9" t="s">
        <v>65</v>
      </c>
      <c r="C12" s="24" t="s">
        <v>80</v>
      </c>
      <c r="D12" s="45" t="s">
        <v>125</v>
      </c>
      <c r="E12" s="38" t="n">
        <f aca="false">Assumptions!$D$65</f>
        <v>0</v>
      </c>
    </row>
    <row r="13" customFormat="false" ht="15" hidden="false" customHeight="false" outlineLevel="0" collapsed="false">
      <c r="B13" s="9" t="s">
        <v>66</v>
      </c>
      <c r="C13" s="24" t="s">
        <v>80</v>
      </c>
      <c r="D13" s="45" t="s">
        <v>125</v>
      </c>
      <c r="E13" s="38" t="n">
        <f aca="false">Assumptions!$E$65</f>
        <v>-0.25</v>
      </c>
    </row>
    <row r="15" customFormat="false" ht="15" hidden="false" customHeight="false" outlineLevel="0" collapsed="false">
      <c r="B15" s="7" t="s">
        <v>126</v>
      </c>
      <c r="I15" s="33" t="n">
        <v>0</v>
      </c>
      <c r="J15" s="33" t="n">
        <v>1</v>
      </c>
      <c r="K15" s="33" t="n">
        <v>2</v>
      </c>
      <c r="L15" s="33" t="n">
        <v>3</v>
      </c>
      <c r="M15" s="33" t="n">
        <v>4</v>
      </c>
      <c r="N15" s="33" t="n">
        <v>5</v>
      </c>
      <c r="O15" s="33" t="n">
        <v>6</v>
      </c>
      <c r="P15" s="33" t="n">
        <v>7</v>
      </c>
      <c r="Q15" s="33" t="n">
        <v>8</v>
      </c>
      <c r="R15" s="33" t="n">
        <v>9</v>
      </c>
      <c r="S15" s="33" t="n">
        <v>10</v>
      </c>
      <c r="T15" s="33" t="n">
        <v>11</v>
      </c>
      <c r="U15" s="33" t="n">
        <v>12</v>
      </c>
      <c r="V15" s="33" t="n">
        <v>13</v>
      </c>
      <c r="W15" s="33" t="n">
        <v>14</v>
      </c>
      <c r="X15" s="33" t="n">
        <v>15</v>
      </c>
      <c r="Y15" s="33" t="n">
        <v>16</v>
      </c>
    </row>
    <row r="16" customFormat="false" ht="15" hidden="false" customHeight="false" outlineLevel="0" collapsed="false">
      <c r="B16" s="9" t="s">
        <v>127</v>
      </c>
      <c r="I16" s="17" t="n">
        <f aca="false">IF(I$15=0,Assumptions!$C$6,Assumptions!$C$6+$C$6+IF(I$15&gt;=5,$C$7,0))</f>
        <v>0.04</v>
      </c>
      <c r="J16" s="17" t="n">
        <f aca="false">IF(J$15=0,Assumptions!$C$6,Assumptions!$C$6+$C$6+IF(J$15&gt;=5,$C$7,0))</f>
        <v>0.04</v>
      </c>
      <c r="K16" s="17" t="n">
        <f aca="false">IF(K$15=0,Assumptions!$C$6,Assumptions!$C$6+$C$6+IF(K$15&gt;=5,$C$7,0))</f>
        <v>0.04</v>
      </c>
      <c r="L16" s="17" t="n">
        <f aca="false">IF(L$15=0,Assumptions!$C$6,Assumptions!$C$6+$C$6+IF(L$15&gt;=5,$C$7,0))</f>
        <v>0.04</v>
      </c>
      <c r="M16" s="17" t="n">
        <f aca="false">IF(M$15=0,Assumptions!$C$6,Assumptions!$C$6+$C$6+IF(M$15&gt;=5,$C$7,0))</f>
        <v>0.04</v>
      </c>
      <c r="N16" s="17" t="n">
        <f aca="false">IF(N$15=0,Assumptions!$C$6,Assumptions!$C$6+$C$6+IF(N$15&gt;=5,$C$7,0))</f>
        <v>0.04</v>
      </c>
      <c r="O16" s="17" t="n">
        <f aca="false">IF(O$15=0,Assumptions!$C$6,Assumptions!$C$6+$C$6+IF(O$15&gt;=5,$C$7,0))</f>
        <v>0.04</v>
      </c>
      <c r="P16" s="17" t="n">
        <f aca="false">IF(P$15=0,Assumptions!$C$6,Assumptions!$C$6+$C$6+IF(P$15&gt;=5,$C$7,0))</f>
        <v>0.04</v>
      </c>
      <c r="Q16" s="17" t="n">
        <f aca="false">IF(Q$15=0,Assumptions!$C$6,Assumptions!$C$6+$C$6+IF(Q$15&gt;=5,$C$7,0))</f>
        <v>0.04</v>
      </c>
      <c r="R16" s="17" t="n">
        <f aca="false">IF(R$15=0,Assumptions!$C$6,Assumptions!$C$6+$C$6+IF(R$15&gt;=5,$C$7,0))</f>
        <v>0.04</v>
      </c>
      <c r="S16" s="17" t="n">
        <f aca="false">IF(S$15=0,Assumptions!$C$6,Assumptions!$C$6+$C$6+IF(S$15&gt;=5,$C$7,0))</f>
        <v>0.04</v>
      </c>
      <c r="T16" s="17" t="n">
        <f aca="false">IF(T$15=0,Assumptions!$C$6,Assumptions!$C$6+$C$6+IF(T$15&gt;=5,$C$7,0))</f>
        <v>0.04</v>
      </c>
      <c r="U16" s="17" t="n">
        <f aca="false">IF(U$15=0,Assumptions!$C$6,Assumptions!$C$6+$C$6+IF(U$15&gt;=5,$C$7,0))</f>
        <v>0.04</v>
      </c>
      <c r="V16" s="17" t="n">
        <f aca="false">IF(V$15=0,Assumptions!$C$6,Assumptions!$C$6+$C$6+IF(V$15&gt;=5,$C$7,0))</f>
        <v>0.04</v>
      </c>
      <c r="W16" s="17" t="n">
        <f aca="false">IF(W$15=0,Assumptions!$C$6,Assumptions!$C$6+$C$6+IF(W$15&gt;=5,$C$7,0))</f>
        <v>0.04</v>
      </c>
      <c r="X16" s="17" t="n">
        <f aca="false">IF(X$15=0,Assumptions!$C$6,Assumptions!$C$6+$C$6+IF(X$15&gt;=5,$C$7,0))</f>
        <v>0.04</v>
      </c>
      <c r="Y16" s="17" t="n">
        <f aca="false">IF(Y$15=0,Assumptions!$C$6,Assumptions!$C$6+$C$6+IF(Y$15&gt;=5,$C$7,0))</f>
        <v>0.04</v>
      </c>
    </row>
    <row r="18" customFormat="false" ht="15" hidden="false" customHeight="false" outlineLevel="0" collapsed="false">
      <c r="B18" s="7" t="s">
        <v>220</v>
      </c>
      <c r="C18" s="8"/>
      <c r="D18" s="8"/>
      <c r="E18" s="8"/>
      <c r="F18" s="8"/>
      <c r="G18" s="8"/>
      <c r="H18" s="8"/>
      <c r="I18" s="8"/>
      <c r="J18" s="8"/>
      <c r="K18" s="8"/>
      <c r="L18" s="8"/>
      <c r="M18" s="8"/>
      <c r="N18" s="8"/>
      <c r="O18" s="8"/>
      <c r="P18" s="8"/>
      <c r="Q18" s="8"/>
      <c r="R18" s="8"/>
      <c r="S18" s="8"/>
      <c r="T18" s="8"/>
      <c r="U18" s="8"/>
    </row>
    <row r="19" customFormat="false" ht="15" hidden="false" customHeight="false" outlineLevel="0" collapsed="false">
      <c r="B19" s="9" t="s">
        <v>144</v>
      </c>
      <c r="C19" s="31" t="n">
        <f aca="false">Assumptions!$C$48/Assumptions!$C$50</f>
        <v>1315.78947368421</v>
      </c>
    </row>
    <row r="20" customFormat="false" ht="15" hidden="false" customHeight="false" outlineLevel="0" collapsed="false">
      <c r="B20" s="9" t="s">
        <v>221</v>
      </c>
      <c r="C20" s="38" t="n">
        <f aca="false">Assumptions!$C$50/Assumptions!$C$51-1</f>
        <v>-0.05</v>
      </c>
    </row>
    <row r="21" customFormat="false" ht="15" hidden="false" customHeight="false" outlineLevel="0" collapsed="false">
      <c r="B21" s="9" t="s">
        <v>222</v>
      </c>
      <c r="J21" s="38" t="n">
        <f aca="false">IF(J$15&lt;=4,Assumptions!$C$60,IF(J$15&lt;=8,Assumptions!$C$61,Assumptions!$C$62))+IF(J$15&gt;=5,$C$9,0)</f>
        <v>0.01</v>
      </c>
      <c r="K21" s="38" t="n">
        <f aca="false">IF(K$15&lt;=4,Assumptions!$C$60,IF(K$15&lt;=8,Assumptions!$C$61,Assumptions!$C$62))+IF(K$15&gt;=5,$C$9,0)</f>
        <v>0.01</v>
      </c>
      <c r="L21" s="38" t="n">
        <f aca="false">IF(L$15&lt;=4,Assumptions!$C$60,IF(L$15&lt;=8,Assumptions!$C$61,Assumptions!$C$62))+IF(L$15&gt;=5,$C$9,0)</f>
        <v>0.01</v>
      </c>
      <c r="M21" s="38" t="n">
        <f aca="false">IF(M$15&lt;=4,Assumptions!$C$60,IF(M$15&lt;=8,Assumptions!$C$61,Assumptions!$C$62))+IF(M$15&gt;=5,$C$9,0)</f>
        <v>0.01</v>
      </c>
      <c r="N21" s="38" t="n">
        <f aca="false">IF(N$15&lt;=4,Assumptions!$C$60,IF(N$15&lt;=8,Assumptions!$C$61,Assumptions!$C$62))+IF(N$15&gt;=5,$C$9,0)</f>
        <v>0.012</v>
      </c>
      <c r="O21" s="38" t="n">
        <f aca="false">IF(O$15&lt;=4,Assumptions!$C$60,IF(O$15&lt;=8,Assumptions!$C$61,Assumptions!$C$62))+IF(O$15&gt;=5,$C$9,0)</f>
        <v>0.012</v>
      </c>
      <c r="P21" s="38" t="n">
        <f aca="false">IF(P$15&lt;=4,Assumptions!$C$60,IF(P$15&lt;=8,Assumptions!$C$61,Assumptions!$C$62))+IF(P$15&gt;=5,$C$9,0)</f>
        <v>0.012</v>
      </c>
      <c r="Q21" s="38" t="n">
        <f aca="false">IF(Q$15&lt;=4,Assumptions!$C$60,IF(Q$15&lt;=8,Assumptions!$C$61,Assumptions!$C$62))+IF(Q$15&gt;=5,$C$9,0)</f>
        <v>0.012</v>
      </c>
      <c r="R21" s="38" t="n">
        <f aca="false">IF(R$15&lt;=4,Assumptions!$C$60,IF(R$15&lt;=8,Assumptions!$C$61,Assumptions!$C$62))+IF(R$15&gt;=5,$C$9,0)</f>
        <v>0.012</v>
      </c>
      <c r="S21" s="38" t="n">
        <f aca="false">IF(S$15&lt;=4,Assumptions!$C$60,IF(S$15&lt;=8,Assumptions!$C$61,Assumptions!$C$62))+IF(S$15&gt;=5,$C$9,0)</f>
        <v>0.012</v>
      </c>
      <c r="T21" s="38" t="n">
        <f aca="false">IF(T$15&lt;=4,Assumptions!$C$60,IF(T$15&lt;=8,Assumptions!$C$61,Assumptions!$C$62))+IF(T$15&gt;=5,$C$9,0)</f>
        <v>0.012</v>
      </c>
      <c r="U21" s="38" t="n">
        <f aca="false">IF(U$15&lt;=4,Assumptions!$C$60,IF(U$15&lt;=8,Assumptions!$C$61,Assumptions!$C$62))+IF(U$15&gt;=5,$C$9,0)</f>
        <v>0.012</v>
      </c>
    </row>
    <row r="22" customFormat="false" ht="15" hidden="false" customHeight="false" outlineLevel="0" collapsed="false">
      <c r="B22" s="9" t="s">
        <v>223</v>
      </c>
      <c r="J22" s="17" t="n">
        <f aca="false">J16+Assumptions!$C$53</f>
        <v>0.109</v>
      </c>
      <c r="K22" s="17" t="n">
        <f aca="false">K16+Assumptions!$C$53</f>
        <v>0.109</v>
      </c>
      <c r="L22" s="17" t="n">
        <f aca="false">L16+Assumptions!$C$53</f>
        <v>0.109</v>
      </c>
      <c r="M22" s="17" t="n">
        <f aca="false">M16+Assumptions!$C$53</f>
        <v>0.109</v>
      </c>
      <c r="N22" s="17" t="n">
        <f aca="false">N16+Assumptions!$C$53</f>
        <v>0.109</v>
      </c>
      <c r="O22" s="17" t="n">
        <f aca="false">O16+Assumptions!$C$53</f>
        <v>0.109</v>
      </c>
      <c r="P22" s="17" t="n">
        <f aca="false">P16+Assumptions!$C$53</f>
        <v>0.109</v>
      </c>
      <c r="Q22" s="17" t="n">
        <f aca="false">Q16+Assumptions!$C$53</f>
        <v>0.109</v>
      </c>
      <c r="R22" s="17" t="n">
        <f aca="false">R16+Assumptions!$C$53</f>
        <v>0.109</v>
      </c>
      <c r="S22" s="17" t="n">
        <f aca="false">S16+Assumptions!$C$53</f>
        <v>0.109</v>
      </c>
      <c r="T22" s="17" t="n">
        <f aca="false">T16+Assumptions!$C$53</f>
        <v>0.109</v>
      </c>
      <c r="U22" s="17" t="n">
        <f aca="false">U16+Assumptions!$C$53</f>
        <v>0.109</v>
      </c>
    </row>
    <row r="23" customFormat="false" ht="15" hidden="false" customHeight="false" outlineLevel="0" collapsed="false">
      <c r="B23" s="9" t="s">
        <v>224</v>
      </c>
      <c r="J23" s="17" t="n">
        <f aca="false">J22*(1-J21)*(1+Assumptions!$C$54)-Assumptions!$C$55*Assumptions!$C$54-Assumptions!$C$56*(1+Assumptions!$C$54)-Assumptions!$C$57</f>
        <v>0.120111</v>
      </c>
      <c r="K23" s="17" t="n">
        <f aca="false">K22*(1-K21)*(1+Assumptions!$C$54)-Assumptions!$C$55*Assumptions!$C$54-Assumptions!$C$56*(1+Assumptions!$C$54)-Assumptions!$C$57</f>
        <v>0.120111</v>
      </c>
      <c r="L23" s="17" t="n">
        <f aca="false">L22*(1-L21)*(1+Assumptions!$C$54)-Assumptions!$C$55*Assumptions!$C$54-Assumptions!$C$56*(1+Assumptions!$C$54)-Assumptions!$C$57</f>
        <v>0.120111</v>
      </c>
      <c r="M23" s="17" t="n">
        <f aca="false">M22*(1-M21)*(1+Assumptions!$C$54)-Assumptions!$C$55*Assumptions!$C$54-Assumptions!$C$56*(1+Assumptions!$C$54)-Assumptions!$C$57</f>
        <v>0.120111</v>
      </c>
      <c r="N23" s="17" t="n">
        <f aca="false">N22*(1-N21)*(1+Assumptions!$C$54)-Assumptions!$C$55*Assumptions!$C$54-Assumptions!$C$56*(1+Assumptions!$C$54)-Assumptions!$C$57</f>
        <v>0.1196532</v>
      </c>
      <c r="O23" s="17" t="n">
        <f aca="false">O22*(1-O21)*(1+Assumptions!$C$54)-Assumptions!$C$55*Assumptions!$C$54-Assumptions!$C$56*(1+Assumptions!$C$54)-Assumptions!$C$57</f>
        <v>0.1196532</v>
      </c>
      <c r="P23" s="17" t="n">
        <f aca="false">P22*(1-P21)*(1+Assumptions!$C$54)-Assumptions!$C$55*Assumptions!$C$54-Assumptions!$C$56*(1+Assumptions!$C$54)-Assumptions!$C$57</f>
        <v>0.1196532</v>
      </c>
      <c r="Q23" s="17" t="n">
        <f aca="false">Q22*(1-Q21)*(1+Assumptions!$C$54)-Assumptions!$C$55*Assumptions!$C$54-Assumptions!$C$56*(1+Assumptions!$C$54)-Assumptions!$C$57</f>
        <v>0.1196532</v>
      </c>
      <c r="R23" s="17" t="n">
        <f aca="false">R22*(1-R21)*(1+Assumptions!$C$54)-Assumptions!$C$55*Assumptions!$C$54-Assumptions!$C$56*(1+Assumptions!$C$54)-Assumptions!$C$57</f>
        <v>0.1196532</v>
      </c>
      <c r="S23" s="17" t="n">
        <f aca="false">S22*(1-S21)*(1+Assumptions!$C$54)-Assumptions!$C$55*Assumptions!$C$54-Assumptions!$C$56*(1+Assumptions!$C$54)-Assumptions!$C$57</f>
        <v>0.1196532</v>
      </c>
      <c r="T23" s="17" t="n">
        <f aca="false">T22*(1-T21)*(1+Assumptions!$C$54)-Assumptions!$C$55*Assumptions!$C$54-Assumptions!$C$56*(1+Assumptions!$C$54)-Assumptions!$C$57</f>
        <v>0.1196532</v>
      </c>
      <c r="U23" s="17" t="n">
        <f aca="false">U22*(1-U21)*(1+Assumptions!$C$54)-Assumptions!$C$55*Assumptions!$C$54-Assumptions!$C$56*(1+Assumptions!$C$54)-Assumptions!$C$57</f>
        <v>0.1196532</v>
      </c>
    </row>
    <row r="24" customFormat="false" ht="15" hidden="false" customHeight="false" outlineLevel="0" collapsed="false">
      <c r="B24" s="9" t="s">
        <v>225</v>
      </c>
      <c r="J24" s="17" t="n">
        <f aca="false">J23*(1-Assumptions!$C$58)</f>
        <v>0.099091575</v>
      </c>
      <c r="K24" s="17" t="n">
        <f aca="false">K23*(1-Assumptions!$C$58)</f>
        <v>0.099091575</v>
      </c>
      <c r="L24" s="17" t="n">
        <f aca="false">L23*(1-Assumptions!$C$58)</f>
        <v>0.099091575</v>
      </c>
      <c r="M24" s="17" t="n">
        <f aca="false">M23*(1-Assumptions!$C$58)</f>
        <v>0.099091575</v>
      </c>
      <c r="N24" s="17" t="n">
        <f aca="false">N23*(1-Assumptions!$C$58)</f>
        <v>0.09871389</v>
      </c>
      <c r="O24" s="17" t="n">
        <f aca="false">O23*(1-Assumptions!$C$58)</f>
        <v>0.09871389</v>
      </c>
      <c r="P24" s="17" t="n">
        <f aca="false">P23*(1-Assumptions!$C$58)</f>
        <v>0.09871389</v>
      </c>
      <c r="Q24" s="17" t="n">
        <f aca="false">Q23*(1-Assumptions!$C$58)</f>
        <v>0.09871389</v>
      </c>
      <c r="R24" s="17" t="n">
        <f aca="false">R23*(1-Assumptions!$C$58)</f>
        <v>0.09871389</v>
      </c>
      <c r="S24" s="17" t="n">
        <f aca="false">S23*(1-Assumptions!$C$58)</f>
        <v>0.09871389</v>
      </c>
      <c r="T24" s="17" t="n">
        <f aca="false">T23*(1-Assumptions!$C$58)</f>
        <v>0.09871389</v>
      </c>
      <c r="U24" s="17" t="n">
        <f aca="false">U23*(1-Assumptions!$C$58)</f>
        <v>0.09871389</v>
      </c>
    </row>
    <row r="25" customFormat="false" ht="15" hidden="false" customHeight="false" outlineLevel="0" collapsed="false">
      <c r="B25" s="9" t="s">
        <v>226</v>
      </c>
      <c r="J25" s="37" t="n">
        <f aca="false">I28*J24/4</f>
        <v>0.495457875</v>
      </c>
      <c r="K25" s="37" t="n">
        <f aca="false">J28*K24/4</f>
        <v>0.495097624482476</v>
      </c>
      <c r="L25" s="37" t="n">
        <f aca="false">K28*L24/4</f>
        <v>0.494728989892934</v>
      </c>
      <c r="M25" s="37" t="n">
        <f aca="false">L28*M24/4</f>
        <v>0.494351776109757</v>
      </c>
      <c r="N25" s="37" t="n">
        <f aca="false">M28*N24/4</f>
        <v>0.49208304553893</v>
      </c>
      <c r="O25" s="37" t="n">
        <f aca="false">N28*O24/4</f>
        <v>0.491643112077671</v>
      </c>
      <c r="P25" s="37" t="n">
        <f aca="false">O28*P24/4</f>
        <v>0.491192981630777</v>
      </c>
      <c r="Q25" s="37" t="n">
        <f aca="false">P28*Q24/4</f>
        <v>0.490732417847699</v>
      </c>
      <c r="R25" s="37" t="n">
        <f aca="false">Q28*R24/4</f>
        <v>0.490261178899641</v>
      </c>
      <c r="S25" s="37" t="n">
        <f aca="false">R28*S24/4</f>
        <v>0.489779017352584</v>
      </c>
      <c r="T25" s="37" t="n">
        <f aca="false">S28*T24/4</f>
        <v>0.489285680037368</v>
      </c>
      <c r="U25" s="37" t="n">
        <f aca="false">T28*U24/4</f>
        <v>0.488780907916758</v>
      </c>
    </row>
    <row r="26" customFormat="false" ht="15" hidden="false" customHeight="false" outlineLevel="0" collapsed="false">
      <c r="B26" s="9" t="s">
        <v>227</v>
      </c>
      <c r="J26" s="19" t="n">
        <f aca="false">IF(ISNUMBER($C$11),IF(J$15&gt;=$C$11,$D$11,IF(ISNUMBER(Assumptions!$C$63),IF(J$15&gt;=Assumptions!$C$63,Assumptions!$C$64,Assumptions!$C$52),Assumptions!$C$52)),IF(ISNUMBER(Assumptions!$C$63),IF(J$15&gt;=Assumptions!$C$63,Assumptions!$C$64,Assumptions!$C$52),Assumptions!$C$52))</f>
        <v>0.48</v>
      </c>
      <c r="K26" s="19" t="n">
        <f aca="false">IF(ISNUMBER($C$11),IF(K$15&gt;=$C$11,$D$11,IF(ISNUMBER(Assumptions!$C$63),IF(K$15&gt;=Assumptions!$C$63,Assumptions!$C$64,Assumptions!$C$52),Assumptions!$C$52)),IF(ISNUMBER(Assumptions!$C$63),IF(K$15&gt;=Assumptions!$C$63,Assumptions!$C$64,Assumptions!$C$52),Assumptions!$C$52))</f>
        <v>0.48</v>
      </c>
      <c r="L26" s="19" t="n">
        <f aca="false">IF(ISNUMBER($C$11),IF(L$15&gt;=$C$11,$D$11,IF(ISNUMBER(Assumptions!$C$63),IF(L$15&gt;=Assumptions!$C$63,Assumptions!$C$64,Assumptions!$C$52),Assumptions!$C$52)),IF(ISNUMBER(Assumptions!$C$63),IF(L$15&gt;=Assumptions!$C$63,Assumptions!$C$64,Assumptions!$C$52),Assumptions!$C$52))</f>
        <v>0.48</v>
      </c>
      <c r="M26" s="19" t="n">
        <f aca="false">IF(ISNUMBER($C$11),IF(M$15&gt;=$C$11,$D$11,IF(ISNUMBER(Assumptions!$C$63),IF(M$15&gt;=Assumptions!$C$63,Assumptions!$C$64,Assumptions!$C$52),Assumptions!$C$52)),IF(ISNUMBER(Assumptions!$C$63),IF(M$15&gt;=Assumptions!$C$63,Assumptions!$C$64,Assumptions!$C$52),Assumptions!$C$52))</f>
        <v>0.48</v>
      </c>
      <c r="N26" s="19" t="n">
        <f aca="false">IF(ISNUMBER($C$11),IF(N$15&gt;=$C$11,$D$11,IF(ISNUMBER(Assumptions!$C$63),IF(N$15&gt;=Assumptions!$C$63,Assumptions!$C$64,Assumptions!$C$52),Assumptions!$C$52)),IF(ISNUMBER(Assumptions!$C$63),IF(N$15&gt;=Assumptions!$C$63,Assumptions!$C$64,Assumptions!$C$52),Assumptions!$C$52))</f>
        <v>0.48</v>
      </c>
      <c r="O26" s="19" t="n">
        <f aca="false">IF(ISNUMBER($C$11),IF(O$15&gt;=$C$11,$D$11,IF(ISNUMBER(Assumptions!$C$63),IF(O$15&gt;=Assumptions!$C$63,Assumptions!$C$64,Assumptions!$C$52),Assumptions!$C$52)),IF(ISNUMBER(Assumptions!$C$63),IF(O$15&gt;=Assumptions!$C$63,Assumptions!$C$64,Assumptions!$C$52),Assumptions!$C$52))</f>
        <v>0.48</v>
      </c>
      <c r="P26" s="19" t="n">
        <f aca="false">IF(ISNUMBER($C$11),IF(P$15&gt;=$C$11,$D$11,IF(ISNUMBER(Assumptions!$C$63),IF(P$15&gt;=Assumptions!$C$63,Assumptions!$C$64,Assumptions!$C$52),Assumptions!$C$52)),IF(ISNUMBER(Assumptions!$C$63),IF(P$15&gt;=Assumptions!$C$63,Assumptions!$C$64,Assumptions!$C$52),Assumptions!$C$52))</f>
        <v>0.48</v>
      </c>
      <c r="Q26" s="19" t="n">
        <f aca="false">IF(ISNUMBER($C$11),IF(Q$15&gt;=$C$11,$D$11,IF(ISNUMBER(Assumptions!$C$63),IF(Q$15&gt;=Assumptions!$C$63,Assumptions!$C$64,Assumptions!$C$52),Assumptions!$C$52)),IF(ISNUMBER(Assumptions!$C$63),IF(Q$15&gt;=Assumptions!$C$63,Assumptions!$C$64,Assumptions!$C$52),Assumptions!$C$52))</f>
        <v>0.48</v>
      </c>
      <c r="R26" s="19" t="n">
        <f aca="false">IF(ISNUMBER($C$11),IF(R$15&gt;=$C$11,$D$11,IF(ISNUMBER(Assumptions!$C$63),IF(R$15&gt;=Assumptions!$C$63,Assumptions!$C$64,Assumptions!$C$52),Assumptions!$C$52)),IF(ISNUMBER(Assumptions!$C$63),IF(R$15&gt;=Assumptions!$C$63,Assumptions!$C$64,Assumptions!$C$52),Assumptions!$C$52))</f>
        <v>0.48</v>
      </c>
      <c r="S26" s="19" t="n">
        <f aca="false">IF(ISNUMBER($C$11),IF(S$15&gt;=$C$11,$D$11,IF(ISNUMBER(Assumptions!$C$63),IF(S$15&gt;=Assumptions!$C$63,Assumptions!$C$64,Assumptions!$C$52),Assumptions!$C$52)),IF(ISNUMBER(Assumptions!$C$63),IF(S$15&gt;=Assumptions!$C$63,Assumptions!$C$64,Assumptions!$C$52),Assumptions!$C$52))</f>
        <v>0.48</v>
      </c>
      <c r="T26" s="19" t="n">
        <f aca="false">IF(ISNUMBER($C$11),IF(T$15&gt;=$C$11,$D$11,IF(ISNUMBER(Assumptions!$C$63),IF(T$15&gt;=Assumptions!$C$63,Assumptions!$C$64,Assumptions!$C$52),Assumptions!$C$52)),IF(ISNUMBER(Assumptions!$C$63),IF(T$15&gt;=Assumptions!$C$63,Assumptions!$C$64,Assumptions!$C$52),Assumptions!$C$52))</f>
        <v>0.48</v>
      </c>
      <c r="U26" s="19" t="n">
        <f aca="false">IF(ISNUMBER($C$11),IF(U$15&gt;=$C$11,$D$11,IF(ISNUMBER(Assumptions!$C$63),IF(U$15&gt;=Assumptions!$C$63,Assumptions!$C$64,Assumptions!$C$52),Assumptions!$C$52)),IF(ISNUMBER(Assumptions!$C$63),IF(U$15&gt;=Assumptions!$C$63,Assumptions!$C$64,Assumptions!$C$52),Assumptions!$C$52))</f>
        <v>0.48</v>
      </c>
    </row>
    <row r="27" customFormat="false" ht="15" hidden="false" customHeight="false" outlineLevel="0" collapsed="false">
      <c r="B27" s="9" t="s">
        <v>228</v>
      </c>
      <c r="J27" s="17" t="n">
        <f aca="false">Assumptions!$C$59*IF(AND(J$15&gt;=5,J$15&lt;=8),$C$8,1)</f>
        <v>0.006</v>
      </c>
      <c r="K27" s="17" t="n">
        <f aca="false">Assumptions!$C$59*IF(AND(K$15&gt;=5,K$15&lt;=8),$C$8,1)</f>
        <v>0.006</v>
      </c>
      <c r="L27" s="17" t="n">
        <f aca="false">Assumptions!$C$59*IF(AND(L$15&gt;=5,L$15&lt;=8),$C$8,1)</f>
        <v>0.006</v>
      </c>
      <c r="M27" s="17" t="n">
        <f aca="false">Assumptions!$C$59*IF(AND(M$15&gt;=5,M$15&lt;=8),$C$8,1)</f>
        <v>0.006</v>
      </c>
      <c r="N27" s="17" t="n">
        <f aca="false">Assumptions!$C$59*IF(AND(N$15&gt;=5,N$15&lt;=8),$C$8,1)</f>
        <v>0.006</v>
      </c>
      <c r="O27" s="17" t="n">
        <f aca="false">Assumptions!$C$59*IF(AND(O$15&gt;=5,O$15&lt;=8),$C$8,1)</f>
        <v>0.006</v>
      </c>
      <c r="P27" s="17" t="n">
        <f aca="false">Assumptions!$C$59*IF(AND(P$15&gt;=5,P$15&lt;=8),$C$8,1)</f>
        <v>0.006</v>
      </c>
      <c r="Q27" s="17" t="n">
        <f aca="false">Assumptions!$C$59*IF(AND(Q$15&gt;=5,Q$15&lt;=8),$C$8,1)</f>
        <v>0.006</v>
      </c>
      <c r="R27" s="17" t="n">
        <f aca="false">Assumptions!$C$59*IF(AND(R$15&gt;=5,R$15&lt;=8),$C$8,1)</f>
        <v>0.006</v>
      </c>
      <c r="S27" s="17" t="n">
        <f aca="false">Assumptions!$C$59*IF(AND(S$15&gt;=5,S$15&lt;=8),$C$8,1)</f>
        <v>0.006</v>
      </c>
      <c r="T27" s="17" t="n">
        <f aca="false">Assumptions!$C$59*IF(AND(T$15&gt;=5,T$15&lt;=8),$C$8,1)</f>
        <v>0.006</v>
      </c>
      <c r="U27" s="17" t="n">
        <f aca="false">Assumptions!$C$59*IF(AND(U$15&gt;=5,U$15&lt;=8),$C$8,1)</f>
        <v>0.006</v>
      </c>
    </row>
    <row r="28" customFormat="false" ht="15" hidden="false" customHeight="false" outlineLevel="0" collapsed="false">
      <c r="B28" s="9" t="s">
        <v>229</v>
      </c>
      <c r="I28" s="37" t="n">
        <f aca="false">Assumptions!$C$51</f>
        <v>20</v>
      </c>
      <c r="J28" s="37" t="n">
        <f aca="false">I28+J25-J26-I28*J27/4</f>
        <v>19.985457875</v>
      </c>
      <c r="K28" s="37" t="n">
        <f aca="false">J28+K25-K26-J28*K27/4</f>
        <v>19.97057731267</v>
      </c>
      <c r="L28" s="37" t="n">
        <f aca="false">K28+L25-L26-K28*L27/4</f>
        <v>19.9553504365939</v>
      </c>
      <c r="M28" s="37" t="n">
        <f aca="false">L28+M25-M26-L28*M27/4</f>
        <v>19.9397691870488</v>
      </c>
      <c r="N28" s="37" t="n">
        <f aca="false">M28+N25-N26-M28*N27/4</f>
        <v>19.9219425788071</v>
      </c>
      <c r="O28" s="37" t="n">
        <f aca="false">N28+O25-O26-N28*O27/4</f>
        <v>19.9037027770166</v>
      </c>
      <c r="P28" s="37" t="n">
        <f aca="false">O28+P25-P26-O28*P27/4</f>
        <v>19.8850402044818</v>
      </c>
      <c r="Q28" s="37" t="n">
        <f aca="false">P28+Q25-Q26-P28*Q27/4</f>
        <v>19.8659450620228</v>
      </c>
      <c r="R28" s="37" t="n">
        <f aca="false">Q28+R25-R26-Q28*R27/4</f>
        <v>19.8464073233294</v>
      </c>
      <c r="S28" s="37" t="n">
        <f aca="false">R28+S25-S26-R28*S27/4</f>
        <v>19.826416729697</v>
      </c>
      <c r="T28" s="37" t="n">
        <f aca="false">S28+T25-T26-S28*T27/4</f>
        <v>19.8059627846398</v>
      </c>
      <c r="U28" s="37" t="n">
        <f aca="false">T28+U25-U26-T28*U27/4</f>
        <v>19.7850347483796</v>
      </c>
    </row>
    <row r="29" customFormat="false" ht="15" hidden="false" customHeight="false" outlineLevel="0" collapsed="false">
      <c r="B29" s="9" t="s">
        <v>230</v>
      </c>
      <c r="J29" s="22" t="n">
        <f aca="false">J25/J26</f>
        <v>1.03220390625</v>
      </c>
      <c r="K29" s="22" t="n">
        <f aca="false">K25/K26</f>
        <v>1.03145338433849</v>
      </c>
      <c r="L29" s="22" t="n">
        <f aca="false">L25/L26</f>
        <v>1.03068539561028</v>
      </c>
      <c r="M29" s="22" t="n">
        <f aca="false">M25/M26</f>
        <v>1.02989953356199</v>
      </c>
      <c r="N29" s="22" t="n">
        <f aca="false">N25/N26</f>
        <v>1.02517301153944</v>
      </c>
      <c r="O29" s="22" t="n">
        <f aca="false">O25/O26</f>
        <v>1.02425648349515</v>
      </c>
      <c r="P29" s="22" t="n">
        <f aca="false">P25/P26</f>
        <v>1.02331871173079</v>
      </c>
      <c r="Q29" s="22" t="n">
        <f aca="false">Q25/Q26</f>
        <v>1.02235920384937</v>
      </c>
      <c r="R29" s="22" t="n">
        <f aca="false">R25/R26</f>
        <v>1.02137745604092</v>
      </c>
      <c r="S29" s="22" t="n">
        <f aca="false">S25/S26</f>
        <v>1.02037295281788</v>
      </c>
      <c r="T29" s="22" t="n">
        <f aca="false">T25/T26</f>
        <v>1.01934516674452</v>
      </c>
      <c r="U29" s="22" t="n">
        <f aca="false">U25/U26</f>
        <v>1.01829355815991</v>
      </c>
    </row>
    <row r="30" customFormat="false" ht="15" hidden="false" customHeight="false" outlineLevel="0" collapsed="false">
      <c r="B30" s="9" t="s">
        <v>231</v>
      </c>
      <c r="C30" s="37" t="n">
        <f aca="false">U28*(1+$E$11)</f>
        <v>18.7957830109606</v>
      </c>
    </row>
    <row r="32" customFormat="false" ht="15" hidden="false" customHeight="false" outlineLevel="0" collapsed="false">
      <c r="B32" s="7" t="s">
        <v>232</v>
      </c>
      <c r="C32" s="8"/>
      <c r="D32" s="8"/>
      <c r="E32" s="8"/>
      <c r="F32" s="8"/>
      <c r="G32" s="8"/>
      <c r="H32" s="8"/>
      <c r="I32" s="8"/>
      <c r="J32" s="8"/>
      <c r="K32" s="8"/>
      <c r="L32" s="8"/>
      <c r="M32" s="8"/>
      <c r="N32" s="8"/>
      <c r="O32" s="8"/>
      <c r="P32" s="8"/>
      <c r="Q32" s="8"/>
      <c r="R32" s="8"/>
      <c r="S32" s="8"/>
      <c r="T32" s="8"/>
      <c r="U32" s="8"/>
    </row>
    <row r="33" customFormat="false" ht="15" hidden="false" customHeight="false" outlineLevel="0" collapsed="false">
      <c r="B33" s="9" t="s">
        <v>144</v>
      </c>
      <c r="C33" s="31" t="n">
        <f aca="false">Assumptions!$C$48/Assumptions!$D$50</f>
        <v>1666.66666666667</v>
      </c>
    </row>
    <row r="34" customFormat="false" ht="15" hidden="false" customHeight="false" outlineLevel="0" collapsed="false">
      <c r="B34" s="9" t="s">
        <v>221</v>
      </c>
      <c r="C34" s="38" t="n">
        <f aca="false">Assumptions!$D$50/Assumptions!$D$51-1</f>
        <v>0.0714285714285714</v>
      </c>
    </row>
    <row r="35" customFormat="false" ht="15" hidden="false" customHeight="false" outlineLevel="0" collapsed="false">
      <c r="B35" s="9" t="s">
        <v>222</v>
      </c>
      <c r="J35" s="38" t="n">
        <f aca="false">IF(J$15&lt;=4,Assumptions!$D$60,IF(J$15&lt;=8,Assumptions!$D$61,Assumptions!$D$62))+IF(J$15&gt;=5,$C$9,0)</f>
        <v>0.008</v>
      </c>
      <c r="K35" s="38" t="n">
        <f aca="false">IF(K$15&lt;=4,Assumptions!$D$60,IF(K$15&lt;=8,Assumptions!$D$61,Assumptions!$D$62))+IF(K$15&gt;=5,$C$9,0)</f>
        <v>0.008</v>
      </c>
      <c r="L35" s="38" t="n">
        <f aca="false">IF(L$15&lt;=4,Assumptions!$D$60,IF(L$15&lt;=8,Assumptions!$D$61,Assumptions!$D$62))+IF(L$15&gt;=5,$C$9,0)</f>
        <v>0.008</v>
      </c>
      <c r="M35" s="38" t="n">
        <f aca="false">IF(M$15&lt;=4,Assumptions!$D$60,IF(M$15&lt;=8,Assumptions!$D$61,Assumptions!$D$62))+IF(M$15&gt;=5,$C$9,0)</f>
        <v>0.008</v>
      </c>
      <c r="N35" s="38" t="n">
        <f aca="false">IF(N$15&lt;=4,Assumptions!$D$60,IF(N$15&lt;=8,Assumptions!$D$61,Assumptions!$D$62))+IF(N$15&gt;=5,$C$9,0)</f>
        <v>0.008</v>
      </c>
      <c r="O35" s="38" t="n">
        <f aca="false">IF(O$15&lt;=4,Assumptions!$D$60,IF(O$15&lt;=8,Assumptions!$D$61,Assumptions!$D$62))+IF(O$15&gt;=5,$C$9,0)</f>
        <v>0.008</v>
      </c>
      <c r="P35" s="38" t="n">
        <f aca="false">IF(P$15&lt;=4,Assumptions!$D$60,IF(P$15&lt;=8,Assumptions!$D$61,Assumptions!$D$62))+IF(P$15&gt;=5,$C$9,0)</f>
        <v>0.008</v>
      </c>
      <c r="Q35" s="38" t="n">
        <f aca="false">IF(Q$15&lt;=4,Assumptions!$D$60,IF(Q$15&lt;=8,Assumptions!$D$61,Assumptions!$D$62))+IF(Q$15&gt;=5,$C$9,0)</f>
        <v>0.008</v>
      </c>
      <c r="R35" s="38" t="n">
        <f aca="false">IF(R$15&lt;=4,Assumptions!$D$60,IF(R$15&lt;=8,Assumptions!$D$61,Assumptions!$D$62))+IF(R$15&gt;=5,$C$9,0)</f>
        <v>0.01</v>
      </c>
      <c r="S35" s="38" t="n">
        <f aca="false">IF(S$15&lt;=4,Assumptions!$D$60,IF(S$15&lt;=8,Assumptions!$D$61,Assumptions!$D$62))+IF(S$15&gt;=5,$C$9,0)</f>
        <v>0.01</v>
      </c>
      <c r="T35" s="38" t="n">
        <f aca="false">IF(T$15&lt;=4,Assumptions!$D$60,IF(T$15&lt;=8,Assumptions!$D$61,Assumptions!$D$62))+IF(T$15&gt;=5,$C$9,0)</f>
        <v>0.01</v>
      </c>
      <c r="U35" s="38" t="n">
        <f aca="false">IF(U$15&lt;=4,Assumptions!$D$60,IF(U$15&lt;=8,Assumptions!$D$61,Assumptions!$D$62))+IF(U$15&gt;=5,$C$9,0)</f>
        <v>0.01</v>
      </c>
    </row>
    <row r="36" customFormat="false" ht="15" hidden="false" customHeight="false" outlineLevel="0" collapsed="false">
      <c r="B36" s="9" t="s">
        <v>223</v>
      </c>
      <c r="J36" s="17" t="n">
        <f aca="false">J16+Assumptions!$D$53</f>
        <v>0.1</v>
      </c>
      <c r="K36" s="17" t="n">
        <f aca="false">K16+Assumptions!$D$53</f>
        <v>0.1</v>
      </c>
      <c r="L36" s="17" t="n">
        <f aca="false">L16+Assumptions!$D$53</f>
        <v>0.1</v>
      </c>
      <c r="M36" s="17" t="n">
        <f aca="false">M16+Assumptions!$D$53</f>
        <v>0.1</v>
      </c>
      <c r="N36" s="17" t="n">
        <f aca="false">N16+Assumptions!$D$53</f>
        <v>0.1</v>
      </c>
      <c r="O36" s="17" t="n">
        <f aca="false">O16+Assumptions!$D$53</f>
        <v>0.1</v>
      </c>
      <c r="P36" s="17" t="n">
        <f aca="false">P16+Assumptions!$D$53</f>
        <v>0.1</v>
      </c>
      <c r="Q36" s="17" t="n">
        <f aca="false">Q16+Assumptions!$D$53</f>
        <v>0.1</v>
      </c>
      <c r="R36" s="17" t="n">
        <f aca="false">R16+Assumptions!$D$53</f>
        <v>0.1</v>
      </c>
      <c r="S36" s="17" t="n">
        <f aca="false">S16+Assumptions!$D$53</f>
        <v>0.1</v>
      </c>
      <c r="T36" s="17" t="n">
        <f aca="false">T16+Assumptions!$D$53</f>
        <v>0.1</v>
      </c>
      <c r="U36" s="17" t="n">
        <f aca="false">U16+Assumptions!$D$53</f>
        <v>0.1</v>
      </c>
    </row>
    <row r="37" customFormat="false" ht="15" hidden="false" customHeight="false" outlineLevel="0" collapsed="false">
      <c r="B37" s="9" t="s">
        <v>224</v>
      </c>
      <c r="J37" s="17" t="n">
        <f aca="false">J36*(1-J35)*(1+Assumptions!$D$54)-Assumptions!$D$55*Assumptions!$D$54-Assumptions!$D$56*(1+Assumptions!$D$54)-Assumptions!$D$57</f>
        <v>0.1204</v>
      </c>
      <c r="K37" s="17" t="n">
        <f aca="false">K36*(1-K35)*(1+Assumptions!$D$54)-Assumptions!$D$55*Assumptions!$D$54-Assumptions!$D$56*(1+Assumptions!$D$54)-Assumptions!$D$57</f>
        <v>0.1204</v>
      </c>
      <c r="L37" s="17" t="n">
        <f aca="false">L36*(1-L35)*(1+Assumptions!$D$54)-Assumptions!$D$55*Assumptions!$D$54-Assumptions!$D$56*(1+Assumptions!$D$54)-Assumptions!$D$57</f>
        <v>0.1204</v>
      </c>
      <c r="M37" s="17" t="n">
        <f aca="false">M36*(1-M35)*(1+Assumptions!$D$54)-Assumptions!$D$55*Assumptions!$D$54-Assumptions!$D$56*(1+Assumptions!$D$54)-Assumptions!$D$57</f>
        <v>0.1204</v>
      </c>
      <c r="N37" s="17" t="n">
        <f aca="false">N36*(1-N35)*(1+Assumptions!$D$54)-Assumptions!$D$55*Assumptions!$D$54-Assumptions!$D$56*(1+Assumptions!$D$54)-Assumptions!$D$57</f>
        <v>0.1204</v>
      </c>
      <c r="O37" s="17" t="n">
        <f aca="false">O36*(1-O35)*(1+Assumptions!$D$54)-Assumptions!$D$55*Assumptions!$D$54-Assumptions!$D$56*(1+Assumptions!$D$54)-Assumptions!$D$57</f>
        <v>0.1204</v>
      </c>
      <c r="P37" s="17" t="n">
        <f aca="false">P36*(1-P35)*(1+Assumptions!$D$54)-Assumptions!$D$55*Assumptions!$D$54-Assumptions!$D$56*(1+Assumptions!$D$54)-Assumptions!$D$57</f>
        <v>0.1204</v>
      </c>
      <c r="Q37" s="17" t="n">
        <f aca="false">Q36*(1-Q35)*(1+Assumptions!$D$54)-Assumptions!$D$55*Assumptions!$D$54-Assumptions!$D$56*(1+Assumptions!$D$54)-Assumptions!$D$57</f>
        <v>0.1204</v>
      </c>
      <c r="R37" s="17" t="n">
        <f aca="false">R36*(1-R35)*(1+Assumptions!$D$54)-Assumptions!$D$55*Assumptions!$D$54-Assumptions!$D$56*(1+Assumptions!$D$54)-Assumptions!$D$57</f>
        <v>0.12</v>
      </c>
      <c r="S37" s="17" t="n">
        <f aca="false">S36*(1-S35)*(1+Assumptions!$D$54)-Assumptions!$D$55*Assumptions!$D$54-Assumptions!$D$56*(1+Assumptions!$D$54)-Assumptions!$D$57</f>
        <v>0.12</v>
      </c>
      <c r="T37" s="17" t="n">
        <f aca="false">T36*(1-T35)*(1+Assumptions!$D$54)-Assumptions!$D$55*Assumptions!$D$54-Assumptions!$D$56*(1+Assumptions!$D$54)-Assumptions!$D$57</f>
        <v>0.12</v>
      </c>
      <c r="U37" s="17" t="n">
        <f aca="false">U36*(1-U35)*(1+Assumptions!$D$54)-Assumptions!$D$55*Assumptions!$D$54-Assumptions!$D$56*(1+Assumptions!$D$54)-Assumptions!$D$57</f>
        <v>0.12</v>
      </c>
    </row>
    <row r="38" customFormat="false" ht="15" hidden="false" customHeight="false" outlineLevel="0" collapsed="false">
      <c r="B38" s="9" t="s">
        <v>225</v>
      </c>
      <c r="J38" s="17" t="n">
        <f aca="false">J37*(1-Assumptions!$D$58)</f>
        <v>0.1204</v>
      </c>
      <c r="K38" s="17" t="n">
        <f aca="false">K37*(1-Assumptions!$D$58)</f>
        <v>0.1204</v>
      </c>
      <c r="L38" s="17" t="n">
        <f aca="false">L37*(1-Assumptions!$D$58)</f>
        <v>0.1204</v>
      </c>
      <c r="M38" s="17" t="n">
        <f aca="false">M37*(1-Assumptions!$D$58)</f>
        <v>0.1204</v>
      </c>
      <c r="N38" s="17" t="n">
        <f aca="false">N37*(1-Assumptions!$D$58)</f>
        <v>0.1204</v>
      </c>
      <c r="O38" s="17" t="n">
        <f aca="false">O37*(1-Assumptions!$D$58)</f>
        <v>0.1204</v>
      </c>
      <c r="P38" s="17" t="n">
        <f aca="false">P37*(1-Assumptions!$D$58)</f>
        <v>0.1204</v>
      </c>
      <c r="Q38" s="17" t="n">
        <f aca="false">Q37*(1-Assumptions!$D$58)</f>
        <v>0.1204</v>
      </c>
      <c r="R38" s="17" t="n">
        <f aca="false">R37*(1-Assumptions!$D$58)</f>
        <v>0.12</v>
      </c>
      <c r="S38" s="17" t="n">
        <f aca="false">S37*(1-Assumptions!$D$58)</f>
        <v>0.12</v>
      </c>
      <c r="T38" s="17" t="n">
        <f aca="false">T37*(1-Assumptions!$D$58)</f>
        <v>0.12</v>
      </c>
      <c r="U38" s="17" t="n">
        <f aca="false">U37*(1-Assumptions!$D$58)</f>
        <v>0.12</v>
      </c>
    </row>
    <row r="39" customFormat="false" ht="15" hidden="false" customHeight="false" outlineLevel="0" collapsed="false">
      <c r="B39" s="9" t="s">
        <v>226</v>
      </c>
      <c r="J39" s="37" t="n">
        <f aca="false">I42*J38/4</f>
        <v>0.4214</v>
      </c>
      <c r="K39" s="37" t="n">
        <f aca="false">J42*K38/4</f>
        <v>0.42151739</v>
      </c>
      <c r="L39" s="37" t="n">
        <f aca="false">K42*L38/4</f>
        <v>0.4216381667015</v>
      </c>
      <c r="M39" s="37" t="n">
        <f aca="false">L42*M38/4</f>
        <v>0.421762427810838</v>
      </c>
      <c r="N39" s="37" t="n">
        <f aca="false">M42*N38/4</f>
        <v>0.421890273853181</v>
      </c>
      <c r="O39" s="37" t="n">
        <f aca="false">N42*O38/4</f>
        <v>0.422021808253845</v>
      </c>
      <c r="P39" s="37" t="n">
        <f aca="false">O42*P38/4</f>
        <v>0.422157137421969</v>
      </c>
      <c r="Q39" s="37" t="n">
        <f aca="false">P42*Q38/4</f>
        <v>0.422296370836593</v>
      </c>
      <c r="R39" s="37" t="n">
        <f aca="false">Q42*R38/4</f>
        <v>0.421036167244413</v>
      </c>
      <c r="S39" s="37" t="n">
        <f aca="false">R42*S38/4</f>
        <v>0.42114095705269</v>
      </c>
      <c r="T39" s="37" t="n">
        <f aca="false">S42*T38/4</f>
        <v>0.421248759567955</v>
      </c>
      <c r="U39" s="37" t="n">
        <f aca="false">T42*U38/4</f>
        <v>0.421359661405534</v>
      </c>
    </row>
    <row r="40" customFormat="false" ht="15" hidden="false" customHeight="false" outlineLevel="0" collapsed="false">
      <c r="B40" s="9" t="s">
        <v>227</v>
      </c>
      <c r="J40" s="19" t="n">
        <f aca="false">IF(ISNUMBER($C$12),IF(J$15&gt;=$C$12,$D$12,IF(ISNUMBER(Assumptions!$D$63),IF(J$15&gt;=Assumptions!$D$63,Assumptions!$D$64,Assumptions!$D$52),Assumptions!$D$52)),IF(ISNUMBER(Assumptions!$D$63),IF(J$15&gt;=Assumptions!$D$63,Assumptions!$D$64,Assumptions!$D$52),Assumptions!$D$52))</f>
        <v>0.4</v>
      </c>
      <c r="K40" s="19" t="n">
        <f aca="false">IF(ISNUMBER($C$12),IF(K$15&gt;=$C$12,$D$12,IF(ISNUMBER(Assumptions!$D$63),IF(K$15&gt;=Assumptions!$D$63,Assumptions!$D$64,Assumptions!$D$52),Assumptions!$D$52)),IF(ISNUMBER(Assumptions!$D$63),IF(K$15&gt;=Assumptions!$D$63,Assumptions!$D$64,Assumptions!$D$52),Assumptions!$D$52))</f>
        <v>0.4</v>
      </c>
      <c r="L40" s="19" t="n">
        <f aca="false">IF(ISNUMBER($C$12),IF(L$15&gt;=$C$12,$D$12,IF(ISNUMBER(Assumptions!$D$63),IF(L$15&gt;=Assumptions!$D$63,Assumptions!$D$64,Assumptions!$D$52),Assumptions!$D$52)),IF(ISNUMBER(Assumptions!$D$63),IF(L$15&gt;=Assumptions!$D$63,Assumptions!$D$64,Assumptions!$D$52),Assumptions!$D$52))</f>
        <v>0.4</v>
      </c>
      <c r="M40" s="19" t="n">
        <f aca="false">IF(ISNUMBER($C$12),IF(M$15&gt;=$C$12,$D$12,IF(ISNUMBER(Assumptions!$D$63),IF(M$15&gt;=Assumptions!$D$63,Assumptions!$D$64,Assumptions!$D$52),Assumptions!$D$52)),IF(ISNUMBER(Assumptions!$D$63),IF(M$15&gt;=Assumptions!$D$63,Assumptions!$D$64,Assumptions!$D$52),Assumptions!$D$52))</f>
        <v>0.4</v>
      </c>
      <c r="N40" s="19" t="n">
        <f aca="false">IF(ISNUMBER($C$12),IF(N$15&gt;=$C$12,$D$12,IF(ISNUMBER(Assumptions!$D$63),IF(N$15&gt;=Assumptions!$D$63,Assumptions!$D$64,Assumptions!$D$52),Assumptions!$D$52)),IF(ISNUMBER(Assumptions!$D$63),IF(N$15&gt;=Assumptions!$D$63,Assumptions!$D$64,Assumptions!$D$52),Assumptions!$D$52))</f>
        <v>0.4</v>
      </c>
      <c r="O40" s="19" t="n">
        <f aca="false">IF(ISNUMBER($C$12),IF(O$15&gt;=$C$12,$D$12,IF(ISNUMBER(Assumptions!$D$63),IF(O$15&gt;=Assumptions!$D$63,Assumptions!$D$64,Assumptions!$D$52),Assumptions!$D$52)),IF(ISNUMBER(Assumptions!$D$63),IF(O$15&gt;=Assumptions!$D$63,Assumptions!$D$64,Assumptions!$D$52),Assumptions!$D$52))</f>
        <v>0.4</v>
      </c>
      <c r="P40" s="19" t="n">
        <f aca="false">IF(ISNUMBER($C$12),IF(P$15&gt;=$C$12,$D$12,IF(ISNUMBER(Assumptions!$D$63),IF(P$15&gt;=Assumptions!$D$63,Assumptions!$D$64,Assumptions!$D$52),Assumptions!$D$52)),IF(ISNUMBER(Assumptions!$D$63),IF(P$15&gt;=Assumptions!$D$63,Assumptions!$D$64,Assumptions!$D$52),Assumptions!$D$52))</f>
        <v>0.4</v>
      </c>
      <c r="Q40" s="19" t="n">
        <f aca="false">IF(ISNUMBER($C$12),IF(Q$15&gt;=$C$12,$D$12,IF(ISNUMBER(Assumptions!$D$63),IF(Q$15&gt;=Assumptions!$D$63,Assumptions!$D$64,Assumptions!$D$52),Assumptions!$D$52)),IF(ISNUMBER(Assumptions!$D$63),IF(Q$15&gt;=Assumptions!$D$63,Assumptions!$D$64,Assumptions!$D$52),Assumptions!$D$52))</f>
        <v>0.4</v>
      </c>
      <c r="R40" s="19" t="n">
        <f aca="false">IF(ISNUMBER($C$12),IF(R$15&gt;=$C$12,$D$12,IF(ISNUMBER(Assumptions!$D$63),IF(R$15&gt;=Assumptions!$D$63,Assumptions!$D$64,Assumptions!$D$52),Assumptions!$D$52)),IF(ISNUMBER(Assumptions!$D$63),IF(R$15&gt;=Assumptions!$D$63,Assumptions!$D$64,Assumptions!$D$52),Assumptions!$D$52))</f>
        <v>0.4</v>
      </c>
      <c r="S40" s="19" t="n">
        <f aca="false">IF(ISNUMBER($C$12),IF(S$15&gt;=$C$12,$D$12,IF(ISNUMBER(Assumptions!$D$63),IF(S$15&gt;=Assumptions!$D$63,Assumptions!$D$64,Assumptions!$D$52),Assumptions!$D$52)),IF(ISNUMBER(Assumptions!$D$63),IF(S$15&gt;=Assumptions!$D$63,Assumptions!$D$64,Assumptions!$D$52),Assumptions!$D$52))</f>
        <v>0.4</v>
      </c>
      <c r="T40" s="19" t="n">
        <f aca="false">IF(ISNUMBER($C$12),IF(T$15&gt;=$C$12,$D$12,IF(ISNUMBER(Assumptions!$D$63),IF(T$15&gt;=Assumptions!$D$63,Assumptions!$D$64,Assumptions!$D$52),Assumptions!$D$52)),IF(ISNUMBER(Assumptions!$D$63),IF(T$15&gt;=Assumptions!$D$63,Assumptions!$D$64,Assumptions!$D$52),Assumptions!$D$52))</f>
        <v>0.4</v>
      </c>
      <c r="U40" s="19" t="n">
        <f aca="false">IF(ISNUMBER($C$12),IF(U$15&gt;=$C$12,$D$12,IF(ISNUMBER(Assumptions!$D$63),IF(U$15&gt;=Assumptions!$D$63,Assumptions!$D$64,Assumptions!$D$52),Assumptions!$D$52)),IF(ISNUMBER(Assumptions!$D$63),IF(U$15&gt;=Assumptions!$D$63,Assumptions!$D$64,Assumptions!$D$52),Assumptions!$D$52))</f>
        <v>0.4</v>
      </c>
    </row>
    <row r="41" customFormat="false" ht="15" hidden="false" customHeight="false" outlineLevel="0" collapsed="false">
      <c r="B41" s="9" t="s">
        <v>228</v>
      </c>
      <c r="J41" s="17" t="n">
        <f aca="false">Assumptions!$D$59*IF(AND(J$15&gt;=5,J$15&lt;=8),$C$8,1)</f>
        <v>0.005</v>
      </c>
      <c r="K41" s="17" t="n">
        <f aca="false">Assumptions!$D$59*IF(AND(K$15&gt;=5,K$15&lt;=8),$C$8,1)</f>
        <v>0.005</v>
      </c>
      <c r="L41" s="17" t="n">
        <f aca="false">Assumptions!$D$59*IF(AND(L$15&gt;=5,L$15&lt;=8),$C$8,1)</f>
        <v>0.005</v>
      </c>
      <c r="M41" s="17" t="n">
        <f aca="false">Assumptions!$D$59*IF(AND(M$15&gt;=5,M$15&lt;=8),$C$8,1)</f>
        <v>0.005</v>
      </c>
      <c r="N41" s="17" t="n">
        <f aca="false">Assumptions!$D$59*IF(AND(N$15&gt;=5,N$15&lt;=8),$C$8,1)</f>
        <v>0.005</v>
      </c>
      <c r="O41" s="17" t="n">
        <f aca="false">Assumptions!$D$59*IF(AND(O$15&gt;=5,O$15&lt;=8),$C$8,1)</f>
        <v>0.005</v>
      </c>
      <c r="P41" s="17" t="n">
        <f aca="false">Assumptions!$D$59*IF(AND(P$15&gt;=5,P$15&lt;=8),$C$8,1)</f>
        <v>0.005</v>
      </c>
      <c r="Q41" s="17" t="n">
        <f aca="false">Assumptions!$D$59*IF(AND(Q$15&gt;=5,Q$15&lt;=8),$C$8,1)</f>
        <v>0.005</v>
      </c>
      <c r="R41" s="17" t="n">
        <f aca="false">Assumptions!$D$59*IF(AND(R$15&gt;=5,R$15&lt;=8),$C$8,1)</f>
        <v>0.005</v>
      </c>
      <c r="S41" s="17" t="n">
        <f aca="false">Assumptions!$D$59*IF(AND(S$15&gt;=5,S$15&lt;=8),$C$8,1)</f>
        <v>0.005</v>
      </c>
      <c r="T41" s="17" t="n">
        <f aca="false">Assumptions!$D$59*IF(AND(T$15&gt;=5,T$15&lt;=8),$C$8,1)</f>
        <v>0.005</v>
      </c>
      <c r="U41" s="17" t="n">
        <f aca="false">Assumptions!$D$59*IF(AND(U$15&gt;=5,U$15&lt;=8),$C$8,1)</f>
        <v>0.005</v>
      </c>
    </row>
    <row r="42" customFormat="false" ht="15" hidden="false" customHeight="false" outlineLevel="0" collapsed="false">
      <c r="B42" s="9" t="s">
        <v>229</v>
      </c>
      <c r="I42" s="37" t="n">
        <f aca="false">Assumptions!$D$51</f>
        <v>14</v>
      </c>
      <c r="J42" s="37" t="n">
        <f aca="false">I42+J39-J40-I42*J41/4</f>
        <v>14.0039</v>
      </c>
      <c r="K42" s="37" t="n">
        <f aca="false">J42+K39-K40-J42*K41/4</f>
        <v>14.007912515</v>
      </c>
      <c r="L42" s="37" t="n">
        <f aca="false">K42+L39-L40-K42*L41/4</f>
        <v>14.0120407910578</v>
      </c>
      <c r="M42" s="37" t="n">
        <f aca="false">L42+M39-M40-L42*M41/4</f>
        <v>14.0162881678798</v>
      </c>
      <c r="N42" s="37" t="n">
        <f aca="false">M42+N39-N40-M42*N41/4</f>
        <v>14.0206580815231</v>
      </c>
      <c r="O42" s="37" t="n">
        <f aca="false">N42+O39-O40-N42*O41/4</f>
        <v>14.025154067175</v>
      </c>
      <c r="P42" s="37" t="n">
        <f aca="false">O42+P39-P40-O42*P41/4</f>
        <v>14.029779762013</v>
      </c>
      <c r="Q42" s="37" t="n">
        <f aca="false">P42+Q39-Q40-P42*Q41/4</f>
        <v>14.0345389081471</v>
      </c>
      <c r="R42" s="37" t="n">
        <f aca="false">Q42+R39-R40-Q42*R41/4</f>
        <v>14.0380319017563</v>
      </c>
      <c r="S42" s="37" t="n">
        <f aca="false">R42+S39-S40-R42*S41/4</f>
        <v>14.0416253189318</v>
      </c>
      <c r="T42" s="37" t="n">
        <f aca="false">S42+T39-T40-S42*T41/4</f>
        <v>14.0453220468511</v>
      </c>
      <c r="U42" s="37" t="n">
        <f aca="false">T42+U39-U40-T42*U41/4</f>
        <v>14.0491250556981</v>
      </c>
    </row>
    <row r="43" customFormat="false" ht="15" hidden="false" customHeight="false" outlineLevel="0" collapsed="false">
      <c r="B43" s="9" t="s">
        <v>230</v>
      </c>
      <c r="J43" s="22" t="n">
        <f aca="false">J39/J40</f>
        <v>1.0535</v>
      </c>
      <c r="K43" s="22" t="n">
        <f aca="false">K39/K40</f>
        <v>1.053793475</v>
      </c>
      <c r="L43" s="22" t="n">
        <f aca="false">L39/L40</f>
        <v>1.05409541675375</v>
      </c>
      <c r="M43" s="22" t="n">
        <f aca="false">M39/M40</f>
        <v>1.0544060695271</v>
      </c>
      <c r="N43" s="22" t="n">
        <f aca="false">N39/N40</f>
        <v>1.05472568463295</v>
      </c>
      <c r="O43" s="22" t="n">
        <f aca="false">O39/O40</f>
        <v>1.05505452063461</v>
      </c>
      <c r="P43" s="22" t="n">
        <f aca="false">P39/P40</f>
        <v>1.05539284355492</v>
      </c>
      <c r="Q43" s="22" t="n">
        <f aca="false">Q39/Q40</f>
        <v>1.05574092709148</v>
      </c>
      <c r="R43" s="22" t="n">
        <f aca="false">R39/R40</f>
        <v>1.05259041811103</v>
      </c>
      <c r="S43" s="22" t="n">
        <f aca="false">S39/S40</f>
        <v>1.05285239263173</v>
      </c>
      <c r="T43" s="22" t="n">
        <f aca="false">T39/T40</f>
        <v>1.05312189891989</v>
      </c>
      <c r="U43" s="22" t="n">
        <f aca="false">U39/U40</f>
        <v>1.05339915351383</v>
      </c>
    </row>
    <row r="44" customFormat="false" ht="15" hidden="false" customHeight="false" outlineLevel="0" collapsed="false">
      <c r="B44" s="9" t="s">
        <v>231</v>
      </c>
      <c r="C44" s="37" t="n">
        <f aca="false">U42*(1+$E$12)</f>
        <v>14.0491250556981</v>
      </c>
    </row>
    <row r="46" customFormat="false" ht="15" hidden="false" customHeight="false" outlineLevel="0" collapsed="false">
      <c r="B46" s="7" t="s">
        <v>233</v>
      </c>
      <c r="C46" s="8"/>
      <c r="D46" s="8"/>
      <c r="E46" s="8"/>
      <c r="F46" s="8"/>
      <c r="G46" s="8"/>
      <c r="H46" s="8"/>
      <c r="I46" s="8"/>
      <c r="J46" s="8"/>
      <c r="K46" s="8"/>
      <c r="L46" s="8"/>
      <c r="M46" s="8"/>
      <c r="N46" s="8"/>
      <c r="O46" s="8"/>
      <c r="P46" s="8"/>
      <c r="Q46" s="8"/>
      <c r="R46" s="8"/>
      <c r="S46" s="8"/>
      <c r="T46" s="8"/>
      <c r="U46" s="8"/>
    </row>
    <row r="47" customFormat="false" ht="15" hidden="false" customHeight="false" outlineLevel="0" collapsed="false">
      <c r="B47" s="9" t="s">
        <v>144</v>
      </c>
      <c r="C47" s="31" t="n">
        <f aca="false">Assumptions!$C$48/Assumptions!$E$50</f>
        <v>2777.77777777778</v>
      </c>
    </row>
    <row r="48" customFormat="false" ht="15" hidden="false" customHeight="false" outlineLevel="0" collapsed="false">
      <c r="B48" s="9" t="s">
        <v>221</v>
      </c>
      <c r="C48" s="38" t="n">
        <f aca="false">Assumptions!$E$50/Assumptions!$E$51-1</f>
        <v>-0.2</v>
      </c>
    </row>
    <row r="49" customFormat="false" ht="15" hidden="false" customHeight="false" outlineLevel="0" collapsed="false">
      <c r="B49" s="9" t="s">
        <v>222</v>
      </c>
      <c r="J49" s="38" t="n">
        <f aca="false">IF(J$15&lt;=4,Assumptions!$E$60,IF(J$15&lt;=8,Assumptions!$E$61,Assumptions!$E$62))+IF(J$15&gt;=5,$C$9,0)</f>
        <v>0.04</v>
      </c>
      <c r="K49" s="38" t="n">
        <f aca="false">IF(K$15&lt;=4,Assumptions!$E$60,IF(K$15&lt;=8,Assumptions!$E$61,Assumptions!$E$62))+IF(K$15&gt;=5,$C$9,0)</f>
        <v>0.04</v>
      </c>
      <c r="L49" s="38" t="n">
        <f aca="false">IF(L$15&lt;=4,Assumptions!$E$60,IF(L$15&lt;=8,Assumptions!$E$61,Assumptions!$E$62))+IF(L$15&gt;=5,$C$9,0)</f>
        <v>0.04</v>
      </c>
      <c r="M49" s="38" t="n">
        <f aca="false">IF(M$15&lt;=4,Assumptions!$E$60,IF(M$15&lt;=8,Assumptions!$E$61,Assumptions!$E$62))+IF(M$15&gt;=5,$C$9,0)</f>
        <v>0.04</v>
      </c>
      <c r="N49" s="38" t="n">
        <f aca="false">IF(N$15&lt;=4,Assumptions!$E$60,IF(N$15&lt;=8,Assumptions!$E$61,Assumptions!$E$62))+IF(N$15&gt;=5,$C$9,0)</f>
        <v>0.07</v>
      </c>
      <c r="O49" s="38" t="n">
        <f aca="false">IF(O$15&lt;=4,Assumptions!$E$60,IF(O$15&lt;=8,Assumptions!$E$61,Assumptions!$E$62))+IF(O$15&gt;=5,$C$9,0)</f>
        <v>0.07</v>
      </c>
      <c r="P49" s="38" t="n">
        <f aca="false">IF(P$15&lt;=4,Assumptions!$E$60,IF(P$15&lt;=8,Assumptions!$E$61,Assumptions!$E$62))+IF(P$15&gt;=5,$C$9,0)</f>
        <v>0.07</v>
      </c>
      <c r="Q49" s="38" t="n">
        <f aca="false">IF(Q$15&lt;=4,Assumptions!$E$60,IF(Q$15&lt;=8,Assumptions!$E$61,Assumptions!$E$62))+IF(Q$15&gt;=5,$C$9,0)</f>
        <v>0.07</v>
      </c>
      <c r="R49" s="38" t="n">
        <f aca="false">IF(R$15&lt;=4,Assumptions!$E$60,IF(R$15&lt;=8,Assumptions!$E$61,Assumptions!$E$62))+IF(R$15&gt;=5,$C$9,0)</f>
        <v>0.09</v>
      </c>
      <c r="S49" s="38" t="n">
        <f aca="false">IF(S$15&lt;=4,Assumptions!$E$60,IF(S$15&lt;=8,Assumptions!$E$61,Assumptions!$E$62))+IF(S$15&gt;=5,$C$9,0)</f>
        <v>0.09</v>
      </c>
      <c r="T49" s="38" t="n">
        <f aca="false">IF(T$15&lt;=4,Assumptions!$E$60,IF(T$15&lt;=8,Assumptions!$E$61,Assumptions!$E$62))+IF(T$15&gt;=5,$C$9,0)</f>
        <v>0.09</v>
      </c>
      <c r="U49" s="38" t="n">
        <f aca="false">IF(U$15&lt;=4,Assumptions!$E$60,IF(U$15&lt;=8,Assumptions!$E$61,Assumptions!$E$62))+IF(U$15&gt;=5,$C$9,0)</f>
        <v>0.09</v>
      </c>
    </row>
    <row r="50" customFormat="false" ht="15" hidden="false" customHeight="false" outlineLevel="0" collapsed="false">
      <c r="B50" s="9" t="s">
        <v>223</v>
      </c>
      <c r="J50" s="17" t="n">
        <f aca="false">J16+Assumptions!$E$53</f>
        <v>0.123</v>
      </c>
      <c r="K50" s="17" t="n">
        <f aca="false">K16+Assumptions!$E$53</f>
        <v>0.123</v>
      </c>
      <c r="L50" s="17" t="n">
        <f aca="false">L16+Assumptions!$E$53</f>
        <v>0.123</v>
      </c>
      <c r="M50" s="17" t="n">
        <f aca="false">M16+Assumptions!$E$53</f>
        <v>0.123</v>
      </c>
      <c r="N50" s="17" t="n">
        <f aca="false">N16+Assumptions!$E$53</f>
        <v>0.123</v>
      </c>
      <c r="O50" s="17" t="n">
        <f aca="false">O16+Assumptions!$E$53</f>
        <v>0.123</v>
      </c>
      <c r="P50" s="17" t="n">
        <f aca="false">P16+Assumptions!$E$53</f>
        <v>0.123</v>
      </c>
      <c r="Q50" s="17" t="n">
        <f aca="false">Q16+Assumptions!$E$53</f>
        <v>0.123</v>
      </c>
      <c r="R50" s="17" t="n">
        <f aca="false">R16+Assumptions!$E$53</f>
        <v>0.123</v>
      </c>
      <c r="S50" s="17" t="n">
        <f aca="false">S16+Assumptions!$E$53</f>
        <v>0.123</v>
      </c>
      <c r="T50" s="17" t="n">
        <f aca="false">T16+Assumptions!$E$53</f>
        <v>0.123</v>
      </c>
      <c r="U50" s="17" t="n">
        <f aca="false">U16+Assumptions!$E$53</f>
        <v>0.123</v>
      </c>
    </row>
    <row r="51" customFormat="false" ht="15" hidden="false" customHeight="false" outlineLevel="0" collapsed="false">
      <c r="B51" s="9" t="s">
        <v>224</v>
      </c>
      <c r="J51" s="17" t="n">
        <f aca="false">J50*(1-J49)*(1+Assumptions!$E$54)-Assumptions!$E$55*Assumptions!$E$54-Assumptions!$E$56*(1+Assumptions!$E$54)-Assumptions!$E$57</f>
        <v>0.133563</v>
      </c>
      <c r="K51" s="17" t="n">
        <f aca="false">K50*(1-K49)*(1+Assumptions!$E$54)-Assumptions!$E$55*Assumptions!$E$54-Assumptions!$E$56*(1+Assumptions!$E$54)-Assumptions!$E$57</f>
        <v>0.133563</v>
      </c>
      <c r="L51" s="17" t="n">
        <f aca="false">L50*(1-L49)*(1+Assumptions!$E$54)-Assumptions!$E$55*Assumptions!$E$54-Assumptions!$E$56*(1+Assumptions!$E$54)-Assumptions!$E$57</f>
        <v>0.133563</v>
      </c>
      <c r="M51" s="17" t="n">
        <f aca="false">M50*(1-M49)*(1+Assumptions!$E$54)-Assumptions!$E$55*Assumptions!$E$54-Assumptions!$E$56*(1+Assumptions!$E$54)-Assumptions!$E$57</f>
        <v>0.133563</v>
      </c>
      <c r="N51" s="17" t="n">
        <f aca="false">N50*(1-N49)*(1+Assumptions!$E$54)-Assumptions!$E$55*Assumptions!$E$54-Assumptions!$E$56*(1+Assumptions!$E$54)-Assumptions!$E$57</f>
        <v>0.1248915</v>
      </c>
      <c r="O51" s="17" t="n">
        <f aca="false">O50*(1-O49)*(1+Assumptions!$E$54)-Assumptions!$E$55*Assumptions!$E$54-Assumptions!$E$56*(1+Assumptions!$E$54)-Assumptions!$E$57</f>
        <v>0.1248915</v>
      </c>
      <c r="P51" s="17" t="n">
        <f aca="false">P50*(1-P49)*(1+Assumptions!$E$54)-Assumptions!$E$55*Assumptions!$E$54-Assumptions!$E$56*(1+Assumptions!$E$54)-Assumptions!$E$57</f>
        <v>0.1248915</v>
      </c>
      <c r="Q51" s="17" t="n">
        <f aca="false">Q50*(1-Q49)*(1+Assumptions!$E$54)-Assumptions!$E$55*Assumptions!$E$54-Assumptions!$E$56*(1+Assumptions!$E$54)-Assumptions!$E$57</f>
        <v>0.1248915</v>
      </c>
      <c r="R51" s="17" t="n">
        <f aca="false">R50*(1-R49)*(1+Assumptions!$E$54)-Assumptions!$E$55*Assumptions!$E$54-Assumptions!$E$56*(1+Assumptions!$E$54)-Assumptions!$E$57</f>
        <v>0.1191105</v>
      </c>
      <c r="S51" s="17" t="n">
        <f aca="false">S50*(1-S49)*(1+Assumptions!$E$54)-Assumptions!$E$55*Assumptions!$E$54-Assumptions!$E$56*(1+Assumptions!$E$54)-Assumptions!$E$57</f>
        <v>0.1191105</v>
      </c>
      <c r="T51" s="17" t="n">
        <f aca="false">T50*(1-T49)*(1+Assumptions!$E$54)-Assumptions!$E$55*Assumptions!$E$54-Assumptions!$E$56*(1+Assumptions!$E$54)-Assumptions!$E$57</f>
        <v>0.1191105</v>
      </c>
      <c r="U51" s="17" t="n">
        <f aca="false">U50*(1-U49)*(1+Assumptions!$E$54)-Assumptions!$E$55*Assumptions!$E$54-Assumptions!$E$56*(1+Assumptions!$E$54)-Assumptions!$E$57</f>
        <v>0.1191105</v>
      </c>
    </row>
    <row r="52" customFormat="false" ht="15" hidden="false" customHeight="false" outlineLevel="0" collapsed="false">
      <c r="B52" s="9" t="s">
        <v>225</v>
      </c>
      <c r="J52" s="17" t="n">
        <f aca="false">J51*(1-Assumptions!$E$58)</f>
        <v>0.1068504</v>
      </c>
      <c r="K52" s="17" t="n">
        <f aca="false">K51*(1-Assumptions!$E$58)</f>
        <v>0.1068504</v>
      </c>
      <c r="L52" s="17" t="n">
        <f aca="false">L51*(1-Assumptions!$E$58)</f>
        <v>0.1068504</v>
      </c>
      <c r="M52" s="17" t="n">
        <f aca="false">M51*(1-Assumptions!$E$58)</f>
        <v>0.1068504</v>
      </c>
      <c r="N52" s="17" t="n">
        <f aca="false">N51*(1-Assumptions!$E$58)</f>
        <v>0.0999132</v>
      </c>
      <c r="O52" s="17" t="n">
        <f aca="false">O51*(1-Assumptions!$E$58)</f>
        <v>0.0999132</v>
      </c>
      <c r="P52" s="17" t="n">
        <f aca="false">P51*(1-Assumptions!$E$58)</f>
        <v>0.0999132</v>
      </c>
      <c r="Q52" s="17" t="n">
        <f aca="false">Q51*(1-Assumptions!$E$58)</f>
        <v>0.0999132</v>
      </c>
      <c r="R52" s="17" t="n">
        <f aca="false">R51*(1-Assumptions!$E$58)</f>
        <v>0.0952884</v>
      </c>
      <c r="S52" s="17" t="n">
        <f aca="false">S51*(1-Assumptions!$E$58)</f>
        <v>0.0952884</v>
      </c>
      <c r="T52" s="17" t="n">
        <f aca="false">T51*(1-Assumptions!$E$58)</f>
        <v>0.0952884</v>
      </c>
      <c r="U52" s="17" t="n">
        <f aca="false">U51*(1-Assumptions!$E$58)</f>
        <v>0.0952884</v>
      </c>
    </row>
    <row r="53" customFormat="false" ht="15" hidden="false" customHeight="false" outlineLevel="0" collapsed="false">
      <c r="B53" s="9" t="s">
        <v>226</v>
      </c>
      <c r="J53" s="37" t="n">
        <f aca="false">I56*J52/4</f>
        <v>0.30051675</v>
      </c>
      <c r="K53" s="37" t="n">
        <f aca="false">J56*K52/4</f>
        <v>0.29709965417355</v>
      </c>
      <c r="L53" s="37" t="n">
        <f aca="false">K56*L52/4</f>
        <v>0.293621178421608</v>
      </c>
      <c r="M53" s="37" t="n">
        <f aca="false">L56*M52/4</f>
        <v>0.290080220201124</v>
      </c>
      <c r="N53" s="37" t="n">
        <f aca="false">M56*N52/4</f>
        <v>0.267876391940592</v>
      </c>
      <c r="O53" s="37" t="n">
        <f aca="false">N56*O52/4</f>
        <v>0.263980731391921</v>
      </c>
      <c r="P53" s="37" t="n">
        <f aca="false">O56*P52/4</f>
        <v>0.262020114895168</v>
      </c>
      <c r="Q53" s="37" t="n">
        <f aca="false">P56*Q52/4</f>
        <v>0.260027680925722</v>
      </c>
      <c r="R53" s="37" t="n">
        <f aca="false">Q56*R52/4</f>
        <v>0.246060428336376</v>
      </c>
      <c r="S53" s="37" t="n">
        <f aca="false">R56*S52/4</f>
        <v>0.243813550718305</v>
      </c>
      <c r="T53" s="37" t="n">
        <f aca="false">S56*T52/4</f>
        <v>0.241532807936086</v>
      </c>
      <c r="U53" s="37" t="n">
        <f aca="false">T56*U52/4</f>
        <v>0.23921768957058</v>
      </c>
    </row>
    <row r="54" customFormat="false" ht="15" hidden="false" customHeight="false" outlineLevel="0" collapsed="false">
      <c r="B54" s="9" t="s">
        <v>227</v>
      </c>
      <c r="J54" s="19" t="n">
        <f aca="false">IF(ISNUMBER($C$13),IF(J$15&gt;=$C$13,$D$13,IF(ISNUMBER(Assumptions!$E$63),IF(J$15&gt;=Assumptions!$E$63,Assumptions!$E$64,Assumptions!$E$52),Assumptions!$E$52)),IF(ISNUMBER(Assumptions!$E$63),IF(J$15&gt;=Assumptions!$E$63,Assumptions!$E$64,Assumptions!$E$52),Assumptions!$E$52))</f>
        <v>0.33</v>
      </c>
      <c r="K54" s="19" t="n">
        <f aca="false">IF(ISNUMBER($C$13),IF(K$15&gt;=$C$13,$D$13,IF(ISNUMBER(Assumptions!$E$63),IF(K$15&gt;=Assumptions!$E$63,Assumptions!$E$64,Assumptions!$E$52),Assumptions!$E$52)),IF(ISNUMBER(Assumptions!$E$63),IF(K$15&gt;=Assumptions!$E$63,Assumptions!$E$64,Assumptions!$E$52),Assumptions!$E$52))</f>
        <v>0.33</v>
      </c>
      <c r="L54" s="19" t="n">
        <f aca="false">IF(ISNUMBER($C$13),IF(L$15&gt;=$C$13,$D$13,IF(ISNUMBER(Assumptions!$E$63),IF(L$15&gt;=Assumptions!$E$63,Assumptions!$E$64,Assumptions!$E$52),Assumptions!$E$52)),IF(ISNUMBER(Assumptions!$E$63),IF(L$15&gt;=Assumptions!$E$63,Assumptions!$E$64,Assumptions!$E$52),Assumptions!$E$52))</f>
        <v>0.33</v>
      </c>
      <c r="M54" s="19" t="n">
        <f aca="false">IF(ISNUMBER($C$13),IF(M$15&gt;=$C$13,$D$13,IF(ISNUMBER(Assumptions!$E$63),IF(M$15&gt;=Assumptions!$E$63,Assumptions!$E$64,Assumptions!$E$52),Assumptions!$E$52)),IF(ISNUMBER(Assumptions!$E$63),IF(M$15&gt;=Assumptions!$E$63,Assumptions!$E$64,Assumptions!$E$52),Assumptions!$E$52))</f>
        <v>0.33</v>
      </c>
      <c r="N54" s="19" t="n">
        <f aca="false">IF(ISNUMBER($C$13),IF(N$15&gt;=$C$13,$D$13,IF(ISNUMBER(Assumptions!$E$63),IF(N$15&gt;=Assumptions!$E$63,Assumptions!$E$64,Assumptions!$E$52),Assumptions!$E$52)),IF(ISNUMBER(Assumptions!$E$63),IF(N$15&gt;=Assumptions!$E$63,Assumptions!$E$64,Assumptions!$E$52),Assumptions!$E$52))</f>
        <v>0.33</v>
      </c>
      <c r="O54" s="19" t="n">
        <f aca="false">IF(ISNUMBER($C$13),IF(O$15&gt;=$C$13,$D$13,IF(ISNUMBER(Assumptions!$E$63),IF(O$15&gt;=Assumptions!$E$63,Assumptions!$E$64,Assumptions!$E$52),Assumptions!$E$52)),IF(ISNUMBER(Assumptions!$E$63),IF(O$15&gt;=Assumptions!$E$63,Assumptions!$E$64,Assumptions!$E$52),Assumptions!$E$52))</f>
        <v>0.25</v>
      </c>
      <c r="P54" s="19" t="n">
        <f aca="false">IF(ISNUMBER($C$13),IF(P$15&gt;=$C$13,$D$13,IF(ISNUMBER(Assumptions!$E$63),IF(P$15&gt;=Assumptions!$E$63,Assumptions!$E$64,Assumptions!$E$52),Assumptions!$E$52)),IF(ISNUMBER(Assumptions!$E$63),IF(P$15&gt;=Assumptions!$E$63,Assumptions!$E$64,Assumptions!$E$52),Assumptions!$E$52))</f>
        <v>0.25</v>
      </c>
      <c r="Q54" s="19" t="n">
        <f aca="false">IF(ISNUMBER($C$13),IF(Q$15&gt;=$C$13,$D$13,IF(ISNUMBER(Assumptions!$E$63),IF(Q$15&gt;=Assumptions!$E$63,Assumptions!$E$64,Assumptions!$E$52),Assumptions!$E$52)),IF(ISNUMBER(Assumptions!$E$63),IF(Q$15&gt;=Assumptions!$E$63,Assumptions!$E$64,Assumptions!$E$52),Assumptions!$E$52))</f>
        <v>0.25</v>
      </c>
      <c r="R54" s="19" t="n">
        <f aca="false">IF(ISNUMBER($C$13),IF(R$15&gt;=$C$13,$D$13,IF(ISNUMBER(Assumptions!$E$63),IF(R$15&gt;=Assumptions!$E$63,Assumptions!$E$64,Assumptions!$E$52),Assumptions!$E$52)),IF(ISNUMBER(Assumptions!$E$63),IF(R$15&gt;=Assumptions!$E$63,Assumptions!$E$64,Assumptions!$E$52),Assumptions!$E$52))</f>
        <v>0.25</v>
      </c>
      <c r="S54" s="19" t="n">
        <f aca="false">IF(ISNUMBER($C$13),IF(S$15&gt;=$C$13,$D$13,IF(ISNUMBER(Assumptions!$E$63),IF(S$15&gt;=Assumptions!$E$63,Assumptions!$E$64,Assumptions!$E$52),Assumptions!$E$52)),IF(ISNUMBER(Assumptions!$E$63),IF(S$15&gt;=Assumptions!$E$63,Assumptions!$E$64,Assumptions!$E$52),Assumptions!$E$52))</f>
        <v>0.25</v>
      </c>
      <c r="T54" s="19" t="n">
        <f aca="false">IF(ISNUMBER($C$13),IF(T$15&gt;=$C$13,$D$13,IF(ISNUMBER(Assumptions!$E$63),IF(T$15&gt;=Assumptions!$E$63,Assumptions!$E$64,Assumptions!$E$52),Assumptions!$E$52)),IF(ISNUMBER(Assumptions!$E$63),IF(T$15&gt;=Assumptions!$E$63,Assumptions!$E$64,Assumptions!$E$52),Assumptions!$E$52))</f>
        <v>0.25</v>
      </c>
      <c r="U54" s="19" t="n">
        <f aca="false">IF(ISNUMBER($C$13),IF(U$15&gt;=$C$13,$D$13,IF(ISNUMBER(Assumptions!$E$63),IF(U$15&gt;=Assumptions!$E$63,Assumptions!$E$64,Assumptions!$E$52),Assumptions!$E$52)),IF(ISNUMBER(Assumptions!$E$63),IF(U$15&gt;=Assumptions!$E$63,Assumptions!$E$64,Assumptions!$E$52),Assumptions!$E$52))</f>
        <v>0.25</v>
      </c>
    </row>
    <row r="55" customFormat="false" ht="15" hidden="false" customHeight="false" outlineLevel="0" collapsed="false">
      <c r="B55" s="9" t="s">
        <v>228</v>
      </c>
      <c r="J55" s="17" t="n">
        <f aca="false">Assumptions!$E$59*IF(AND(J$15&gt;=5,J$15&lt;=8),$C$8,1)</f>
        <v>0.035</v>
      </c>
      <c r="K55" s="17" t="n">
        <f aca="false">Assumptions!$E$59*IF(AND(K$15&gt;=5,K$15&lt;=8),$C$8,1)</f>
        <v>0.035</v>
      </c>
      <c r="L55" s="17" t="n">
        <f aca="false">Assumptions!$E$59*IF(AND(L$15&gt;=5,L$15&lt;=8),$C$8,1)</f>
        <v>0.035</v>
      </c>
      <c r="M55" s="17" t="n">
        <f aca="false">Assumptions!$E$59*IF(AND(M$15&gt;=5,M$15&lt;=8),$C$8,1)</f>
        <v>0.035</v>
      </c>
      <c r="N55" s="17" t="n">
        <f aca="false">Assumptions!$E$59*IF(AND(N$15&gt;=5,N$15&lt;=8),$C$8,1)</f>
        <v>0.035</v>
      </c>
      <c r="O55" s="17" t="n">
        <f aca="false">Assumptions!$E$59*IF(AND(O$15&gt;=5,O$15&lt;=8),$C$8,1)</f>
        <v>0.035</v>
      </c>
      <c r="P55" s="17" t="n">
        <f aca="false">Assumptions!$E$59*IF(AND(P$15&gt;=5,P$15&lt;=8),$C$8,1)</f>
        <v>0.035</v>
      </c>
      <c r="Q55" s="17" t="n">
        <f aca="false">Assumptions!$E$59*IF(AND(Q$15&gt;=5,Q$15&lt;=8),$C$8,1)</f>
        <v>0.035</v>
      </c>
      <c r="R55" s="17" t="n">
        <f aca="false">Assumptions!$E$59*IF(AND(R$15&gt;=5,R$15&lt;=8),$C$8,1)</f>
        <v>0.035</v>
      </c>
      <c r="S55" s="17" t="n">
        <f aca="false">Assumptions!$E$59*IF(AND(S$15&gt;=5,S$15&lt;=8),$C$8,1)</f>
        <v>0.035</v>
      </c>
      <c r="T55" s="17" t="n">
        <f aca="false">Assumptions!$E$59*IF(AND(T$15&gt;=5,T$15&lt;=8),$C$8,1)</f>
        <v>0.035</v>
      </c>
      <c r="U55" s="17" t="n">
        <f aca="false">Assumptions!$E$59*IF(AND(U$15&gt;=5,U$15&lt;=8),$C$8,1)</f>
        <v>0.035</v>
      </c>
    </row>
    <row r="56" customFormat="false" ht="15" hidden="false" customHeight="false" outlineLevel="0" collapsed="false">
      <c r="B56" s="9" t="s">
        <v>229</v>
      </c>
      <c r="I56" s="37" t="n">
        <f aca="false">Assumptions!$E$51</f>
        <v>11.25</v>
      </c>
      <c r="J56" s="37" t="n">
        <f aca="false">I56+J53-J54-I56*J55/4</f>
        <v>11.12207925</v>
      </c>
      <c r="K56" s="37" t="n">
        <f aca="false">J56+K53-K54-J56*K55/4</f>
        <v>10.9918607107361</v>
      </c>
      <c r="L56" s="37" t="n">
        <f aca="false">K56+L53-L54-K56*L55/4</f>
        <v>10.8593031079387</v>
      </c>
      <c r="M56" s="37" t="n">
        <f aca="false">L56+M53-M54-L56*M55/4</f>
        <v>10.7243644259454</v>
      </c>
      <c r="N56" s="37" t="n">
        <f aca="false">M56+N53-N54-M56*N55/4</f>
        <v>10.5684026291589</v>
      </c>
      <c r="O56" s="37" t="n">
        <f aca="false">N56+O53-O54-N56*O55/4</f>
        <v>10.4899098375457</v>
      </c>
      <c r="P56" s="37" t="n">
        <f aca="false">O56+P53-P54-O56*P55/4</f>
        <v>10.4101432413624</v>
      </c>
      <c r="Q56" s="37" t="n">
        <f aca="false">P56+Q53-Q54-P56*Q55/4</f>
        <v>10.3290821689262</v>
      </c>
      <c r="R56" s="37" t="n">
        <f aca="false">Q56+R53-R54-Q56*R55/4</f>
        <v>10.2347631282844</v>
      </c>
      <c r="S56" s="37" t="n">
        <f aca="false">R56+S53-S54-R56*S55/4</f>
        <v>10.1390225016303</v>
      </c>
      <c r="T56" s="37" t="n">
        <f aca="false">S56+T53-T54-S56*T55/4</f>
        <v>10.0418388626771</v>
      </c>
      <c r="U56" s="37" t="n">
        <f aca="false">T56+U53-U54-T56*U55/4</f>
        <v>9.94319046219924</v>
      </c>
    </row>
    <row r="57" customFormat="false" ht="15" hidden="false" customHeight="false" outlineLevel="0" collapsed="false">
      <c r="B57" s="9" t="s">
        <v>230</v>
      </c>
      <c r="J57" s="22" t="n">
        <f aca="false">J53/J54</f>
        <v>0.910656818181818</v>
      </c>
      <c r="K57" s="22" t="n">
        <f aca="false">K53/K54</f>
        <v>0.900301982344091</v>
      </c>
      <c r="L57" s="22" t="n">
        <f aca="false">L53/L54</f>
        <v>0.889761146732145</v>
      </c>
      <c r="M57" s="22" t="n">
        <f aca="false">M53/M54</f>
        <v>0.879030970306436</v>
      </c>
      <c r="N57" s="22" t="n">
        <f aca="false">N53/N54</f>
        <v>0.811746642244217</v>
      </c>
      <c r="O57" s="22" t="n">
        <f aca="false">O53/O54</f>
        <v>1.05592292556768</v>
      </c>
      <c r="P57" s="22" t="n">
        <f aca="false">P53/P54</f>
        <v>1.04808045958067</v>
      </c>
      <c r="Q57" s="22" t="n">
        <f aca="false">Q53/Q54</f>
        <v>1.04011072370289</v>
      </c>
      <c r="R57" s="22" t="n">
        <f aca="false">R53/R54</f>
        <v>0.984241713345505</v>
      </c>
      <c r="S57" s="22" t="n">
        <f aca="false">S53/S54</f>
        <v>0.97525420287322</v>
      </c>
      <c r="T57" s="22" t="n">
        <f aca="false">T53/T54</f>
        <v>0.966131231744345</v>
      </c>
      <c r="U57" s="22" t="n">
        <f aca="false">U53/U54</f>
        <v>0.956870758282319</v>
      </c>
    </row>
    <row r="58" customFormat="false" ht="15" hidden="false" customHeight="false" outlineLevel="0" collapsed="false">
      <c r="B58" s="9" t="s">
        <v>231</v>
      </c>
      <c r="C58" s="37" t="n">
        <f aca="false">U56*(1+$E$13)</f>
        <v>7.45739284664943</v>
      </c>
    </row>
    <row r="60" customFormat="false" ht="15" hidden="false" customHeight="false" outlineLevel="0" collapsed="false">
      <c r="B60" s="7" t="s">
        <v>128</v>
      </c>
      <c r="C60" s="8"/>
      <c r="D60" s="8"/>
      <c r="E60" s="8"/>
      <c r="F60" s="8"/>
      <c r="G60" s="8"/>
      <c r="H60" s="8"/>
      <c r="I60" s="8"/>
      <c r="J60" s="8"/>
      <c r="K60" s="8"/>
      <c r="L60" s="8"/>
      <c r="M60" s="8"/>
      <c r="N60" s="8"/>
      <c r="O60" s="8"/>
      <c r="P60" s="8"/>
      <c r="Q60" s="8"/>
      <c r="R60" s="8"/>
      <c r="S60" s="8"/>
      <c r="T60" s="8"/>
      <c r="U60" s="8"/>
      <c r="V60" s="8"/>
      <c r="W60" s="8"/>
      <c r="X60" s="8"/>
      <c r="Y60" s="8"/>
    </row>
    <row r="61" customFormat="false" ht="43.5" hidden="false" customHeight="true" outlineLevel="0" collapsed="false">
      <c r="B61" s="13" t="s">
        <v>129</v>
      </c>
      <c r="C61" s="14" t="s">
        <v>130</v>
      </c>
      <c r="D61" s="14" t="s">
        <v>46</v>
      </c>
      <c r="E61" s="14" t="s">
        <v>131</v>
      </c>
      <c r="F61" s="14" t="s">
        <v>132</v>
      </c>
      <c r="G61" s="14" t="s">
        <v>133</v>
      </c>
      <c r="H61" s="14" t="s">
        <v>134</v>
      </c>
      <c r="I61" s="33" t="n">
        <v>0</v>
      </c>
      <c r="J61" s="33" t="n">
        <v>1</v>
      </c>
      <c r="K61" s="33" t="n">
        <v>2</v>
      </c>
      <c r="L61" s="33" t="n">
        <v>3</v>
      </c>
      <c r="M61" s="33" t="n">
        <v>4</v>
      </c>
      <c r="N61" s="33" t="n">
        <v>5</v>
      </c>
      <c r="O61" s="33" t="n">
        <v>6</v>
      </c>
      <c r="P61" s="33" t="n">
        <v>7</v>
      </c>
      <c r="Q61" s="33" t="n">
        <v>8</v>
      </c>
      <c r="R61" s="33" t="n">
        <v>9</v>
      </c>
      <c r="S61" s="33" t="n">
        <v>10</v>
      </c>
      <c r="T61" s="33" t="n">
        <v>11</v>
      </c>
      <c r="U61" s="33" t="n">
        <v>12</v>
      </c>
      <c r="V61" s="33" t="n">
        <v>13</v>
      </c>
      <c r="W61" s="33" t="n">
        <v>14</v>
      </c>
      <c r="X61" s="33" t="n">
        <v>15</v>
      </c>
      <c r="Y61" s="33" t="n">
        <v>16</v>
      </c>
    </row>
    <row r="62" customFormat="false" ht="15" hidden="false" customHeight="false" outlineLevel="0" collapsed="false">
      <c r="B62" s="9" t="s">
        <v>64</v>
      </c>
      <c r="C62" s="9" t="s">
        <v>63</v>
      </c>
      <c r="D62" s="26" t="n">
        <f aca="false">Assumptions!$C$48</f>
        <v>25000</v>
      </c>
      <c r="F62" s="17" t="n">
        <f aca="false">Assumptions!$C$52*4/Assumptions!$C$50</f>
        <v>0.101052631578947</v>
      </c>
      <c r="G62" s="26" t="n">
        <f aca="false">SUM(I62:Y62)</f>
        <v>7310.24080389558</v>
      </c>
      <c r="H62" s="29" t="n">
        <f aca="false">(1+IRR(I62:Y62,IF(SUM(I62:Y62)&lt;0,-0.05,0.01)))^4-1</f>
        <v>0.101582241333456</v>
      </c>
      <c r="I62" s="35" t="n">
        <f aca="false">IF(I$61=0,-$D62,0)+IF(AND(I$61&gt;=1,I$61&lt;=12),$C$19*$I$26,0)+IF(I$61=12,$C$19*$C$30,0)</f>
        <v>-25000</v>
      </c>
      <c r="J62" s="35" t="n">
        <f aca="false">IF(J$61=0,-$D62,0)+IF(AND(J$61&gt;=1,J$61&lt;=12),$C$19*$J$26,0)+IF(J$61=12,$C$19*$C$30,0)</f>
        <v>631.578947368421</v>
      </c>
      <c r="K62" s="35" t="n">
        <f aca="false">IF(K$61=0,-$D62,0)+IF(AND(K$61&gt;=1,K$61&lt;=12),$C$19*$K$26,0)+IF(K$61=12,$C$19*$C$30,0)</f>
        <v>631.578947368421</v>
      </c>
      <c r="L62" s="35" t="n">
        <f aca="false">IF(L$61=0,-$D62,0)+IF(AND(L$61&gt;=1,L$61&lt;=12),$C$19*$L$26,0)+IF(L$61=12,$C$19*$C$30,0)</f>
        <v>631.578947368421</v>
      </c>
      <c r="M62" s="35" t="n">
        <f aca="false">IF(M$61=0,-$D62,0)+IF(AND(M$61&gt;=1,M$61&lt;=12),$C$19*$M$26,0)+IF(M$61=12,$C$19*$C$30,0)</f>
        <v>631.578947368421</v>
      </c>
      <c r="N62" s="35" t="n">
        <f aca="false">IF(N$61=0,-$D62,0)+IF(AND(N$61&gt;=1,N$61&lt;=12),$C$19*$N$26,0)+IF(N$61=12,$C$19*$C$30,0)</f>
        <v>631.578947368421</v>
      </c>
      <c r="O62" s="35" t="n">
        <f aca="false">IF(O$61=0,-$D62,0)+IF(AND(O$61&gt;=1,O$61&lt;=12),$C$19*$O$26,0)+IF(O$61=12,$C$19*$C$30,0)</f>
        <v>631.578947368421</v>
      </c>
      <c r="P62" s="35" t="n">
        <f aca="false">IF(P$61=0,-$D62,0)+IF(AND(P$61&gt;=1,P$61&lt;=12),$C$19*$P$26,0)+IF(P$61=12,$C$19*$C$30,0)</f>
        <v>631.578947368421</v>
      </c>
      <c r="Q62" s="35" t="n">
        <f aca="false">IF(Q$61=0,-$D62,0)+IF(AND(Q$61&gt;=1,Q$61&lt;=12),$C$19*$Q$26,0)+IF(Q$61=12,$C$19*$C$30,0)</f>
        <v>631.578947368421</v>
      </c>
      <c r="R62" s="35" t="n">
        <f aca="false">IF(R$61=0,-$D62,0)+IF(AND(R$61&gt;=1,R$61&lt;=12),$C$19*$R$26,0)+IF(R$61=12,$C$19*$C$30,0)</f>
        <v>631.578947368421</v>
      </c>
      <c r="S62" s="35" t="n">
        <f aca="false">IF(S$61=0,-$D62,0)+IF(AND(S$61&gt;=1,S$61&lt;=12),$C$19*$S$26,0)+IF(S$61=12,$C$19*$C$30,0)</f>
        <v>631.578947368421</v>
      </c>
      <c r="T62" s="35" t="n">
        <f aca="false">IF(T$61=0,-$D62,0)+IF(AND(T$61&gt;=1,T$61&lt;=12),$C$19*$T$26,0)+IF(T$61=12,$C$19*$C$30,0)</f>
        <v>631.578947368421</v>
      </c>
      <c r="U62" s="35" t="n">
        <f aca="false">IF(U$61=0,-$D62,0)+IF(AND(U$61&gt;=1,U$61&lt;=12),$C$19*$U$26,0)+IF(U$61=12,$C$19*$C$30,0)</f>
        <v>25362.872382843</v>
      </c>
      <c r="V62" s="35" t="n">
        <f aca="false">0</f>
        <v>0</v>
      </c>
      <c r="W62" s="35" t="n">
        <f aca="false">0</f>
        <v>0</v>
      </c>
      <c r="X62" s="35" t="n">
        <f aca="false">0</f>
        <v>0</v>
      </c>
      <c r="Y62" s="35" t="n">
        <f aca="false">0</f>
        <v>0</v>
      </c>
    </row>
    <row r="63" customFormat="false" ht="15" hidden="false" customHeight="false" outlineLevel="0" collapsed="false">
      <c r="B63" s="9" t="s">
        <v>65</v>
      </c>
      <c r="C63" s="9" t="s">
        <v>63</v>
      </c>
      <c r="D63" s="26" t="n">
        <f aca="false">Assumptions!$C$48</f>
        <v>25000</v>
      </c>
      <c r="F63" s="17" t="n">
        <f aca="false">Assumptions!$D$52*4/Assumptions!$D$50</f>
        <v>0.106666666666667</v>
      </c>
      <c r="G63" s="26" t="n">
        <f aca="false">SUM(I63:Y63)</f>
        <v>6415.2084261635</v>
      </c>
      <c r="H63" s="29" t="n">
        <f aca="false">(1+IRR(I63:Y63,IF(SUM(I63:Y63)&lt;0,-0.05,0.01)))^4-1</f>
        <v>0.0909166712365557</v>
      </c>
      <c r="I63" s="35" t="n">
        <f aca="false">IF(I$61=0,-$D63,0)+IF(AND(I$61&gt;=1,I$61&lt;=12),$C$33*$I$40,0)+IF(I$61=12,$C$33*$C$44,0)</f>
        <v>-25000</v>
      </c>
      <c r="J63" s="35" t="n">
        <f aca="false">IF(J$61=0,-$D63,0)+IF(AND(J$61&gt;=1,J$61&lt;=12),$C$33*$J$40,0)+IF(J$61=12,$C$33*$C$44,0)</f>
        <v>666.666666666667</v>
      </c>
      <c r="K63" s="35" t="n">
        <f aca="false">IF(K$61=0,-$D63,0)+IF(AND(K$61&gt;=1,K$61&lt;=12),$C$33*$K$40,0)+IF(K$61=12,$C$33*$C$44,0)</f>
        <v>666.666666666667</v>
      </c>
      <c r="L63" s="35" t="n">
        <f aca="false">IF(L$61=0,-$D63,0)+IF(AND(L$61&gt;=1,L$61&lt;=12),$C$33*$L$40,0)+IF(L$61=12,$C$33*$C$44,0)</f>
        <v>666.666666666667</v>
      </c>
      <c r="M63" s="35" t="n">
        <f aca="false">IF(M$61=0,-$D63,0)+IF(AND(M$61&gt;=1,M$61&lt;=12),$C$33*$M$40,0)+IF(M$61=12,$C$33*$C$44,0)</f>
        <v>666.666666666667</v>
      </c>
      <c r="N63" s="35" t="n">
        <f aca="false">IF(N$61=0,-$D63,0)+IF(AND(N$61&gt;=1,N$61&lt;=12),$C$33*$N$40,0)+IF(N$61=12,$C$33*$C$44,0)</f>
        <v>666.666666666667</v>
      </c>
      <c r="O63" s="35" t="n">
        <f aca="false">IF(O$61=0,-$D63,0)+IF(AND(O$61&gt;=1,O$61&lt;=12),$C$33*$O$40,0)+IF(O$61=12,$C$33*$C$44,0)</f>
        <v>666.666666666667</v>
      </c>
      <c r="P63" s="35" t="n">
        <f aca="false">IF(P$61=0,-$D63,0)+IF(AND(P$61&gt;=1,P$61&lt;=12),$C$33*$P$40,0)+IF(P$61=12,$C$33*$C$44,0)</f>
        <v>666.666666666667</v>
      </c>
      <c r="Q63" s="35" t="n">
        <f aca="false">IF(Q$61=0,-$D63,0)+IF(AND(Q$61&gt;=1,Q$61&lt;=12),$C$33*$Q$40,0)+IF(Q$61=12,$C$33*$C$44,0)</f>
        <v>666.666666666667</v>
      </c>
      <c r="R63" s="35" t="n">
        <f aca="false">IF(R$61=0,-$D63,0)+IF(AND(R$61&gt;=1,R$61&lt;=12),$C$33*$R$40,0)+IF(R$61=12,$C$33*$C$44,0)</f>
        <v>666.666666666667</v>
      </c>
      <c r="S63" s="35" t="n">
        <f aca="false">IF(S$61=0,-$D63,0)+IF(AND(S$61&gt;=1,S$61&lt;=12),$C$33*$S$40,0)+IF(S$61=12,$C$33*$C$44,0)</f>
        <v>666.666666666667</v>
      </c>
      <c r="T63" s="35" t="n">
        <f aca="false">IF(T$61=0,-$D63,0)+IF(AND(T$61&gt;=1,T$61&lt;=12),$C$33*$T$40,0)+IF(T$61=12,$C$33*$C$44,0)</f>
        <v>666.666666666667</v>
      </c>
      <c r="U63" s="35" t="n">
        <f aca="false">IF(U$61=0,-$D63,0)+IF(AND(U$61&gt;=1,U$61&lt;=12),$C$33*$U$40,0)+IF(U$61=12,$C$33*$C$44,0)</f>
        <v>24081.8750928302</v>
      </c>
      <c r="V63" s="35" t="n">
        <f aca="false">0</f>
        <v>0</v>
      </c>
      <c r="W63" s="35" t="n">
        <f aca="false">0</f>
        <v>0</v>
      </c>
      <c r="X63" s="35" t="n">
        <f aca="false">0</f>
        <v>0</v>
      </c>
      <c r="Y63" s="35" t="n">
        <f aca="false">0</f>
        <v>0</v>
      </c>
    </row>
    <row r="64" customFormat="false" ht="15" hidden="false" customHeight="false" outlineLevel="0" collapsed="false">
      <c r="B64" s="9" t="s">
        <v>66</v>
      </c>
      <c r="C64" s="9" t="s">
        <v>63</v>
      </c>
      <c r="D64" s="26" t="n">
        <f aca="false">Assumptions!$C$48</f>
        <v>25000</v>
      </c>
      <c r="F64" s="17" t="n">
        <f aca="false">Assumptions!$E$52*4/Assumptions!$E$50</f>
        <v>0.146666666666667</v>
      </c>
      <c r="G64" s="26" t="n">
        <f aca="false">SUM(I64:Y64)</f>
        <v>5159.42457402619</v>
      </c>
      <c r="H64" s="29" t="n">
        <f aca="false">(1+IRR(I64:Y64,IF(SUM(I64:Y64)&lt;0,-0.05,0.01)))^4-1</f>
        <v>0.0776161128438713</v>
      </c>
      <c r="I64" s="35" t="n">
        <f aca="false">IF(I$61=0,-$D64,0)+IF(AND(I$61&gt;=1,I$61&lt;=12),$C$47*$I$54,0)+IF(I$61=12,$C$47*$C$58,0)</f>
        <v>-25000</v>
      </c>
      <c r="J64" s="35" t="n">
        <f aca="false">IF(J$61=0,-$D64,0)+IF(AND(J$61&gt;=1,J$61&lt;=12),$C$47*$J$54,0)+IF(J$61=12,$C$47*$C$58,0)</f>
        <v>916.666666666667</v>
      </c>
      <c r="K64" s="35" t="n">
        <f aca="false">IF(K$61=0,-$D64,0)+IF(AND(K$61&gt;=1,K$61&lt;=12),$C$47*$K$54,0)+IF(K$61=12,$C$47*$C$58,0)</f>
        <v>916.666666666667</v>
      </c>
      <c r="L64" s="35" t="n">
        <f aca="false">IF(L$61=0,-$D64,0)+IF(AND(L$61&gt;=1,L$61&lt;=12),$C$47*$L$54,0)+IF(L$61=12,$C$47*$C$58,0)</f>
        <v>916.666666666667</v>
      </c>
      <c r="M64" s="35" t="n">
        <f aca="false">IF(M$61=0,-$D64,0)+IF(AND(M$61&gt;=1,M$61&lt;=12),$C$47*$M$54,0)+IF(M$61=12,$C$47*$C$58,0)</f>
        <v>916.666666666667</v>
      </c>
      <c r="N64" s="35" t="n">
        <f aca="false">IF(N$61=0,-$D64,0)+IF(AND(N$61&gt;=1,N$61&lt;=12),$C$47*$N$54,0)+IF(N$61=12,$C$47*$C$58,0)</f>
        <v>916.666666666667</v>
      </c>
      <c r="O64" s="35" t="n">
        <f aca="false">IF(O$61=0,-$D64,0)+IF(AND(O$61&gt;=1,O$61&lt;=12),$C$47*$O$54,0)+IF(O$61=12,$C$47*$C$58,0)</f>
        <v>694.444444444445</v>
      </c>
      <c r="P64" s="35" t="n">
        <f aca="false">IF(P$61=0,-$D64,0)+IF(AND(P$61&gt;=1,P$61&lt;=12),$C$47*$P$54,0)+IF(P$61=12,$C$47*$C$58,0)</f>
        <v>694.444444444445</v>
      </c>
      <c r="Q64" s="35" t="n">
        <f aca="false">IF(Q$61=0,-$D64,0)+IF(AND(Q$61&gt;=1,Q$61&lt;=12),$C$47*$Q$54,0)+IF(Q$61=12,$C$47*$C$58,0)</f>
        <v>694.444444444445</v>
      </c>
      <c r="R64" s="35" t="n">
        <f aca="false">IF(R$61=0,-$D64,0)+IF(AND(R$61&gt;=1,R$61&lt;=12),$C$47*$R$54,0)+IF(R$61=12,$C$47*$C$58,0)</f>
        <v>694.444444444445</v>
      </c>
      <c r="S64" s="35" t="n">
        <f aca="false">IF(S$61=0,-$D64,0)+IF(AND(S$61&gt;=1,S$61&lt;=12),$C$47*$S$54,0)+IF(S$61=12,$C$47*$C$58,0)</f>
        <v>694.444444444445</v>
      </c>
      <c r="T64" s="35" t="n">
        <f aca="false">IF(T$61=0,-$D64,0)+IF(AND(T$61&gt;=1,T$61&lt;=12),$C$47*$T$54,0)+IF(T$61=12,$C$47*$C$58,0)</f>
        <v>694.444444444445</v>
      </c>
      <c r="U64" s="35" t="n">
        <f aca="false">IF(U$61=0,-$D64,0)+IF(AND(U$61&gt;=1,U$61&lt;=12),$C$47*$U$54,0)+IF(U$61=12,$C$47*$C$58,0)</f>
        <v>21409.4245740262</v>
      </c>
      <c r="V64" s="35" t="n">
        <f aca="false">0</f>
        <v>0</v>
      </c>
      <c r="W64" s="35" t="n">
        <f aca="false">0</f>
        <v>0</v>
      </c>
      <c r="X64" s="35" t="n">
        <f aca="false">0</f>
        <v>0</v>
      </c>
      <c r="Y64" s="35" t="n">
        <f aca="false">0</f>
        <v>0</v>
      </c>
    </row>
    <row r="66" customFormat="false" ht="15" hidden="false" customHeight="false" outlineLevel="0" collapsed="false">
      <c r="B66" s="30" t="s">
        <v>234</v>
      </c>
      <c r="C66" s="9" t="s">
        <v>63</v>
      </c>
      <c r="D66" s="26" t="n">
        <f aca="false">SUMIF($C$62:$C$64,"BDC",D$62:D$64)</f>
        <v>75000</v>
      </c>
      <c r="G66" s="36" t="n">
        <f aca="false">SUM(I66:Y66)</f>
        <v>18884.8738040853</v>
      </c>
      <c r="H66" s="29" t="n">
        <f aca="false">(1+IRR(I66:Y66,IF(SUM(I66:Y66)&lt;0,-0.05,0.01)))^4-1</f>
        <v>0.0903440091851642</v>
      </c>
      <c r="I66" s="35" t="n">
        <f aca="false">SUMIF($C$62:$C$64,"BDC",I$62:I$64)</f>
        <v>-75000</v>
      </c>
      <c r="J66" s="35" t="n">
        <f aca="false">SUMIF($C$62:$C$64,"BDC",J$62:J$64)</f>
        <v>2214.91228070175</v>
      </c>
      <c r="K66" s="35" t="n">
        <f aca="false">SUMIF($C$62:$C$64,"BDC",K$62:K$64)</f>
        <v>2214.91228070175</v>
      </c>
      <c r="L66" s="35" t="n">
        <f aca="false">SUMIF($C$62:$C$64,"BDC",L$62:L$64)</f>
        <v>2214.91228070175</v>
      </c>
      <c r="M66" s="35" t="n">
        <f aca="false">SUMIF($C$62:$C$64,"BDC",M$62:M$64)</f>
        <v>2214.91228070175</v>
      </c>
      <c r="N66" s="35" t="n">
        <f aca="false">SUMIF($C$62:$C$64,"BDC",N$62:N$64)</f>
        <v>2214.91228070175</v>
      </c>
      <c r="O66" s="35" t="n">
        <f aca="false">SUMIF($C$62:$C$64,"BDC",O$62:O$64)</f>
        <v>1992.69005847953</v>
      </c>
      <c r="P66" s="35" t="n">
        <f aca="false">SUMIF($C$62:$C$64,"BDC",P$62:P$64)</f>
        <v>1992.69005847953</v>
      </c>
      <c r="Q66" s="35" t="n">
        <f aca="false">SUMIF($C$62:$C$64,"BDC",Q$62:Q$64)</f>
        <v>1992.69005847953</v>
      </c>
      <c r="R66" s="35" t="n">
        <f aca="false">SUMIF($C$62:$C$64,"BDC",R$62:R$64)</f>
        <v>1992.69005847953</v>
      </c>
      <c r="S66" s="35" t="n">
        <f aca="false">SUMIF($C$62:$C$64,"BDC",S$62:S$64)</f>
        <v>1992.69005847953</v>
      </c>
      <c r="T66" s="35" t="n">
        <f aca="false">SUMIF($C$62:$C$64,"BDC",T$62:T$64)</f>
        <v>1992.69005847953</v>
      </c>
      <c r="U66" s="35" t="n">
        <f aca="false">SUMIF($C$62:$C$64,"BDC",U$62:U$64)</f>
        <v>70854.1720496993</v>
      </c>
      <c r="V66" s="35" t="n">
        <f aca="false">SUMIF($C$62:$C$64,"BDC",V$62:V$64)</f>
        <v>0</v>
      </c>
      <c r="W66" s="35" t="n">
        <f aca="false">SUMIF($C$62:$C$64,"BDC",W$62:W$64)</f>
        <v>0</v>
      </c>
      <c r="X66" s="35" t="n">
        <f aca="false">SUMIF($C$62:$C$64,"BDC",X$62:X$64)</f>
        <v>0</v>
      </c>
      <c r="Y66" s="35" t="n">
        <f aca="false">SUMIF($C$62:$C$64,"BDC",Y$62:Y$64)</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30"/>
  </cols>
  <sheetData>
    <row r="1" customFormat="false" ht="6" hidden="false" customHeight="true" outlineLevel="0" collapsed="false"/>
    <row r="2" customFormat="false" ht="17.35" hidden="false" customHeight="false" outlineLevel="0" collapsed="false">
      <c r="B2" s="5" t="s">
        <v>235</v>
      </c>
    </row>
    <row r="3" customFormat="false" ht="15" hidden="false" customHeight="false" outlineLevel="0" collapsed="false">
      <c r="B3" s="6" t="s">
        <v>236</v>
      </c>
    </row>
    <row r="5" customFormat="false" ht="15" hidden="false" customHeight="false" outlineLevel="0" collapsed="false">
      <c r="B5" s="9" t="s">
        <v>143</v>
      </c>
      <c r="C5" s="19" t="n">
        <f aca="false">Assumptions!$C$70</f>
        <v>25</v>
      </c>
    </row>
    <row r="6" customFormat="false" ht="15" hidden="false" customHeight="false" outlineLevel="0" collapsed="false">
      <c r="B6" s="9" t="s">
        <v>144</v>
      </c>
      <c r="C6" s="35" t="n">
        <f aca="false">Interval_Fund_Paths!$C$17</f>
        <v>4000</v>
      </c>
    </row>
    <row r="7" customFormat="false" ht="15" hidden="false" customHeight="false" outlineLevel="0" collapsed="false">
      <c r="B7" s="9" t="s">
        <v>85</v>
      </c>
      <c r="C7" s="39" t="n">
        <f aca="false">Assumptions!$C$71</f>
        <v>0.5625</v>
      </c>
    </row>
    <row r="8" customFormat="false" ht="15" hidden="false" customHeight="false" outlineLevel="0" collapsed="false">
      <c r="B8" s="9" t="s">
        <v>237</v>
      </c>
      <c r="C8" s="17" t="n">
        <f aca="false">Interval_Fund_Paths!$F$36</f>
        <v>0.09</v>
      </c>
    </row>
    <row r="9" customFormat="false" ht="15" hidden="false" customHeight="false" outlineLevel="0" collapsed="false">
      <c r="B9" s="9" t="s">
        <v>56</v>
      </c>
      <c r="C9" s="17" t="n">
        <f aca="false">Assumptions!$C$72</f>
        <v>0.0575</v>
      </c>
    </row>
    <row r="10" customFormat="false" ht="15" hidden="false" customHeight="false" outlineLevel="0" collapsed="false">
      <c r="B10" s="9" t="s">
        <v>238</v>
      </c>
      <c r="C10" s="17" t="n">
        <f aca="false">Assumptions!$C$73</f>
        <v>0.005</v>
      </c>
    </row>
    <row r="11" customFormat="false" ht="15" hidden="false" customHeight="false" outlineLevel="0" collapsed="false">
      <c r="B11" s="9" t="s">
        <v>239</v>
      </c>
      <c r="C11" s="17" t="n">
        <f aca="false">Interval_Fund_Paths!$J$18</f>
        <v>0.1025</v>
      </c>
    </row>
    <row r="12" customFormat="false" ht="15" hidden="false" customHeight="false" outlineLevel="0" collapsed="false">
      <c r="B12" s="9" t="s">
        <v>240</v>
      </c>
      <c r="C12" s="40" t="n">
        <f aca="false">Assumptions!$C$74</f>
        <v>0.75</v>
      </c>
    </row>
    <row r="13" customFormat="false" ht="15" hidden="false" customHeight="false" outlineLevel="0" collapsed="false">
      <c r="B13" s="9" t="s">
        <v>241</v>
      </c>
      <c r="C13" s="40" t="n">
        <f aca="false">1+Assumptions!$C$74</f>
        <v>1.75</v>
      </c>
    </row>
    <row r="14" customFormat="false" ht="15" hidden="false" customHeight="false" outlineLevel="0" collapsed="false">
      <c r="B14" s="9" t="s">
        <v>242</v>
      </c>
      <c r="C14" s="17" t="n">
        <f aca="false">Interval_Fund_Paths!$J$19</f>
        <v>0.179375</v>
      </c>
    </row>
    <row r="15" customFormat="false" ht="15" hidden="false" customHeight="false" outlineLevel="0" collapsed="false">
      <c r="B15" s="9" t="s">
        <v>88</v>
      </c>
      <c r="C15" s="17" t="n">
        <f aca="false">Assumptions!$C$75</f>
        <v>0.0225</v>
      </c>
    </row>
    <row r="16" customFormat="false" ht="15" hidden="false" customHeight="false" outlineLevel="0" collapsed="false">
      <c r="B16" s="9" t="s">
        <v>243</v>
      </c>
      <c r="C16" s="17" t="n">
        <f aca="false">Interval_Fund_Paths!$J$20</f>
        <v>0.046875</v>
      </c>
    </row>
    <row r="17" customFormat="false" ht="15" hidden="false" customHeight="false" outlineLevel="0" collapsed="false">
      <c r="B17" s="9" t="s">
        <v>244</v>
      </c>
      <c r="C17" s="17" t="n">
        <f aca="false">Assumptions!$C$76</f>
        <v>0.0125</v>
      </c>
    </row>
    <row r="18" customFormat="false" ht="15" hidden="false" customHeight="false" outlineLevel="0" collapsed="false">
      <c r="B18" s="9" t="s">
        <v>245</v>
      </c>
      <c r="C18" s="17" t="n">
        <f aca="false">Interval_Fund_Paths!$J$21</f>
        <v>0.021875</v>
      </c>
    </row>
    <row r="19" customFormat="false" ht="15" hidden="false" customHeight="false" outlineLevel="0" collapsed="false">
      <c r="B19" s="9" t="s">
        <v>180</v>
      </c>
      <c r="C19" s="17" t="n">
        <f aca="false">Assumptions!$C$77</f>
        <v>0.006</v>
      </c>
    </row>
    <row r="20" customFormat="false" ht="15" hidden="false" customHeight="false" outlineLevel="0" collapsed="false">
      <c r="B20" s="9" t="s">
        <v>246</v>
      </c>
      <c r="C20" s="17" t="n">
        <f aca="false">Assumptions!$C$78</f>
        <v>0.0025</v>
      </c>
    </row>
    <row r="21" customFormat="false" ht="15" hidden="false" customHeight="false" outlineLevel="0" collapsed="false">
      <c r="B21" s="9" t="s">
        <v>247</v>
      </c>
      <c r="C21" s="17" t="n">
        <f aca="false">Interval_Fund_Paths!$J$22</f>
        <v>0.0085</v>
      </c>
    </row>
    <row r="22" customFormat="false" ht="15" hidden="false" customHeight="false" outlineLevel="0" collapsed="false">
      <c r="B22" s="9" t="s">
        <v>248</v>
      </c>
      <c r="C22" s="17" t="n">
        <f aca="false">Interval_Fund_Paths!$J$23</f>
        <v>0.102125</v>
      </c>
    </row>
    <row r="23" customFormat="false" ht="15" hidden="false" customHeight="false" outlineLevel="0" collapsed="false">
      <c r="B23" s="9" t="s">
        <v>249</v>
      </c>
      <c r="C23" s="38" t="n">
        <f aca="false">Assumptions!$C$79</f>
        <v>0.125</v>
      </c>
    </row>
    <row r="24" customFormat="false" ht="15" hidden="false" customHeight="false" outlineLevel="0" collapsed="false">
      <c r="B24" s="9" t="s">
        <v>250</v>
      </c>
      <c r="C24" s="38" t="n">
        <f aca="false">Assumptions!$C$80</f>
        <v>0.05</v>
      </c>
    </row>
    <row r="25" customFormat="false" ht="15" hidden="false" customHeight="false" outlineLevel="0" collapsed="false">
      <c r="B25" s="9" t="s">
        <v>91</v>
      </c>
      <c r="C25" s="17" t="n">
        <f aca="false">Interval_Fund_Paths!$J$24</f>
        <v>0.012765625</v>
      </c>
    </row>
    <row r="26" customFormat="false" ht="15" hidden="false" customHeight="false" outlineLevel="0" collapsed="false">
      <c r="B26" s="30" t="s">
        <v>251</v>
      </c>
      <c r="C26" s="29" t="n">
        <f aca="false">Interval_Fund_Paths!$J$25</f>
        <v>0.089359375</v>
      </c>
    </row>
    <row r="27" customFormat="false" ht="15" hidden="false" customHeight="false" outlineLevel="0" collapsed="false">
      <c r="B27" s="9" t="s">
        <v>252</v>
      </c>
      <c r="C27" s="38" t="n">
        <f aca="false">Assumptions!$C$81</f>
        <v>0.025</v>
      </c>
    </row>
    <row r="28" customFormat="false" ht="15" hidden="false" customHeight="false" outlineLevel="0" collapsed="false">
      <c r="B28" s="9" t="s">
        <v>93</v>
      </c>
      <c r="C28" s="22" t="n">
        <f aca="false">Assumptions!$C$82</f>
        <v>0.4</v>
      </c>
    </row>
    <row r="29" customFormat="false" ht="15" hidden="false" customHeight="false" outlineLevel="0" collapsed="false">
      <c r="B29" s="9" t="s">
        <v>253</v>
      </c>
      <c r="C29" s="17" t="n">
        <f aca="false">Interval_Fund_Paths!$J$26</f>
        <v>0.0175</v>
      </c>
    </row>
    <row r="30" customFormat="false" ht="15" hidden="false" customHeight="false" outlineLevel="0" collapsed="false">
      <c r="B30" s="30" t="s">
        <v>254</v>
      </c>
      <c r="C30" s="29" t="n">
        <f aca="false">Interval_Fund_Paths!$J$25-Interval_Fund_Paths!$J$26</f>
        <v>0.071859375</v>
      </c>
    </row>
    <row r="31" customFormat="false" ht="15" hidden="false" customHeight="false" outlineLevel="0" collapsed="false">
      <c r="B31" s="9" t="s">
        <v>255</v>
      </c>
      <c r="C31" s="17" t="n">
        <f aca="false">C18+C21+C25</f>
        <v>0.043140625</v>
      </c>
    </row>
    <row r="32" customFormat="false" ht="15" hidden="false" customHeight="false" outlineLevel="0" collapsed="false">
      <c r="B32" s="9" t="s">
        <v>256</v>
      </c>
      <c r="C32" s="17" t="n">
        <f aca="false">C31+C16</f>
        <v>0.090015625</v>
      </c>
    </row>
    <row r="33" customFormat="false" ht="15" hidden="false" customHeight="false" outlineLevel="0" collapsed="false">
      <c r="B33" s="9" t="s">
        <v>257</v>
      </c>
      <c r="C33" s="38" t="n">
        <f aca="false">C31/C14</f>
        <v>0.240505226480836</v>
      </c>
    </row>
    <row r="34" customFormat="false" ht="15" hidden="false" customHeight="false" outlineLevel="0" collapsed="false">
      <c r="B34" s="9" t="s">
        <v>258</v>
      </c>
      <c r="C34" s="38" t="n">
        <f aca="false">C32/C14</f>
        <v>0.501829268292683</v>
      </c>
    </row>
    <row r="35" customFormat="false" ht="15" hidden="false" customHeight="false" outlineLevel="0" collapsed="false">
      <c r="B35" s="9" t="s">
        <v>259</v>
      </c>
      <c r="C35" s="26" t="n">
        <f aca="false">Assumptions!$C$69*C18</f>
        <v>2187.5</v>
      </c>
    </row>
    <row r="36" customFormat="false" ht="15" hidden="false" customHeight="false" outlineLevel="0" collapsed="false">
      <c r="B36" s="9" t="s">
        <v>260</v>
      </c>
      <c r="C36" s="26" t="n">
        <f aca="false">Assumptions!$C$69*C21</f>
        <v>850</v>
      </c>
    </row>
    <row r="37" customFormat="false" ht="15" hidden="false" customHeight="false" outlineLevel="0" collapsed="false">
      <c r="B37" s="9" t="s">
        <v>261</v>
      </c>
      <c r="C37" s="26" t="n">
        <f aca="false">Assumptions!$C$69*C25</f>
        <v>1276.5625</v>
      </c>
    </row>
    <row r="38" customFormat="false" ht="15" hidden="false" customHeight="false" outlineLevel="0" collapsed="false">
      <c r="B38" s="9" t="s">
        <v>262</v>
      </c>
      <c r="C38" s="26" t="n">
        <f aca="false">Assumptions!$C$69*C31</f>
        <v>4314.0625</v>
      </c>
    </row>
    <row r="39" customFormat="false" ht="15" hidden="false" customHeight="false" outlineLevel="0" collapsed="false">
      <c r="B39" s="9" t="s">
        <v>263</v>
      </c>
      <c r="C39" s="26" t="n">
        <f aca="false">Assumptions!$C$69*C16</f>
        <v>4687.5</v>
      </c>
    </row>
    <row r="40" customFormat="false" ht="15" hidden="false" customHeight="false" outlineLevel="0" collapsed="false">
      <c r="B40" s="9" t="s">
        <v>264</v>
      </c>
      <c r="C40" s="10" t="n">
        <v>0.01</v>
      </c>
    </row>
    <row r="41" customFormat="false" ht="15" hidden="false" customHeight="false" outlineLevel="0" collapsed="false">
      <c r="B41" s="9" t="s">
        <v>265</v>
      </c>
      <c r="C41" s="17" t="n">
        <f aca="false">C30-C40</f>
        <v>0.061859375</v>
      </c>
    </row>
    <row r="42" customFormat="false" ht="15" hidden="false" customHeight="false" outlineLevel="0" collapsed="false">
      <c r="B42" s="9" t="s">
        <v>147</v>
      </c>
      <c r="C42" s="37" t="n">
        <f aca="false">Interval_Fund_Paths!$M$28</f>
        <v>24.5341163459868</v>
      </c>
    </row>
    <row r="43" customFormat="false" ht="15" hidden="false" customHeight="false" outlineLevel="0" collapsed="false">
      <c r="B43" s="9" t="s">
        <v>148</v>
      </c>
      <c r="C43" s="37" t="n">
        <f aca="false">Interval_Fund_Paths!$Q$28</f>
        <v>24.0338415871958</v>
      </c>
    </row>
    <row r="44" customFormat="false" ht="15" hidden="false" customHeight="false" outlineLevel="0" collapsed="false">
      <c r="B44" s="9" t="s">
        <v>149</v>
      </c>
      <c r="C44" s="37" t="n">
        <f aca="false">Interval_Fund_Paths!$U$28</f>
        <v>23.4966370037607</v>
      </c>
    </row>
    <row r="45" customFormat="false" ht="15" hidden="false" customHeight="false" outlineLevel="0" collapsed="false">
      <c r="B45" s="9" t="s">
        <v>266</v>
      </c>
      <c r="C45" s="38" t="n">
        <f aca="false">C44/C5-1</f>
        <v>-0.0601345198495712</v>
      </c>
    </row>
    <row r="46" customFormat="false" ht="15" hidden="false" customHeight="false" outlineLevel="0" collapsed="false">
      <c r="B46" s="9" t="s">
        <v>183</v>
      </c>
      <c r="C46" s="39" t="n">
        <f aca="false">Interval_Fund_Paths!$J$27</f>
        <v>0.55849609375</v>
      </c>
    </row>
    <row r="47" customFormat="false" ht="15" hidden="false" customHeight="false" outlineLevel="0" collapsed="false">
      <c r="B47" s="9" t="s">
        <v>267</v>
      </c>
      <c r="C47" s="38" t="n">
        <f aca="false">Interval_Fund_Paths!$J$29</f>
        <v>0.992881944444444</v>
      </c>
    </row>
    <row r="48" customFormat="false" ht="15" hidden="false" customHeight="false" outlineLevel="0" collapsed="false">
      <c r="B48" s="9" t="s">
        <v>268</v>
      </c>
      <c r="C48" s="26" t="n">
        <f aca="false">SUM(Interval_Fund_Paths!$I$32:$Y$32)</f>
        <v>27000</v>
      </c>
    </row>
    <row r="49" customFormat="false" ht="15" hidden="false" customHeight="false" outlineLevel="0" collapsed="false">
      <c r="B49" s="9" t="s">
        <v>269</v>
      </c>
      <c r="C49" s="26" t="n">
        <f aca="false">C6*C44</f>
        <v>93986.5480150429</v>
      </c>
    </row>
    <row r="50" customFormat="false" ht="15" hidden="false" customHeight="false" outlineLevel="0" collapsed="false">
      <c r="B50" s="30" t="s">
        <v>151</v>
      </c>
      <c r="C50" s="29" t="n">
        <f aca="false">Interval_Fund_Paths!$H$36</f>
        <v>0.07381908440334</v>
      </c>
    </row>
    <row r="51" customFormat="false" ht="15" hidden="false" customHeight="false" outlineLevel="0" collapsed="false">
      <c r="B51" s="9" t="s">
        <v>152</v>
      </c>
      <c r="C51" s="17" t="n">
        <f aca="false">Interval_Fund_Paths!$H$72</f>
        <v>0.08866358319116</v>
      </c>
    </row>
    <row r="52" customFormat="false" ht="15" hidden="false" customHeight="false" outlineLevel="0" collapsed="false">
      <c r="B52" s="9" t="s">
        <v>155</v>
      </c>
      <c r="C52" s="17" t="n">
        <f aca="false">Interval_Fund_Paths!$H$108</f>
        <v>0.0537268981731835</v>
      </c>
    </row>
    <row r="53" customFormat="false" ht="15" hidden="false" customHeight="false" outlineLevel="0" collapsed="false">
      <c r="B53" s="9" t="s">
        <v>270</v>
      </c>
      <c r="C53" s="22" t="n">
        <f aca="false">Assumptions!$C$83</f>
        <v>0.05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1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4" min="3" style="0" width="12"/>
    <col collapsed="false" customWidth="true" hidden="false" outlineLevel="0" max="5" min="5" style="0" width="14"/>
    <col collapsed="false" customWidth="true" hidden="false" outlineLevel="0" max="6" min="6" style="0" width="12"/>
    <col collapsed="false" customWidth="true" hidden="false" outlineLevel="0" max="7" min="7" style="0" width="13"/>
    <col collapsed="false" customWidth="true" hidden="false" outlineLevel="0" max="8" min="8" style="0" width="11"/>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271</v>
      </c>
    </row>
    <row r="3" customFormat="false" ht="15" hidden="false" customHeight="false" outlineLevel="0" collapsed="false">
      <c r="B3" s="6" t="s">
        <v>272</v>
      </c>
    </row>
    <row r="5" customFormat="false" ht="15" hidden="false" customHeight="false" outlineLevel="0" collapsed="false">
      <c r="B5" s="7" t="s">
        <v>115</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8" customFormat="false" ht="15" hidden="false" customHeight="false" outlineLevel="0" collapsed="false">
      <c r="B8" s="9" t="s">
        <v>273</v>
      </c>
      <c r="C8" s="44" t="n">
        <v>1</v>
      </c>
      <c r="D8" s="6" t="s">
        <v>216</v>
      </c>
    </row>
    <row r="9" customFormat="false" ht="15" hidden="false" customHeight="false" outlineLevel="0" collapsed="false">
      <c r="B9" s="9" t="s">
        <v>274</v>
      </c>
      <c r="C9" s="38" t="n">
        <f aca="false">Assumptions!$C$81</f>
        <v>0.025</v>
      </c>
    </row>
    <row r="10" customFormat="false" ht="15" hidden="false" customHeight="false" outlineLevel="0" collapsed="false">
      <c r="B10" s="9" t="s">
        <v>275</v>
      </c>
      <c r="C10" s="12" t="n">
        <v>1</v>
      </c>
    </row>
    <row r="11" customFormat="false" ht="15" hidden="false" customHeight="false" outlineLevel="0" collapsed="false">
      <c r="B11" s="9" t="s">
        <v>276</v>
      </c>
      <c r="C11" s="16" t="n">
        <v>0</v>
      </c>
    </row>
    <row r="13" customFormat="false" ht="15" hidden="false" customHeight="false" outlineLevel="0" collapsed="false">
      <c r="B13" s="7" t="s">
        <v>126</v>
      </c>
      <c r="I13" s="33" t="n">
        <v>0</v>
      </c>
      <c r="J13" s="33" t="n">
        <v>1</v>
      </c>
      <c r="K13" s="33" t="n">
        <v>2</v>
      </c>
      <c r="L13" s="33" t="n">
        <v>3</v>
      </c>
      <c r="M13" s="33" t="n">
        <v>4</v>
      </c>
      <c r="N13" s="33" t="n">
        <v>5</v>
      </c>
      <c r="O13" s="33" t="n">
        <v>6</v>
      </c>
      <c r="P13" s="33" t="n">
        <v>7</v>
      </c>
      <c r="Q13" s="33" t="n">
        <v>8</v>
      </c>
      <c r="R13" s="33" t="n">
        <v>9</v>
      </c>
      <c r="S13" s="33" t="n">
        <v>10</v>
      </c>
      <c r="T13" s="33" t="n">
        <v>11</v>
      </c>
      <c r="U13" s="33" t="n">
        <v>12</v>
      </c>
      <c r="V13" s="33" t="n">
        <v>13</v>
      </c>
      <c r="W13" s="33" t="n">
        <v>14</v>
      </c>
      <c r="X13" s="33" t="n">
        <v>15</v>
      </c>
      <c r="Y13" s="33" t="n">
        <v>16</v>
      </c>
    </row>
    <row r="14" customFormat="false" ht="15" hidden="false" customHeight="false" outlineLevel="0" collapsed="false">
      <c r="B14" s="9" t="s">
        <v>127</v>
      </c>
      <c r="I14" s="17" t="n">
        <f aca="false">IF(I$13=0,Assumptions!$C$6,Assumptions!$C$6+$C$6+IF(I$13&gt;=5,$C$7,0))</f>
        <v>0.04</v>
      </c>
      <c r="J14" s="17" t="n">
        <f aca="false">IF(J$13=0,Assumptions!$C$6,Assumptions!$C$6+$C$6+IF(J$13&gt;=5,$C$7,0))</f>
        <v>0.04</v>
      </c>
      <c r="K14" s="17" t="n">
        <f aca="false">IF(K$13=0,Assumptions!$C$6,Assumptions!$C$6+$C$6+IF(K$13&gt;=5,$C$7,0))</f>
        <v>0.04</v>
      </c>
      <c r="L14" s="17" t="n">
        <f aca="false">IF(L$13=0,Assumptions!$C$6,Assumptions!$C$6+$C$6+IF(L$13&gt;=5,$C$7,0))</f>
        <v>0.04</v>
      </c>
      <c r="M14" s="17" t="n">
        <f aca="false">IF(M$13=0,Assumptions!$C$6,Assumptions!$C$6+$C$6+IF(M$13&gt;=5,$C$7,0))</f>
        <v>0.04</v>
      </c>
      <c r="N14" s="17" t="n">
        <f aca="false">IF(N$13=0,Assumptions!$C$6,Assumptions!$C$6+$C$6+IF(N$13&gt;=5,$C$7,0))</f>
        <v>0.04</v>
      </c>
      <c r="O14" s="17" t="n">
        <f aca="false">IF(O$13=0,Assumptions!$C$6,Assumptions!$C$6+$C$6+IF(O$13&gt;=5,$C$7,0))</f>
        <v>0.04</v>
      </c>
      <c r="P14" s="17" t="n">
        <f aca="false">IF(P$13=0,Assumptions!$C$6,Assumptions!$C$6+$C$6+IF(P$13&gt;=5,$C$7,0))</f>
        <v>0.04</v>
      </c>
      <c r="Q14" s="17" t="n">
        <f aca="false">IF(Q$13=0,Assumptions!$C$6,Assumptions!$C$6+$C$6+IF(Q$13&gt;=5,$C$7,0))</f>
        <v>0.04</v>
      </c>
      <c r="R14" s="17" t="n">
        <f aca="false">IF(R$13=0,Assumptions!$C$6,Assumptions!$C$6+$C$6+IF(R$13&gt;=5,$C$7,0))</f>
        <v>0.04</v>
      </c>
      <c r="S14" s="17" t="n">
        <f aca="false">IF(S$13=0,Assumptions!$C$6,Assumptions!$C$6+$C$6+IF(S$13&gt;=5,$C$7,0))</f>
        <v>0.04</v>
      </c>
      <c r="T14" s="17" t="n">
        <f aca="false">IF(T$13=0,Assumptions!$C$6,Assumptions!$C$6+$C$6+IF(T$13&gt;=5,$C$7,0))</f>
        <v>0.04</v>
      </c>
      <c r="U14" s="17" t="n">
        <f aca="false">IF(U$13=0,Assumptions!$C$6,Assumptions!$C$6+$C$6+IF(U$13&gt;=5,$C$7,0))</f>
        <v>0.04</v>
      </c>
      <c r="V14" s="17" t="n">
        <f aca="false">IF(V$13=0,Assumptions!$C$6,Assumptions!$C$6+$C$6+IF(V$13&gt;=5,$C$7,0))</f>
        <v>0.04</v>
      </c>
      <c r="W14" s="17" t="n">
        <f aca="false">IF(W$13=0,Assumptions!$C$6,Assumptions!$C$6+$C$6+IF(W$13&gt;=5,$C$7,0))</f>
        <v>0.04</v>
      </c>
      <c r="X14" s="17" t="n">
        <f aca="false">IF(X$13=0,Assumptions!$C$6,Assumptions!$C$6+$C$6+IF(X$13&gt;=5,$C$7,0))</f>
        <v>0.04</v>
      </c>
      <c r="Y14" s="17" t="n">
        <f aca="false">IF(Y$13=0,Assumptions!$C$6,Assumptions!$C$6+$C$6+IF(Y$13&gt;=5,$C$7,0))</f>
        <v>0.04</v>
      </c>
    </row>
    <row r="16" customFormat="false" ht="15" hidden="false" customHeight="false" outlineLevel="0" collapsed="false">
      <c r="B16" s="7" t="s">
        <v>277</v>
      </c>
      <c r="C16" s="8"/>
      <c r="D16" s="8"/>
      <c r="E16" s="8"/>
      <c r="F16" s="8"/>
      <c r="G16" s="8"/>
      <c r="H16" s="8"/>
      <c r="I16" s="8"/>
      <c r="J16" s="8"/>
      <c r="K16" s="8"/>
      <c r="L16" s="8"/>
      <c r="M16" s="8"/>
      <c r="N16" s="8"/>
      <c r="O16" s="8"/>
      <c r="P16" s="8"/>
      <c r="Q16" s="8"/>
      <c r="R16" s="8"/>
      <c r="S16" s="8"/>
      <c r="T16" s="8"/>
      <c r="U16" s="8"/>
      <c r="V16" s="8"/>
      <c r="W16" s="8"/>
      <c r="X16" s="8"/>
      <c r="Y16" s="8"/>
    </row>
    <row r="17" customFormat="false" ht="15" hidden="false" customHeight="false" outlineLevel="0" collapsed="false">
      <c r="B17" s="9" t="s">
        <v>144</v>
      </c>
      <c r="C17" s="35" t="n">
        <f aca="false">Assumptions!$C$69/Assumptions!$C$70</f>
        <v>4000</v>
      </c>
    </row>
    <row r="18" customFormat="false" ht="15" hidden="false" customHeight="false" outlineLevel="0" collapsed="false">
      <c r="B18" s="9" t="s">
        <v>278</v>
      </c>
      <c r="C18" s="6" t="s">
        <v>279</v>
      </c>
      <c r="J18" s="17" t="n">
        <f aca="false">J14+Assumptions!$C$72+Assumptions!$C$73</f>
        <v>0.1025</v>
      </c>
      <c r="K18" s="17" t="n">
        <f aca="false">K14+Assumptions!$C$72+Assumptions!$C$73</f>
        <v>0.1025</v>
      </c>
      <c r="L18" s="17" t="n">
        <f aca="false">L14+Assumptions!$C$72+Assumptions!$C$73</f>
        <v>0.1025</v>
      </c>
      <c r="M18" s="17" t="n">
        <f aca="false">M14+Assumptions!$C$72+Assumptions!$C$73</f>
        <v>0.1025</v>
      </c>
      <c r="N18" s="17" t="n">
        <f aca="false">N14+Assumptions!$C$72+Assumptions!$C$73</f>
        <v>0.1025</v>
      </c>
      <c r="O18" s="17" t="n">
        <f aca="false">O14+Assumptions!$C$72+Assumptions!$C$73</f>
        <v>0.1025</v>
      </c>
      <c r="P18" s="17" t="n">
        <f aca="false">P14+Assumptions!$C$72+Assumptions!$C$73</f>
        <v>0.1025</v>
      </c>
      <c r="Q18" s="17" t="n">
        <f aca="false">Q14+Assumptions!$C$72+Assumptions!$C$73</f>
        <v>0.1025</v>
      </c>
      <c r="R18" s="17" t="n">
        <f aca="false">R14+Assumptions!$C$72+Assumptions!$C$73</f>
        <v>0.1025</v>
      </c>
      <c r="S18" s="17" t="n">
        <f aca="false">S14+Assumptions!$C$72+Assumptions!$C$73</f>
        <v>0.1025</v>
      </c>
      <c r="T18" s="17" t="n">
        <f aca="false">T14+Assumptions!$C$72+Assumptions!$C$73</f>
        <v>0.1025</v>
      </c>
      <c r="U18" s="17" t="n">
        <f aca="false">U14+Assumptions!$C$72+Assumptions!$C$73</f>
        <v>0.1025</v>
      </c>
      <c r="V18" s="17" t="n">
        <f aca="false">U14+Assumptions!$C$72+Assumptions!$C$73</f>
        <v>0.1025</v>
      </c>
      <c r="W18" s="17" t="n">
        <f aca="false">U14+Assumptions!$C$72+Assumptions!$C$73</f>
        <v>0.1025</v>
      </c>
      <c r="X18" s="17" t="n">
        <f aca="false">U14+Assumptions!$C$72+Assumptions!$C$73</f>
        <v>0.1025</v>
      </c>
      <c r="Y18" s="17" t="n">
        <f aca="false">U14+Assumptions!$C$72+Assumptions!$C$73</f>
        <v>0.1025</v>
      </c>
    </row>
    <row r="19" customFormat="false" ht="15" hidden="false" customHeight="false" outlineLevel="0" collapsed="false">
      <c r="B19" s="9" t="s">
        <v>242</v>
      </c>
      <c r="J19" s="17" t="n">
        <f aca="false">J18*(1+Assumptions!$C$74)</f>
        <v>0.179375</v>
      </c>
      <c r="K19" s="17" t="n">
        <f aca="false">K18*(1+Assumptions!$C$74)</f>
        <v>0.179375</v>
      </c>
      <c r="L19" s="17" t="n">
        <f aca="false">L18*(1+Assumptions!$C$74)</f>
        <v>0.179375</v>
      </c>
      <c r="M19" s="17" t="n">
        <f aca="false">M18*(1+Assumptions!$C$74)</f>
        <v>0.179375</v>
      </c>
      <c r="N19" s="17" t="n">
        <f aca="false">N18*(1+Assumptions!$C$74)</f>
        <v>0.179375</v>
      </c>
      <c r="O19" s="17" t="n">
        <f aca="false">O18*(1+Assumptions!$C$74)</f>
        <v>0.179375</v>
      </c>
      <c r="P19" s="17" t="n">
        <f aca="false">P18*(1+Assumptions!$C$74)</f>
        <v>0.179375</v>
      </c>
      <c r="Q19" s="17" t="n">
        <f aca="false">Q18*(1+Assumptions!$C$74)</f>
        <v>0.179375</v>
      </c>
      <c r="R19" s="17" t="n">
        <f aca="false">R18*(1+Assumptions!$C$74)</f>
        <v>0.179375</v>
      </c>
      <c r="S19" s="17" t="n">
        <f aca="false">S18*(1+Assumptions!$C$74)</f>
        <v>0.179375</v>
      </c>
      <c r="T19" s="17" t="n">
        <f aca="false">T18*(1+Assumptions!$C$74)</f>
        <v>0.179375</v>
      </c>
      <c r="U19" s="17" t="n">
        <f aca="false">U18*(1+Assumptions!$C$74)</f>
        <v>0.179375</v>
      </c>
      <c r="V19" s="17" t="n">
        <f aca="false">V18*(1+Assumptions!$C$74)</f>
        <v>0.179375</v>
      </c>
      <c r="W19" s="17" t="n">
        <f aca="false">W18*(1+Assumptions!$C$74)</f>
        <v>0.179375</v>
      </c>
      <c r="X19" s="17" t="n">
        <f aca="false">X18*(1+Assumptions!$C$74)</f>
        <v>0.179375</v>
      </c>
      <c r="Y19" s="17" t="n">
        <f aca="false">Y18*(1+Assumptions!$C$74)</f>
        <v>0.179375</v>
      </c>
    </row>
    <row r="20" customFormat="false" ht="15" hidden="false" customHeight="false" outlineLevel="0" collapsed="false">
      <c r="B20" s="9" t="s">
        <v>243</v>
      </c>
      <c r="J20" s="17" t="n">
        <f aca="false">(J14+Assumptions!$C$75)*Assumptions!$C$74</f>
        <v>0.046875</v>
      </c>
      <c r="K20" s="17" t="n">
        <f aca="false">(K14+Assumptions!$C$75)*Assumptions!$C$74</f>
        <v>0.046875</v>
      </c>
      <c r="L20" s="17" t="n">
        <f aca="false">(L14+Assumptions!$C$75)*Assumptions!$C$74</f>
        <v>0.046875</v>
      </c>
      <c r="M20" s="17" t="n">
        <f aca="false">(M14+Assumptions!$C$75)*Assumptions!$C$74</f>
        <v>0.046875</v>
      </c>
      <c r="N20" s="17" t="n">
        <f aca="false">(N14+Assumptions!$C$75)*Assumptions!$C$74</f>
        <v>0.046875</v>
      </c>
      <c r="O20" s="17" t="n">
        <f aca="false">(O14+Assumptions!$C$75)*Assumptions!$C$74</f>
        <v>0.046875</v>
      </c>
      <c r="P20" s="17" t="n">
        <f aca="false">(P14+Assumptions!$C$75)*Assumptions!$C$74</f>
        <v>0.046875</v>
      </c>
      <c r="Q20" s="17" t="n">
        <f aca="false">(Q14+Assumptions!$C$75)*Assumptions!$C$74</f>
        <v>0.046875</v>
      </c>
      <c r="R20" s="17" t="n">
        <f aca="false">(R14+Assumptions!$C$75)*Assumptions!$C$74</f>
        <v>0.046875</v>
      </c>
      <c r="S20" s="17" t="n">
        <f aca="false">(S14+Assumptions!$C$75)*Assumptions!$C$74</f>
        <v>0.046875</v>
      </c>
      <c r="T20" s="17" t="n">
        <f aca="false">(T14+Assumptions!$C$75)*Assumptions!$C$74</f>
        <v>0.046875</v>
      </c>
      <c r="U20" s="17" t="n">
        <f aca="false">(U14+Assumptions!$C$75)*Assumptions!$C$74</f>
        <v>0.046875</v>
      </c>
      <c r="V20" s="17" t="n">
        <f aca="false">(U14+Assumptions!$C$75)*Assumptions!$C$74</f>
        <v>0.046875</v>
      </c>
      <c r="W20" s="17" t="n">
        <f aca="false">(U14+Assumptions!$C$75)*Assumptions!$C$74</f>
        <v>0.046875</v>
      </c>
      <c r="X20" s="17" t="n">
        <f aca="false">(U14+Assumptions!$C$75)*Assumptions!$C$74</f>
        <v>0.046875</v>
      </c>
      <c r="Y20" s="17" t="n">
        <f aca="false">(U14+Assumptions!$C$75)*Assumptions!$C$74</f>
        <v>0.046875</v>
      </c>
    </row>
    <row r="21" customFormat="false" ht="15" hidden="false" customHeight="false" outlineLevel="0" collapsed="false">
      <c r="B21" s="9" t="s">
        <v>245</v>
      </c>
      <c r="J21" s="17" t="n">
        <f aca="false">Assumptions!$C$76*(1+Assumptions!$C$74)</f>
        <v>0.021875</v>
      </c>
      <c r="K21" s="17" t="n">
        <f aca="false">Assumptions!$C$76*(1+Assumptions!$C$74)</f>
        <v>0.021875</v>
      </c>
      <c r="L21" s="17" t="n">
        <f aca="false">Assumptions!$C$76*(1+Assumptions!$C$74)</f>
        <v>0.021875</v>
      </c>
      <c r="M21" s="17" t="n">
        <f aca="false">Assumptions!$C$76*(1+Assumptions!$C$74)</f>
        <v>0.021875</v>
      </c>
      <c r="N21" s="17" t="n">
        <f aca="false">Assumptions!$C$76*(1+Assumptions!$C$74)</f>
        <v>0.021875</v>
      </c>
      <c r="O21" s="17" t="n">
        <f aca="false">Assumptions!$C$76*(1+Assumptions!$C$74)</f>
        <v>0.021875</v>
      </c>
      <c r="P21" s="17" t="n">
        <f aca="false">Assumptions!$C$76*(1+Assumptions!$C$74)</f>
        <v>0.021875</v>
      </c>
      <c r="Q21" s="17" t="n">
        <f aca="false">Assumptions!$C$76*(1+Assumptions!$C$74)</f>
        <v>0.021875</v>
      </c>
      <c r="R21" s="17" t="n">
        <f aca="false">Assumptions!$C$76*(1+Assumptions!$C$74)</f>
        <v>0.021875</v>
      </c>
      <c r="S21" s="17" t="n">
        <f aca="false">Assumptions!$C$76*(1+Assumptions!$C$74)</f>
        <v>0.021875</v>
      </c>
      <c r="T21" s="17" t="n">
        <f aca="false">Assumptions!$C$76*(1+Assumptions!$C$74)</f>
        <v>0.021875</v>
      </c>
      <c r="U21" s="17" t="n">
        <f aca="false">Assumptions!$C$76*(1+Assumptions!$C$74)</f>
        <v>0.021875</v>
      </c>
      <c r="V21" s="17" t="n">
        <f aca="false">Assumptions!$C$76*(1+Assumptions!$C$74)</f>
        <v>0.021875</v>
      </c>
      <c r="W21" s="17" t="n">
        <f aca="false">Assumptions!$C$76*(1+Assumptions!$C$74)</f>
        <v>0.021875</v>
      </c>
      <c r="X21" s="17" t="n">
        <f aca="false">Assumptions!$C$76*(1+Assumptions!$C$74)</f>
        <v>0.021875</v>
      </c>
      <c r="Y21" s="17" t="n">
        <f aca="false">Assumptions!$C$76*(1+Assumptions!$C$74)</f>
        <v>0.021875</v>
      </c>
    </row>
    <row r="22" customFormat="false" ht="15" hidden="false" customHeight="false" outlineLevel="0" collapsed="false">
      <c r="B22" s="9" t="s">
        <v>247</v>
      </c>
      <c r="J22" s="17" t="n">
        <f aca="false">Assumptions!$C$77+Assumptions!$C$78</f>
        <v>0.0085</v>
      </c>
      <c r="K22" s="17" t="n">
        <f aca="false">Assumptions!$C$77+Assumptions!$C$78</f>
        <v>0.0085</v>
      </c>
      <c r="L22" s="17" t="n">
        <f aca="false">Assumptions!$C$77+Assumptions!$C$78</f>
        <v>0.0085</v>
      </c>
      <c r="M22" s="17" t="n">
        <f aca="false">Assumptions!$C$77+Assumptions!$C$78</f>
        <v>0.0085</v>
      </c>
      <c r="N22" s="17" t="n">
        <f aca="false">Assumptions!$C$77+Assumptions!$C$78</f>
        <v>0.0085</v>
      </c>
      <c r="O22" s="17" t="n">
        <f aca="false">Assumptions!$C$77+Assumptions!$C$78</f>
        <v>0.0085</v>
      </c>
      <c r="P22" s="17" t="n">
        <f aca="false">Assumptions!$C$77+Assumptions!$C$78</f>
        <v>0.0085</v>
      </c>
      <c r="Q22" s="17" t="n">
        <f aca="false">Assumptions!$C$77+Assumptions!$C$78</f>
        <v>0.0085</v>
      </c>
      <c r="R22" s="17" t="n">
        <f aca="false">Assumptions!$C$77+Assumptions!$C$78</f>
        <v>0.0085</v>
      </c>
      <c r="S22" s="17" t="n">
        <f aca="false">Assumptions!$C$77+Assumptions!$C$78</f>
        <v>0.0085</v>
      </c>
      <c r="T22" s="17" t="n">
        <f aca="false">Assumptions!$C$77+Assumptions!$C$78</f>
        <v>0.0085</v>
      </c>
      <c r="U22" s="17" t="n">
        <f aca="false">Assumptions!$C$77+Assumptions!$C$78</f>
        <v>0.0085</v>
      </c>
      <c r="V22" s="17" t="n">
        <f aca="false">Assumptions!$C$77+Assumptions!$C$78</f>
        <v>0.0085</v>
      </c>
      <c r="W22" s="17" t="n">
        <f aca="false">Assumptions!$C$77+Assumptions!$C$78</f>
        <v>0.0085</v>
      </c>
      <c r="X22" s="17" t="n">
        <f aca="false">Assumptions!$C$77+Assumptions!$C$78</f>
        <v>0.0085</v>
      </c>
      <c r="Y22" s="17" t="n">
        <f aca="false">Assumptions!$C$77+Assumptions!$C$78</f>
        <v>0.0085</v>
      </c>
    </row>
    <row r="23" customFormat="false" ht="15" hidden="false" customHeight="false" outlineLevel="0" collapsed="false">
      <c r="B23" s="9" t="s">
        <v>280</v>
      </c>
      <c r="J23" s="17" t="n">
        <f aca="false">J19-J20-J21-J22</f>
        <v>0.102125</v>
      </c>
      <c r="K23" s="17" t="n">
        <f aca="false">K19-K20-K21-K22</f>
        <v>0.102125</v>
      </c>
      <c r="L23" s="17" t="n">
        <f aca="false">L19-L20-L21-L22</f>
        <v>0.102125</v>
      </c>
      <c r="M23" s="17" t="n">
        <f aca="false">M19-M20-M21-M22</f>
        <v>0.102125</v>
      </c>
      <c r="N23" s="17" t="n">
        <f aca="false">N19-N20-N21-N22</f>
        <v>0.102125</v>
      </c>
      <c r="O23" s="17" t="n">
        <f aca="false">O19-O20-O21-O22</f>
        <v>0.102125</v>
      </c>
      <c r="P23" s="17" t="n">
        <f aca="false">P19-P20-P21-P22</f>
        <v>0.102125</v>
      </c>
      <c r="Q23" s="17" t="n">
        <f aca="false">Q19-Q20-Q21-Q22</f>
        <v>0.102125</v>
      </c>
      <c r="R23" s="17" t="n">
        <f aca="false">R19-R20-R21-R22</f>
        <v>0.102125</v>
      </c>
      <c r="S23" s="17" t="n">
        <f aca="false">S19-S20-S21-S22</f>
        <v>0.102125</v>
      </c>
      <c r="T23" s="17" t="n">
        <f aca="false">T19-T20-T21-T22</f>
        <v>0.102125</v>
      </c>
      <c r="U23" s="17" t="n">
        <f aca="false">U19-U20-U21-U22</f>
        <v>0.102125</v>
      </c>
      <c r="V23" s="17" t="n">
        <f aca="false">V19-V20-V21-V22</f>
        <v>0.102125</v>
      </c>
      <c r="W23" s="17" t="n">
        <f aca="false">W19-W20-W21-W22</f>
        <v>0.102125</v>
      </c>
      <c r="X23" s="17" t="n">
        <f aca="false">X19-X20-X21-X22</f>
        <v>0.102125</v>
      </c>
      <c r="Y23" s="17" t="n">
        <f aca="false">Y19-Y20-Y21-Y22</f>
        <v>0.102125</v>
      </c>
    </row>
    <row r="24" customFormat="false" ht="15" hidden="false" customHeight="false" outlineLevel="0" collapsed="false">
      <c r="B24" s="9" t="s">
        <v>281</v>
      </c>
      <c r="J24" s="17" t="n">
        <f aca="false">IF(J23&gt;Assumptions!$C$80,Assumptions!$C$79*J23,0)</f>
        <v>0.012765625</v>
      </c>
      <c r="K24" s="17" t="n">
        <f aca="false">IF(K23&gt;Assumptions!$C$80,Assumptions!$C$79*K23,0)</f>
        <v>0.012765625</v>
      </c>
      <c r="L24" s="17" t="n">
        <f aca="false">IF(L23&gt;Assumptions!$C$80,Assumptions!$C$79*L23,0)</f>
        <v>0.012765625</v>
      </c>
      <c r="M24" s="17" t="n">
        <f aca="false">IF(M23&gt;Assumptions!$C$80,Assumptions!$C$79*M23,0)</f>
        <v>0.012765625</v>
      </c>
      <c r="N24" s="17" t="n">
        <f aca="false">IF(N23&gt;Assumptions!$C$80,Assumptions!$C$79*N23,0)</f>
        <v>0.012765625</v>
      </c>
      <c r="O24" s="17" t="n">
        <f aca="false">IF(O23&gt;Assumptions!$C$80,Assumptions!$C$79*O23,0)</f>
        <v>0.012765625</v>
      </c>
      <c r="P24" s="17" t="n">
        <f aca="false">IF(P23&gt;Assumptions!$C$80,Assumptions!$C$79*P23,0)</f>
        <v>0.012765625</v>
      </c>
      <c r="Q24" s="17" t="n">
        <f aca="false">IF(Q23&gt;Assumptions!$C$80,Assumptions!$C$79*Q23,0)</f>
        <v>0.012765625</v>
      </c>
      <c r="R24" s="17" t="n">
        <f aca="false">IF(R23&gt;Assumptions!$C$80,Assumptions!$C$79*R23,0)</f>
        <v>0.012765625</v>
      </c>
      <c r="S24" s="17" t="n">
        <f aca="false">IF(S23&gt;Assumptions!$C$80,Assumptions!$C$79*S23,0)</f>
        <v>0.012765625</v>
      </c>
      <c r="T24" s="17" t="n">
        <f aca="false">IF(T23&gt;Assumptions!$C$80,Assumptions!$C$79*T23,0)</f>
        <v>0.012765625</v>
      </c>
      <c r="U24" s="17" t="n">
        <f aca="false">IF(U23&gt;Assumptions!$C$80,Assumptions!$C$79*U23,0)</f>
        <v>0.012765625</v>
      </c>
      <c r="V24" s="17" t="n">
        <f aca="false">IF(V23&gt;Assumptions!$C$80,Assumptions!$C$79*V23,0)</f>
        <v>0.012765625</v>
      </c>
      <c r="W24" s="17" t="n">
        <f aca="false">IF(W23&gt;Assumptions!$C$80,Assumptions!$C$79*W23,0)</f>
        <v>0.012765625</v>
      </c>
      <c r="X24" s="17" t="n">
        <f aca="false">IF(X23&gt;Assumptions!$C$80,Assumptions!$C$79*X23,0)</f>
        <v>0.012765625</v>
      </c>
      <c r="Y24" s="17" t="n">
        <f aca="false">IF(Y23&gt;Assumptions!$C$80,Assumptions!$C$79*Y23,0)</f>
        <v>0.012765625</v>
      </c>
    </row>
    <row r="25" customFormat="false" ht="15" hidden="false" customHeight="false" outlineLevel="0" collapsed="false">
      <c r="B25" s="9" t="s">
        <v>251</v>
      </c>
      <c r="J25" s="17" t="n">
        <f aca="false">J23-J24</f>
        <v>0.089359375</v>
      </c>
      <c r="K25" s="17" t="n">
        <f aca="false">K23-K24</f>
        <v>0.089359375</v>
      </c>
      <c r="L25" s="17" t="n">
        <f aca="false">L23-L24</f>
        <v>0.089359375</v>
      </c>
      <c r="M25" s="17" t="n">
        <f aca="false">M23-M24</f>
        <v>0.089359375</v>
      </c>
      <c r="N25" s="17" t="n">
        <f aca="false">N23-N24</f>
        <v>0.089359375</v>
      </c>
      <c r="O25" s="17" t="n">
        <f aca="false">O23-O24</f>
        <v>0.089359375</v>
      </c>
      <c r="P25" s="17" t="n">
        <f aca="false">P23-P24</f>
        <v>0.089359375</v>
      </c>
      <c r="Q25" s="17" t="n">
        <f aca="false">Q23-Q24</f>
        <v>0.089359375</v>
      </c>
      <c r="R25" s="17" t="n">
        <f aca="false">R23-R24</f>
        <v>0.089359375</v>
      </c>
      <c r="S25" s="17" t="n">
        <f aca="false">S23-S24</f>
        <v>0.089359375</v>
      </c>
      <c r="T25" s="17" t="n">
        <f aca="false">T23-T24</f>
        <v>0.089359375</v>
      </c>
      <c r="U25" s="17" t="n">
        <f aca="false">U23-U24</f>
        <v>0.089359375</v>
      </c>
      <c r="V25" s="17" t="n">
        <f aca="false">V23-V24</f>
        <v>0.089359375</v>
      </c>
      <c r="W25" s="17" t="n">
        <f aca="false">W23-W24</f>
        <v>0.089359375</v>
      </c>
      <c r="X25" s="17" t="n">
        <f aca="false">X23-X24</f>
        <v>0.089359375</v>
      </c>
      <c r="Y25" s="17" t="n">
        <f aca="false">Y23-Y24</f>
        <v>0.089359375</v>
      </c>
    </row>
    <row r="26" customFormat="false" ht="15" hidden="false" customHeight="false" outlineLevel="0" collapsed="false">
      <c r="B26" s="9" t="s">
        <v>282</v>
      </c>
      <c r="J26" s="17" t="n">
        <f aca="false">$C$9*Assumptions!$C$82*(1+Assumptions!$C$74)*IF(AND(J$13&gt;=5,J$13&lt;=8),$C$8,1)</f>
        <v>0.0175</v>
      </c>
      <c r="K26" s="17" t="n">
        <f aca="false">$C$9*Assumptions!$C$82*(1+Assumptions!$C$74)*IF(AND(K$13&gt;=5,K$13&lt;=8),$C$8,1)</f>
        <v>0.0175</v>
      </c>
      <c r="L26" s="17" t="n">
        <f aca="false">$C$9*Assumptions!$C$82*(1+Assumptions!$C$74)*IF(AND(L$13&gt;=5,L$13&lt;=8),$C$8,1)</f>
        <v>0.0175</v>
      </c>
      <c r="M26" s="17" t="n">
        <f aca="false">$C$9*Assumptions!$C$82*(1+Assumptions!$C$74)*IF(AND(M$13&gt;=5,M$13&lt;=8),$C$8,1)</f>
        <v>0.0175</v>
      </c>
      <c r="N26" s="17" t="n">
        <f aca="false">$C$9*Assumptions!$C$82*(1+Assumptions!$C$74)*IF(AND(N$13&gt;=5,N$13&lt;=8),$C$8,1)</f>
        <v>0.0175</v>
      </c>
      <c r="O26" s="17" t="n">
        <f aca="false">$C$9*Assumptions!$C$82*(1+Assumptions!$C$74)*IF(AND(O$13&gt;=5,O$13&lt;=8),$C$8,1)</f>
        <v>0.0175</v>
      </c>
      <c r="P26" s="17" t="n">
        <f aca="false">$C$9*Assumptions!$C$82*(1+Assumptions!$C$74)*IF(AND(P$13&gt;=5,P$13&lt;=8),$C$8,1)</f>
        <v>0.0175</v>
      </c>
      <c r="Q26" s="17" t="n">
        <f aca="false">$C$9*Assumptions!$C$82*(1+Assumptions!$C$74)*IF(AND(Q$13&gt;=5,Q$13&lt;=8),$C$8,1)</f>
        <v>0.0175</v>
      </c>
      <c r="R26" s="17" t="n">
        <f aca="false">$C$9*Assumptions!$C$82*(1+Assumptions!$C$74)*IF(AND(R$13&gt;=5,R$13&lt;=8),$C$8,1)</f>
        <v>0.0175</v>
      </c>
      <c r="S26" s="17" t="n">
        <f aca="false">$C$9*Assumptions!$C$82*(1+Assumptions!$C$74)*IF(AND(S$13&gt;=5,S$13&lt;=8),$C$8,1)</f>
        <v>0.0175</v>
      </c>
      <c r="T26" s="17" t="n">
        <f aca="false">$C$9*Assumptions!$C$82*(1+Assumptions!$C$74)*IF(AND(T$13&gt;=5,T$13&lt;=8),$C$8,1)</f>
        <v>0.0175</v>
      </c>
      <c r="U26" s="17" t="n">
        <f aca="false">$C$9*Assumptions!$C$82*(1+Assumptions!$C$74)*IF(AND(U$13&gt;=5,U$13&lt;=8),$C$8,1)</f>
        <v>0.0175</v>
      </c>
      <c r="V26" s="17" t="n">
        <f aca="false">$C$9*Assumptions!$C$82*(1+Assumptions!$C$74)*IF(AND(V$13&gt;=5,V$13&lt;=8),$C$8,1)</f>
        <v>0.0175</v>
      </c>
      <c r="W26" s="17" t="n">
        <f aca="false">$C$9*Assumptions!$C$82*(1+Assumptions!$C$74)*IF(AND(W$13&gt;=5,W$13&lt;=8),$C$8,1)</f>
        <v>0.0175</v>
      </c>
      <c r="X26" s="17" t="n">
        <f aca="false">$C$9*Assumptions!$C$82*(1+Assumptions!$C$74)*IF(AND(X$13&gt;=5,X$13&lt;=8),$C$8,1)</f>
        <v>0.0175</v>
      </c>
      <c r="Y26" s="17" t="n">
        <f aca="false">$C$9*Assumptions!$C$82*(1+Assumptions!$C$74)*IF(AND(Y$13&gt;=5,Y$13&lt;=8),$C$8,1)</f>
        <v>0.0175</v>
      </c>
    </row>
    <row r="27" customFormat="false" ht="15" hidden="false" customHeight="false" outlineLevel="0" collapsed="false">
      <c r="B27" s="9" t="s">
        <v>226</v>
      </c>
      <c r="J27" s="39" t="n">
        <f aca="false">I28*J25/4</f>
        <v>0.55849609375</v>
      </c>
      <c r="K27" s="39" t="n">
        <f aca="false">J28*K25/4</f>
        <v>0.555963226699829</v>
      </c>
      <c r="L27" s="39" t="n">
        <f aca="false">K28*L25/4</f>
        <v>0.553384857088862</v>
      </c>
      <c r="M27" s="39" t="n">
        <f aca="false">L28*M25/4</f>
        <v>0.550760167470705</v>
      </c>
      <c r="N27" s="39" t="n">
        <f aca="false">M28*N25/4</f>
        <v>0.548088325713665</v>
      </c>
      <c r="O27" s="39" t="n">
        <f aca="false">N28*O25/4</f>
        <v>0.545368484736935</v>
      </c>
      <c r="P27" s="39" t="n">
        <f aca="false">O28*P25/4</f>
        <v>0.542599782242033</v>
      </c>
      <c r="Q27" s="39" t="n">
        <f aca="false">P28*Q25/4</f>
        <v>0.539781340439421</v>
      </c>
      <c r="R27" s="39" t="n">
        <f aca="false">Q28*R25/4</f>
        <v>0.536912265770205</v>
      </c>
      <c r="S27" s="39" t="n">
        <f aca="false">R28*S25/4</f>
        <v>0.533991648622851</v>
      </c>
      <c r="T27" s="39" t="n">
        <f aca="false">S28*T25/4</f>
        <v>0.53101856304479</v>
      </c>
      <c r="U27" s="39" t="n">
        <f aca="false">T28*U25/4</f>
        <v>0.527992066448864</v>
      </c>
      <c r="V27" s="39" t="n">
        <f aca="false">U28*V25/4</f>
        <v>0.524911199314483</v>
      </c>
      <c r="W27" s="39" t="n">
        <f aca="false">V28*W25/4</f>
        <v>0.521774984883417</v>
      </c>
      <c r="X27" s="39" t="n">
        <f aca="false">W28*X25/4</f>
        <v>0.518582428850132</v>
      </c>
      <c r="Y27" s="39" t="n">
        <f aca="false">X28*Y25/4</f>
        <v>0.515332519046545</v>
      </c>
    </row>
    <row r="28" customFormat="false" ht="15" hidden="false" customHeight="false" outlineLevel="0" collapsed="false">
      <c r="B28" s="9" t="s">
        <v>229</v>
      </c>
      <c r="I28" s="37" t="n">
        <f aca="false">Assumptions!$C$70</f>
        <v>25</v>
      </c>
      <c r="J28" s="37" t="n">
        <f aca="false">I28+J27-Assumptions!$C$71-I28*J26/4</f>
        <v>24.88662109375</v>
      </c>
      <c r="K28" s="37" t="n">
        <f aca="false">J28+K27-Assumptions!$C$71-J28*K26/4</f>
        <v>24.7712053531647</v>
      </c>
      <c r="L28" s="37" t="n">
        <f aca="false">K28+L27-Assumptions!$C$71-K28*L26/4</f>
        <v>24.6537161868334</v>
      </c>
      <c r="M28" s="37" t="n">
        <f aca="false">L28+M27-Assumptions!$C$71-L28*M26/4</f>
        <v>24.5341163459868</v>
      </c>
      <c r="N28" s="37" t="n">
        <f aca="false">M28+N27-Assumptions!$C$71-M28*N26/4</f>
        <v>24.4123679126867</v>
      </c>
      <c r="O28" s="37" t="n">
        <f aca="false">N28+O27-Assumptions!$C$71-N28*O26/4</f>
        <v>24.2884322878057</v>
      </c>
      <c r="P28" s="37" t="n">
        <f aca="false">O28+P27-Assumptions!$C$71-O28*P26/4</f>
        <v>24.1622701787885</v>
      </c>
      <c r="Q28" s="37" t="n">
        <f aca="false">P28+Q27-Assumptions!$C$71-P28*Q26/4</f>
        <v>24.0338415871958</v>
      </c>
      <c r="R28" s="37" t="n">
        <f aca="false">Q28+R27-Assumptions!$C$71-Q28*R26/4</f>
        <v>23.903105796022</v>
      </c>
      <c r="S28" s="37" t="n">
        <f aca="false">R28+S27-Assumptions!$C$71-R28*S26/4</f>
        <v>23.7700213567872</v>
      </c>
      <c r="T28" s="37" t="n">
        <f aca="false">S28+T27-Assumptions!$C$71-S28*T26/4</f>
        <v>23.6345460763961</v>
      </c>
      <c r="U28" s="37" t="n">
        <f aca="false">T28+U27-Assumptions!$C$71-T28*U26/4</f>
        <v>23.4966370037607</v>
      </c>
      <c r="V28" s="37" t="n">
        <f aca="false">U28+V27-Assumptions!$C$71-U28*V26/4</f>
        <v>23.3562504161838</v>
      </c>
      <c r="W28" s="37" t="n">
        <f aca="false">V28+W27-Assumptions!$C$71-V28*W26/4</f>
        <v>23.2133418054964</v>
      </c>
      <c r="X28" s="37" t="n">
        <f aca="false">W28+X27-Assumptions!$C$71-W28*X26/4</f>
        <v>23.0678658639475</v>
      </c>
      <c r="Y28" s="37" t="n">
        <f aca="false">X28+Y27-Assumptions!$C$71-X28*Y26/4</f>
        <v>22.9197764698392</v>
      </c>
    </row>
    <row r="29" customFormat="false" ht="15" hidden="false" customHeight="false" outlineLevel="0" collapsed="false">
      <c r="B29" s="9" t="s">
        <v>283</v>
      </c>
      <c r="J29" s="38" t="n">
        <f aca="false">J27/Assumptions!$C$71</f>
        <v>0.992881944444444</v>
      </c>
      <c r="K29" s="38" t="n">
        <f aca="false">K27/Assumptions!$C$71</f>
        <v>0.988379069688585</v>
      </c>
      <c r="L29" s="38" t="n">
        <f aca="false">L27/Assumptions!$C$71</f>
        <v>0.983795301491311</v>
      </c>
      <c r="M29" s="38" t="n">
        <f aca="false">M27/Assumptions!$C$71</f>
        <v>0.979129186614587</v>
      </c>
      <c r="N29" s="38" t="n">
        <f aca="false">N27/Assumptions!$C$71</f>
        <v>0.974379245713182</v>
      </c>
      <c r="O29" s="38" t="n">
        <f aca="false">O27/Assumptions!$C$71</f>
        <v>0.969543972865662</v>
      </c>
      <c r="P29" s="38" t="n">
        <f aca="false">P27/Assumptions!$C$71</f>
        <v>0.964621835096948</v>
      </c>
      <c r="Q29" s="38" t="n">
        <f aca="false">Q27/Assumptions!$C$71</f>
        <v>0.959611271892303</v>
      </c>
      <c r="R29" s="38" t="n">
        <f aca="false">R27/Assumptions!$C$71</f>
        <v>0.954510694702587</v>
      </c>
      <c r="S29" s="38" t="n">
        <f aca="false">S27/Assumptions!$C$71</f>
        <v>0.949318486440623</v>
      </c>
      <c r="T29" s="38" t="n">
        <f aca="false">T27/Assumptions!$C$71</f>
        <v>0.944033000968516</v>
      </c>
      <c r="U29" s="38" t="n">
        <f aca="false">U27/Assumptions!$C$71</f>
        <v>0.938652562575759</v>
      </c>
      <c r="V29" s="38" t="n">
        <f aca="false">V27/Assumptions!$C$71</f>
        <v>0.933175465447969</v>
      </c>
      <c r="W29" s="38" t="n">
        <f aca="false">W27/Assumptions!$C$71</f>
        <v>0.927599973126075</v>
      </c>
      <c r="X29" s="38" t="n">
        <f aca="false">X27/Assumptions!$C$71</f>
        <v>0.92192431795579</v>
      </c>
      <c r="Y29" s="38" t="n">
        <f aca="false">Y27/Assumptions!$C$71</f>
        <v>0.916146700527191</v>
      </c>
    </row>
    <row r="30" customFormat="false" ht="15" hidden="false" customHeight="false" outlineLevel="0" collapsed="false">
      <c r="B30" s="9" t="s">
        <v>284</v>
      </c>
      <c r="I30" s="31" t="n">
        <f aca="false">0</f>
        <v>0</v>
      </c>
      <c r="J30" s="31" t="n">
        <f aca="false">IF(J$13&gt;=12,IF(J$13&gt;=12+$C$11,I31,I31*$C$10),0)</f>
        <v>0</v>
      </c>
      <c r="K30" s="31" t="n">
        <f aca="false">IF(K$13&gt;=12,IF(K$13&gt;=12+$C$11,J31,J31*$C$10),0)</f>
        <v>0</v>
      </c>
      <c r="L30" s="31" t="n">
        <f aca="false">IF(L$13&gt;=12,IF(L$13&gt;=12+$C$11,K31,K31*$C$10),0)</f>
        <v>0</v>
      </c>
      <c r="M30" s="31" t="n">
        <f aca="false">IF(M$13&gt;=12,IF(M$13&gt;=12+$C$11,L31,L31*$C$10),0)</f>
        <v>0</v>
      </c>
      <c r="N30" s="31" t="n">
        <f aca="false">IF(N$13&gt;=12,IF(N$13&gt;=12+$C$11,M31,M31*$C$10),0)</f>
        <v>0</v>
      </c>
      <c r="O30" s="31" t="n">
        <f aca="false">IF(O$13&gt;=12,IF(O$13&gt;=12+$C$11,N31,N31*$C$10),0)</f>
        <v>0</v>
      </c>
      <c r="P30" s="31" t="n">
        <f aca="false">IF(P$13&gt;=12,IF(P$13&gt;=12+$C$11,O31,O31*$C$10),0)</f>
        <v>0</v>
      </c>
      <c r="Q30" s="31" t="n">
        <f aca="false">IF(Q$13&gt;=12,IF(Q$13&gt;=12+$C$11,P31,P31*$C$10),0)</f>
        <v>0</v>
      </c>
      <c r="R30" s="31" t="n">
        <f aca="false">IF(R$13&gt;=12,IF(R$13&gt;=12+$C$11,Q31,Q31*$C$10),0)</f>
        <v>0</v>
      </c>
      <c r="S30" s="31" t="n">
        <f aca="false">IF(S$13&gt;=12,IF(S$13&gt;=12+$C$11,R31,R31*$C$10),0)</f>
        <v>0</v>
      </c>
      <c r="T30" s="31" t="n">
        <f aca="false">IF(T$13&gt;=12,IF(T$13&gt;=12+$C$11,S31,S31*$C$10),0)</f>
        <v>0</v>
      </c>
      <c r="U30" s="31" t="n">
        <f aca="false">IF(U$13&gt;=12,IF(U$13&gt;=12+$C$11,T31,T31*$C$10),0)</f>
        <v>4000</v>
      </c>
      <c r="V30" s="31" t="n">
        <f aca="false">IF(V$13&gt;=12,IF(V$13&gt;=12+$C$11,U31,U31*$C$10),0)</f>
        <v>0</v>
      </c>
      <c r="W30" s="31" t="n">
        <f aca="false">IF(W$13&gt;=12,IF(W$13&gt;=12+$C$11,V31,V31*$C$10),0)</f>
        <v>0</v>
      </c>
      <c r="X30" s="31" t="n">
        <f aca="false">IF(X$13&gt;=12,IF(X$13&gt;=12+$C$11,W31,W31*$C$10),0)</f>
        <v>0</v>
      </c>
      <c r="Y30" s="31" t="n">
        <f aca="false">IF(Y$13&gt;=12,IF(Y$13&gt;=12+$C$11,X31,X31*$C$10),0)</f>
        <v>0</v>
      </c>
    </row>
    <row r="31" customFormat="false" ht="15" hidden="false" customHeight="false" outlineLevel="0" collapsed="false">
      <c r="B31" s="9" t="s">
        <v>285</v>
      </c>
      <c r="I31" s="31" t="n">
        <f aca="false">$C$17</f>
        <v>4000</v>
      </c>
      <c r="J31" s="31" t="n">
        <f aca="false">I31-J30</f>
        <v>4000</v>
      </c>
      <c r="K31" s="31" t="n">
        <f aca="false">J31-K30</f>
        <v>4000</v>
      </c>
      <c r="L31" s="31" t="n">
        <f aca="false">K31-L30</f>
        <v>4000</v>
      </c>
      <c r="M31" s="31" t="n">
        <f aca="false">L31-M30</f>
        <v>4000</v>
      </c>
      <c r="N31" s="31" t="n">
        <f aca="false">M31-N30</f>
        <v>4000</v>
      </c>
      <c r="O31" s="31" t="n">
        <f aca="false">N31-O30</f>
        <v>4000</v>
      </c>
      <c r="P31" s="31" t="n">
        <f aca="false">O31-P30</f>
        <v>4000</v>
      </c>
      <c r="Q31" s="31" t="n">
        <f aca="false">P31-Q30</f>
        <v>4000</v>
      </c>
      <c r="R31" s="31" t="n">
        <f aca="false">Q31-R30</f>
        <v>4000</v>
      </c>
      <c r="S31" s="31" t="n">
        <f aca="false">R31-S30</f>
        <v>4000</v>
      </c>
      <c r="T31" s="31" t="n">
        <f aca="false">S31-T30</f>
        <v>4000</v>
      </c>
      <c r="U31" s="31" t="n">
        <f aca="false">T31-U30</f>
        <v>0</v>
      </c>
      <c r="V31" s="31" t="n">
        <f aca="false">U31-V30</f>
        <v>0</v>
      </c>
      <c r="W31" s="31" t="n">
        <f aca="false">V31-W30</f>
        <v>0</v>
      </c>
      <c r="X31" s="31" t="n">
        <f aca="false">W31-X30</f>
        <v>0</v>
      </c>
      <c r="Y31" s="31" t="n">
        <f aca="false">X31-Y30</f>
        <v>0</v>
      </c>
    </row>
    <row r="32" customFormat="false" ht="15" hidden="false" customHeight="false" outlineLevel="0" collapsed="false">
      <c r="B32" s="9" t="s">
        <v>286</v>
      </c>
      <c r="I32" s="26" t="n">
        <f aca="false">0</f>
        <v>0</v>
      </c>
      <c r="J32" s="26" t="n">
        <f aca="false">I31*Assumptions!$C$71</f>
        <v>2250</v>
      </c>
      <c r="K32" s="26" t="n">
        <f aca="false">J31*Assumptions!$C$71</f>
        <v>2250</v>
      </c>
      <c r="L32" s="26" t="n">
        <f aca="false">K31*Assumptions!$C$71</f>
        <v>2250</v>
      </c>
      <c r="M32" s="26" t="n">
        <f aca="false">L31*Assumptions!$C$71</f>
        <v>2250</v>
      </c>
      <c r="N32" s="26" t="n">
        <f aca="false">M31*Assumptions!$C$71</f>
        <v>2250</v>
      </c>
      <c r="O32" s="26" t="n">
        <f aca="false">N31*Assumptions!$C$71</f>
        <v>2250</v>
      </c>
      <c r="P32" s="26" t="n">
        <f aca="false">O31*Assumptions!$C$71</f>
        <v>2250</v>
      </c>
      <c r="Q32" s="26" t="n">
        <f aca="false">P31*Assumptions!$C$71</f>
        <v>2250</v>
      </c>
      <c r="R32" s="26" t="n">
        <f aca="false">Q31*Assumptions!$C$71</f>
        <v>2250</v>
      </c>
      <c r="S32" s="26" t="n">
        <f aca="false">R31*Assumptions!$C$71</f>
        <v>2250</v>
      </c>
      <c r="T32" s="26" t="n">
        <f aca="false">S31*Assumptions!$C$71</f>
        <v>2250</v>
      </c>
      <c r="U32" s="26" t="n">
        <f aca="false">T31*Assumptions!$C$71</f>
        <v>2250</v>
      </c>
      <c r="V32" s="26" t="n">
        <f aca="false">U31*Assumptions!$C$71</f>
        <v>0</v>
      </c>
      <c r="W32" s="26" t="n">
        <f aca="false">V31*Assumptions!$C$71</f>
        <v>0</v>
      </c>
      <c r="X32" s="26" t="n">
        <f aca="false">W31*Assumptions!$C$71</f>
        <v>0</v>
      </c>
      <c r="Y32" s="26" t="n">
        <f aca="false">X31*Assumptions!$C$71</f>
        <v>0</v>
      </c>
    </row>
    <row r="34" customFormat="false" ht="15" hidden="false" customHeight="false" outlineLevel="0" collapsed="false">
      <c r="B34" s="7" t="s">
        <v>128</v>
      </c>
      <c r="C34" s="8"/>
      <c r="D34" s="8"/>
      <c r="E34" s="8"/>
      <c r="F34" s="8"/>
      <c r="G34" s="8"/>
      <c r="H34" s="8"/>
      <c r="I34" s="8"/>
      <c r="J34" s="8"/>
      <c r="K34" s="8"/>
      <c r="L34" s="8"/>
      <c r="M34" s="8"/>
      <c r="N34" s="8"/>
      <c r="O34" s="8"/>
      <c r="P34" s="8"/>
      <c r="Q34" s="8"/>
      <c r="R34" s="8"/>
      <c r="S34" s="8"/>
      <c r="T34" s="8"/>
      <c r="U34" s="8"/>
      <c r="V34" s="8"/>
      <c r="W34" s="8"/>
      <c r="X34" s="8"/>
      <c r="Y34" s="8"/>
    </row>
    <row r="35" customFormat="false" ht="43.5" hidden="false" customHeight="true" outlineLevel="0" collapsed="false">
      <c r="B35" s="13" t="s">
        <v>129</v>
      </c>
      <c r="C35" s="14" t="s">
        <v>130</v>
      </c>
      <c r="D35" s="14" t="s">
        <v>46</v>
      </c>
      <c r="E35" s="14" t="s">
        <v>131</v>
      </c>
      <c r="F35" s="14" t="s">
        <v>132</v>
      </c>
      <c r="G35" s="14" t="s">
        <v>133</v>
      </c>
      <c r="H35" s="14" t="s">
        <v>134</v>
      </c>
      <c r="I35" s="33" t="n">
        <v>0</v>
      </c>
      <c r="J35" s="33" t="n">
        <v>1</v>
      </c>
      <c r="K35" s="33" t="n">
        <v>2</v>
      </c>
      <c r="L35" s="33" t="n">
        <v>3</v>
      </c>
      <c r="M35" s="33" t="n">
        <v>4</v>
      </c>
      <c r="N35" s="33" t="n">
        <v>5</v>
      </c>
      <c r="O35" s="33" t="n">
        <v>6</v>
      </c>
      <c r="P35" s="33" t="n">
        <v>7</v>
      </c>
      <c r="Q35" s="33" t="n">
        <v>8</v>
      </c>
      <c r="R35" s="33" t="n">
        <v>9</v>
      </c>
      <c r="S35" s="33" t="n">
        <v>10</v>
      </c>
      <c r="T35" s="33" t="n">
        <v>11</v>
      </c>
      <c r="U35" s="33" t="n">
        <v>12</v>
      </c>
      <c r="V35" s="33" t="n">
        <v>13</v>
      </c>
      <c r="W35" s="33" t="n">
        <v>14</v>
      </c>
      <c r="X35" s="33" t="n">
        <v>15</v>
      </c>
      <c r="Y35" s="33" t="n">
        <v>16</v>
      </c>
    </row>
    <row r="36" customFormat="false" ht="15" hidden="false" customHeight="false" outlineLevel="0" collapsed="false">
      <c r="B36" s="9" t="s">
        <v>287</v>
      </c>
      <c r="C36" s="9" t="s">
        <v>288</v>
      </c>
      <c r="D36" s="26" t="n">
        <f aca="false">Assumptions!$C$69</f>
        <v>100000</v>
      </c>
      <c r="F36" s="17" t="n">
        <f aca="false">Assumptions!$C$71*4/Assumptions!$C$70</f>
        <v>0.09</v>
      </c>
      <c r="G36" s="26" t="n">
        <f aca="false">SUM(I36:Y36)</f>
        <v>20986.5480150429</v>
      </c>
      <c r="H36" s="29" t="n">
        <f aca="false">(1+IRR(I36:Y36,IF(SUM(I36:Y36)&lt;0,-0.05,0.01)))^4-1</f>
        <v>0.07381908440334</v>
      </c>
      <c r="I36" s="35" t="n">
        <f aca="false">-$D36</f>
        <v>-100000</v>
      </c>
      <c r="J36" s="35" t="n">
        <f aca="false">$J$32+$J$30*$J$28</f>
        <v>2250</v>
      </c>
      <c r="K36" s="35" t="n">
        <f aca="false">$K$32+$K$30*$K$28</f>
        <v>2250</v>
      </c>
      <c r="L36" s="35" t="n">
        <f aca="false">$L$32+$L$30*$L$28</f>
        <v>2250</v>
      </c>
      <c r="M36" s="35" t="n">
        <f aca="false">$M$32+$M$30*$M$28</f>
        <v>2250</v>
      </c>
      <c r="N36" s="35" t="n">
        <f aca="false">$N$32+$N$30*$N$28</f>
        <v>2250</v>
      </c>
      <c r="O36" s="35" t="n">
        <f aca="false">$O$32+$O$30*$O$28</f>
        <v>2250</v>
      </c>
      <c r="P36" s="35" t="n">
        <f aca="false">$P$32+$P$30*$P$28</f>
        <v>2250</v>
      </c>
      <c r="Q36" s="35" t="n">
        <f aca="false">$Q$32+$Q$30*$Q$28</f>
        <v>2250</v>
      </c>
      <c r="R36" s="35" t="n">
        <f aca="false">$R$32+$R$30*$R$28</f>
        <v>2250</v>
      </c>
      <c r="S36" s="35" t="n">
        <f aca="false">$S$32+$S$30*$S$28</f>
        <v>2250</v>
      </c>
      <c r="T36" s="35" t="n">
        <f aca="false">$T$32+$T$30*$T$28</f>
        <v>2250</v>
      </c>
      <c r="U36" s="35" t="n">
        <f aca="false">$U$32+$U$30*$U$28</f>
        <v>96236.5480150429</v>
      </c>
      <c r="V36" s="35" t="n">
        <f aca="false">$V$32+$V$30*$V$28</f>
        <v>0</v>
      </c>
      <c r="W36" s="35" t="n">
        <f aca="false">$W$32+$W$30*$W$28</f>
        <v>0</v>
      </c>
      <c r="X36" s="35" t="n">
        <f aca="false">$X$32+$X$30*$X$28</f>
        <v>0</v>
      </c>
      <c r="Y36" s="35" t="n">
        <f aca="false">$Y$32+$Y$30*$Y$28</f>
        <v>0</v>
      </c>
    </row>
    <row r="38" customFormat="false" ht="15" hidden="false" customHeight="false" outlineLevel="0" collapsed="false">
      <c r="B38" s="30" t="s">
        <v>289</v>
      </c>
      <c r="C38" s="9" t="s">
        <v>288</v>
      </c>
      <c r="D38" s="26" t="n">
        <f aca="false">SUMIF($C$36:$C$36,"Interval fund",D$36:D$36)</f>
        <v>100000</v>
      </c>
      <c r="G38" s="36" t="n">
        <f aca="false">SUM(I38:Y38)</f>
        <v>20986.5480150429</v>
      </c>
      <c r="H38" s="29" t="n">
        <f aca="false">(1+IRR(I38:Y38,IF(SUM(I38:Y38)&lt;0,-0.05,0.01)))^4-1</f>
        <v>0.07381908440334</v>
      </c>
      <c r="I38" s="35" t="n">
        <f aca="false">SUMIF($C$36:$C$36,"Interval fund",I$36:I$36)</f>
        <v>-100000</v>
      </c>
      <c r="J38" s="35" t="n">
        <f aca="false">SUMIF($C$36:$C$36,"Interval fund",J$36:J$36)</f>
        <v>2250</v>
      </c>
      <c r="K38" s="35" t="n">
        <f aca="false">SUMIF($C$36:$C$36,"Interval fund",K$36:K$36)</f>
        <v>2250</v>
      </c>
      <c r="L38" s="35" t="n">
        <f aca="false">SUMIF($C$36:$C$36,"Interval fund",L$36:L$36)</f>
        <v>2250</v>
      </c>
      <c r="M38" s="35" t="n">
        <f aca="false">SUMIF($C$36:$C$36,"Interval fund",M$36:M$36)</f>
        <v>2250</v>
      </c>
      <c r="N38" s="35" t="n">
        <f aca="false">SUMIF($C$36:$C$36,"Interval fund",N$36:N$36)</f>
        <v>2250</v>
      </c>
      <c r="O38" s="35" t="n">
        <f aca="false">SUMIF($C$36:$C$36,"Interval fund",O$36:O$36)</f>
        <v>2250</v>
      </c>
      <c r="P38" s="35" t="n">
        <f aca="false">SUMIF($C$36:$C$36,"Interval fund",P$36:P$36)</f>
        <v>2250</v>
      </c>
      <c r="Q38" s="35" t="n">
        <f aca="false">SUMIF($C$36:$C$36,"Interval fund",Q$36:Q$36)</f>
        <v>2250</v>
      </c>
      <c r="R38" s="35" t="n">
        <f aca="false">SUMIF($C$36:$C$36,"Interval fund",R$36:R$36)</f>
        <v>2250</v>
      </c>
      <c r="S38" s="35" t="n">
        <f aca="false">SUMIF($C$36:$C$36,"Interval fund",S$36:S$36)</f>
        <v>2250</v>
      </c>
      <c r="T38" s="35" t="n">
        <f aca="false">SUMIF($C$36:$C$36,"Interval fund",T$36:T$36)</f>
        <v>2250</v>
      </c>
      <c r="U38" s="35" t="n">
        <f aca="false">SUMIF($C$36:$C$36,"Interval fund",U$36:U$36)</f>
        <v>96236.5480150429</v>
      </c>
      <c r="V38" s="35" t="n">
        <f aca="false">SUMIF($C$36:$C$36,"Interval fund",V$36:V$36)</f>
        <v>0</v>
      </c>
      <c r="W38" s="35" t="n">
        <f aca="false">SUMIF($C$36:$C$36,"Interval fund",W$36:W$36)</f>
        <v>0</v>
      </c>
      <c r="X38" s="35" t="n">
        <f aca="false">SUMIF($C$36:$C$36,"Interval fund",X$36:X$36)</f>
        <v>0</v>
      </c>
      <c r="Y38" s="35" t="n">
        <f aca="false">SUMIF($C$36:$C$36,"Interval fund",Y$36:Y$36)</f>
        <v>0</v>
      </c>
    </row>
    <row r="41" customFormat="false" ht="15" hidden="false" customHeight="false" outlineLevel="0" collapsed="false">
      <c r="B41" s="7" t="s">
        <v>170</v>
      </c>
      <c r="C41" s="8"/>
      <c r="D41" s="8"/>
      <c r="E41" s="8"/>
      <c r="F41" s="8"/>
      <c r="G41" s="8"/>
      <c r="H41" s="8"/>
    </row>
    <row r="42" customFormat="false" ht="15" hidden="false" customHeight="false" outlineLevel="0" collapsed="false">
      <c r="B42" s="9" t="s">
        <v>116</v>
      </c>
      <c r="C42" s="10" t="n">
        <v>0.02</v>
      </c>
      <c r="D42" s="6" t="s">
        <v>117</v>
      </c>
    </row>
    <row r="43" customFormat="false" ht="15" hidden="false" customHeight="false" outlineLevel="0" collapsed="false">
      <c r="B43" s="9" t="s">
        <v>118</v>
      </c>
      <c r="C43" s="10" t="n">
        <v>0</v>
      </c>
      <c r="D43" s="6" t="s">
        <v>117</v>
      </c>
    </row>
    <row r="44" customFormat="false" ht="15" hidden="false" customHeight="false" outlineLevel="0" collapsed="false">
      <c r="B44" s="9" t="s">
        <v>273</v>
      </c>
      <c r="C44" s="44" t="n">
        <v>1</v>
      </c>
      <c r="D44" s="6" t="s">
        <v>216</v>
      </c>
    </row>
    <row r="45" customFormat="false" ht="15" hidden="false" customHeight="false" outlineLevel="0" collapsed="false">
      <c r="B45" s="9" t="s">
        <v>274</v>
      </c>
      <c r="C45" s="21" t="n">
        <v>0.03</v>
      </c>
    </row>
    <row r="46" customFormat="false" ht="15" hidden="false" customHeight="false" outlineLevel="0" collapsed="false">
      <c r="B46" s="9" t="s">
        <v>275</v>
      </c>
      <c r="C46" s="12" t="n">
        <v>1</v>
      </c>
    </row>
    <row r="47" customFormat="false" ht="15" hidden="false" customHeight="false" outlineLevel="0" collapsed="false">
      <c r="B47" s="9" t="s">
        <v>276</v>
      </c>
      <c r="C47" s="16" t="n">
        <v>0</v>
      </c>
    </row>
    <row r="49" customFormat="false" ht="15" hidden="false" customHeight="false" outlineLevel="0" collapsed="false">
      <c r="B49" s="7" t="s">
        <v>126</v>
      </c>
      <c r="I49" s="33" t="n">
        <v>0</v>
      </c>
      <c r="J49" s="33" t="n">
        <v>1</v>
      </c>
      <c r="K49" s="33" t="n">
        <v>2</v>
      </c>
      <c r="L49" s="33" t="n">
        <v>3</v>
      </c>
      <c r="M49" s="33" t="n">
        <v>4</v>
      </c>
      <c r="N49" s="33" t="n">
        <v>5</v>
      </c>
      <c r="O49" s="33" t="n">
        <v>6</v>
      </c>
      <c r="P49" s="33" t="n">
        <v>7</v>
      </c>
      <c r="Q49" s="33" t="n">
        <v>8</v>
      </c>
      <c r="R49" s="33" t="n">
        <v>9</v>
      </c>
      <c r="S49" s="33" t="n">
        <v>10</v>
      </c>
      <c r="T49" s="33" t="n">
        <v>11</v>
      </c>
      <c r="U49" s="33" t="n">
        <v>12</v>
      </c>
      <c r="V49" s="33" t="n">
        <v>13</v>
      </c>
      <c r="W49" s="33" t="n">
        <v>14</v>
      </c>
      <c r="X49" s="33" t="n">
        <v>15</v>
      </c>
      <c r="Y49" s="33" t="n">
        <v>16</v>
      </c>
    </row>
    <row r="50" customFormat="false" ht="15" hidden="false" customHeight="false" outlineLevel="0" collapsed="false">
      <c r="B50" s="9" t="s">
        <v>127</v>
      </c>
      <c r="I50" s="17" t="n">
        <f aca="false">IF(I$49=0,Assumptions!$C$6,Assumptions!$C$6+$C$42+IF(I$49&gt;=5,$C$43,0))</f>
        <v>0.04</v>
      </c>
      <c r="J50" s="17" t="n">
        <f aca="false">IF(J$49=0,Assumptions!$C$6,Assumptions!$C$6+$C$42+IF(J$49&gt;=5,$C$43,0))</f>
        <v>0.06</v>
      </c>
      <c r="K50" s="17" t="n">
        <f aca="false">IF(K$49=0,Assumptions!$C$6,Assumptions!$C$6+$C$42+IF(K$49&gt;=5,$C$43,0))</f>
        <v>0.06</v>
      </c>
      <c r="L50" s="17" t="n">
        <f aca="false">IF(L$49=0,Assumptions!$C$6,Assumptions!$C$6+$C$42+IF(L$49&gt;=5,$C$43,0))</f>
        <v>0.06</v>
      </c>
      <c r="M50" s="17" t="n">
        <f aca="false">IF(M$49=0,Assumptions!$C$6,Assumptions!$C$6+$C$42+IF(M$49&gt;=5,$C$43,0))</f>
        <v>0.06</v>
      </c>
      <c r="N50" s="17" t="n">
        <f aca="false">IF(N$49=0,Assumptions!$C$6,Assumptions!$C$6+$C$42+IF(N$49&gt;=5,$C$43,0))</f>
        <v>0.06</v>
      </c>
      <c r="O50" s="17" t="n">
        <f aca="false">IF(O$49=0,Assumptions!$C$6,Assumptions!$C$6+$C$42+IF(O$49&gt;=5,$C$43,0))</f>
        <v>0.06</v>
      </c>
      <c r="P50" s="17" t="n">
        <f aca="false">IF(P$49=0,Assumptions!$C$6,Assumptions!$C$6+$C$42+IF(P$49&gt;=5,$C$43,0))</f>
        <v>0.06</v>
      </c>
      <c r="Q50" s="17" t="n">
        <f aca="false">IF(Q$49=0,Assumptions!$C$6,Assumptions!$C$6+$C$42+IF(Q$49&gt;=5,$C$43,0))</f>
        <v>0.06</v>
      </c>
      <c r="R50" s="17" t="n">
        <f aca="false">IF(R$49=0,Assumptions!$C$6,Assumptions!$C$6+$C$42+IF(R$49&gt;=5,$C$43,0))</f>
        <v>0.06</v>
      </c>
      <c r="S50" s="17" t="n">
        <f aca="false">IF(S$49=0,Assumptions!$C$6,Assumptions!$C$6+$C$42+IF(S$49&gt;=5,$C$43,0))</f>
        <v>0.06</v>
      </c>
      <c r="T50" s="17" t="n">
        <f aca="false">IF(T$49=0,Assumptions!$C$6,Assumptions!$C$6+$C$42+IF(T$49&gt;=5,$C$43,0))</f>
        <v>0.06</v>
      </c>
      <c r="U50" s="17" t="n">
        <f aca="false">IF(U$49=0,Assumptions!$C$6,Assumptions!$C$6+$C$42+IF(U$49&gt;=5,$C$43,0))</f>
        <v>0.06</v>
      </c>
      <c r="V50" s="17" t="n">
        <f aca="false">IF(V$49=0,Assumptions!$C$6,Assumptions!$C$6+$C$42+IF(V$49&gt;=5,$C$43,0))</f>
        <v>0.06</v>
      </c>
      <c r="W50" s="17" t="n">
        <f aca="false">IF(W$49=0,Assumptions!$C$6,Assumptions!$C$6+$C$42+IF(W$49&gt;=5,$C$43,0))</f>
        <v>0.06</v>
      </c>
      <c r="X50" s="17" t="n">
        <f aca="false">IF(X$49=0,Assumptions!$C$6,Assumptions!$C$6+$C$42+IF(X$49&gt;=5,$C$43,0))</f>
        <v>0.06</v>
      </c>
      <c r="Y50" s="17" t="n">
        <f aca="false">IF(Y$49=0,Assumptions!$C$6,Assumptions!$C$6+$C$42+IF(Y$49&gt;=5,$C$43,0))</f>
        <v>0.06</v>
      </c>
    </row>
    <row r="52" customFormat="false" ht="15" hidden="false" customHeight="false" outlineLevel="0" collapsed="false">
      <c r="B52" s="7" t="s">
        <v>277</v>
      </c>
      <c r="C52" s="8"/>
      <c r="D52" s="8"/>
      <c r="E52" s="8"/>
      <c r="F52" s="8"/>
      <c r="G52" s="8"/>
      <c r="H52" s="8"/>
      <c r="I52" s="8"/>
      <c r="J52" s="8"/>
      <c r="K52" s="8"/>
      <c r="L52" s="8"/>
      <c r="M52" s="8"/>
      <c r="N52" s="8"/>
      <c r="O52" s="8"/>
      <c r="P52" s="8"/>
      <c r="Q52" s="8"/>
      <c r="R52" s="8"/>
      <c r="S52" s="8"/>
      <c r="T52" s="8"/>
      <c r="U52" s="8"/>
      <c r="V52" s="8"/>
      <c r="W52" s="8"/>
      <c r="X52" s="8"/>
      <c r="Y52" s="8"/>
    </row>
    <row r="53" customFormat="false" ht="15" hidden="false" customHeight="false" outlineLevel="0" collapsed="false">
      <c r="B53" s="9" t="s">
        <v>144</v>
      </c>
      <c r="C53" s="35" t="n">
        <f aca="false">Assumptions!$C$69/Assumptions!$C$70</f>
        <v>4000</v>
      </c>
    </row>
    <row r="54" customFormat="false" ht="15" hidden="false" customHeight="false" outlineLevel="0" collapsed="false">
      <c r="B54" s="9" t="s">
        <v>278</v>
      </c>
      <c r="C54" s="6" t="s">
        <v>279</v>
      </c>
      <c r="J54" s="17" t="n">
        <f aca="false">J50+Assumptions!$C$72+Assumptions!$C$73</f>
        <v>0.1225</v>
      </c>
      <c r="K54" s="17" t="n">
        <f aca="false">K50+Assumptions!$C$72+Assumptions!$C$73</f>
        <v>0.1225</v>
      </c>
      <c r="L54" s="17" t="n">
        <f aca="false">L50+Assumptions!$C$72+Assumptions!$C$73</f>
        <v>0.1225</v>
      </c>
      <c r="M54" s="17" t="n">
        <f aca="false">M50+Assumptions!$C$72+Assumptions!$C$73</f>
        <v>0.1225</v>
      </c>
      <c r="N54" s="17" t="n">
        <f aca="false">N50+Assumptions!$C$72+Assumptions!$C$73</f>
        <v>0.1225</v>
      </c>
      <c r="O54" s="17" t="n">
        <f aca="false">O50+Assumptions!$C$72+Assumptions!$C$73</f>
        <v>0.1225</v>
      </c>
      <c r="P54" s="17" t="n">
        <f aca="false">P50+Assumptions!$C$72+Assumptions!$C$73</f>
        <v>0.1225</v>
      </c>
      <c r="Q54" s="17" t="n">
        <f aca="false">Q50+Assumptions!$C$72+Assumptions!$C$73</f>
        <v>0.1225</v>
      </c>
      <c r="R54" s="17" t="n">
        <f aca="false">R50+Assumptions!$C$72+Assumptions!$C$73</f>
        <v>0.1225</v>
      </c>
      <c r="S54" s="17" t="n">
        <f aca="false">S50+Assumptions!$C$72+Assumptions!$C$73</f>
        <v>0.1225</v>
      </c>
      <c r="T54" s="17" t="n">
        <f aca="false">T50+Assumptions!$C$72+Assumptions!$C$73</f>
        <v>0.1225</v>
      </c>
      <c r="U54" s="17" t="n">
        <f aca="false">U50+Assumptions!$C$72+Assumptions!$C$73</f>
        <v>0.1225</v>
      </c>
      <c r="V54" s="17" t="n">
        <f aca="false">U50+Assumptions!$C$72+Assumptions!$C$73</f>
        <v>0.1225</v>
      </c>
      <c r="W54" s="17" t="n">
        <f aca="false">U50+Assumptions!$C$72+Assumptions!$C$73</f>
        <v>0.1225</v>
      </c>
      <c r="X54" s="17" t="n">
        <f aca="false">U50+Assumptions!$C$72+Assumptions!$C$73</f>
        <v>0.1225</v>
      </c>
      <c r="Y54" s="17" t="n">
        <f aca="false">U50+Assumptions!$C$72+Assumptions!$C$73</f>
        <v>0.1225</v>
      </c>
    </row>
    <row r="55" customFormat="false" ht="15" hidden="false" customHeight="false" outlineLevel="0" collapsed="false">
      <c r="B55" s="9" t="s">
        <v>242</v>
      </c>
      <c r="J55" s="17" t="n">
        <f aca="false">J54*(1+Assumptions!$C$74)</f>
        <v>0.214375</v>
      </c>
      <c r="K55" s="17" t="n">
        <f aca="false">K54*(1+Assumptions!$C$74)</f>
        <v>0.214375</v>
      </c>
      <c r="L55" s="17" t="n">
        <f aca="false">L54*(1+Assumptions!$C$74)</f>
        <v>0.214375</v>
      </c>
      <c r="M55" s="17" t="n">
        <f aca="false">M54*(1+Assumptions!$C$74)</f>
        <v>0.214375</v>
      </c>
      <c r="N55" s="17" t="n">
        <f aca="false">N54*(1+Assumptions!$C$74)</f>
        <v>0.214375</v>
      </c>
      <c r="O55" s="17" t="n">
        <f aca="false">O54*(1+Assumptions!$C$74)</f>
        <v>0.214375</v>
      </c>
      <c r="P55" s="17" t="n">
        <f aca="false">P54*(1+Assumptions!$C$74)</f>
        <v>0.214375</v>
      </c>
      <c r="Q55" s="17" t="n">
        <f aca="false">Q54*(1+Assumptions!$C$74)</f>
        <v>0.214375</v>
      </c>
      <c r="R55" s="17" t="n">
        <f aca="false">R54*(1+Assumptions!$C$74)</f>
        <v>0.214375</v>
      </c>
      <c r="S55" s="17" t="n">
        <f aca="false">S54*(1+Assumptions!$C$74)</f>
        <v>0.214375</v>
      </c>
      <c r="T55" s="17" t="n">
        <f aca="false">T54*(1+Assumptions!$C$74)</f>
        <v>0.214375</v>
      </c>
      <c r="U55" s="17" t="n">
        <f aca="false">U54*(1+Assumptions!$C$74)</f>
        <v>0.214375</v>
      </c>
      <c r="V55" s="17" t="n">
        <f aca="false">V54*(1+Assumptions!$C$74)</f>
        <v>0.214375</v>
      </c>
      <c r="W55" s="17" t="n">
        <f aca="false">W54*(1+Assumptions!$C$74)</f>
        <v>0.214375</v>
      </c>
      <c r="X55" s="17" t="n">
        <f aca="false">X54*(1+Assumptions!$C$74)</f>
        <v>0.214375</v>
      </c>
      <c r="Y55" s="17" t="n">
        <f aca="false">Y54*(1+Assumptions!$C$74)</f>
        <v>0.214375</v>
      </c>
    </row>
    <row r="56" customFormat="false" ht="15" hidden="false" customHeight="false" outlineLevel="0" collapsed="false">
      <c r="B56" s="9" t="s">
        <v>243</v>
      </c>
      <c r="J56" s="17" t="n">
        <f aca="false">(J50+Assumptions!$C$75)*Assumptions!$C$74</f>
        <v>0.061875</v>
      </c>
      <c r="K56" s="17" t="n">
        <f aca="false">(K50+Assumptions!$C$75)*Assumptions!$C$74</f>
        <v>0.061875</v>
      </c>
      <c r="L56" s="17" t="n">
        <f aca="false">(L50+Assumptions!$C$75)*Assumptions!$C$74</f>
        <v>0.061875</v>
      </c>
      <c r="M56" s="17" t="n">
        <f aca="false">(M50+Assumptions!$C$75)*Assumptions!$C$74</f>
        <v>0.061875</v>
      </c>
      <c r="N56" s="17" t="n">
        <f aca="false">(N50+Assumptions!$C$75)*Assumptions!$C$74</f>
        <v>0.061875</v>
      </c>
      <c r="O56" s="17" t="n">
        <f aca="false">(O50+Assumptions!$C$75)*Assumptions!$C$74</f>
        <v>0.061875</v>
      </c>
      <c r="P56" s="17" t="n">
        <f aca="false">(P50+Assumptions!$C$75)*Assumptions!$C$74</f>
        <v>0.061875</v>
      </c>
      <c r="Q56" s="17" t="n">
        <f aca="false">(Q50+Assumptions!$C$75)*Assumptions!$C$74</f>
        <v>0.061875</v>
      </c>
      <c r="R56" s="17" t="n">
        <f aca="false">(R50+Assumptions!$C$75)*Assumptions!$C$74</f>
        <v>0.061875</v>
      </c>
      <c r="S56" s="17" t="n">
        <f aca="false">(S50+Assumptions!$C$75)*Assumptions!$C$74</f>
        <v>0.061875</v>
      </c>
      <c r="T56" s="17" t="n">
        <f aca="false">(T50+Assumptions!$C$75)*Assumptions!$C$74</f>
        <v>0.061875</v>
      </c>
      <c r="U56" s="17" t="n">
        <f aca="false">(U50+Assumptions!$C$75)*Assumptions!$C$74</f>
        <v>0.061875</v>
      </c>
      <c r="V56" s="17" t="n">
        <f aca="false">(U50+Assumptions!$C$75)*Assumptions!$C$74</f>
        <v>0.061875</v>
      </c>
      <c r="W56" s="17" t="n">
        <f aca="false">(U50+Assumptions!$C$75)*Assumptions!$C$74</f>
        <v>0.061875</v>
      </c>
      <c r="X56" s="17" t="n">
        <f aca="false">(U50+Assumptions!$C$75)*Assumptions!$C$74</f>
        <v>0.061875</v>
      </c>
      <c r="Y56" s="17" t="n">
        <f aca="false">(U50+Assumptions!$C$75)*Assumptions!$C$74</f>
        <v>0.061875</v>
      </c>
    </row>
    <row r="57" customFormat="false" ht="15" hidden="false" customHeight="false" outlineLevel="0" collapsed="false">
      <c r="B57" s="9" t="s">
        <v>245</v>
      </c>
      <c r="J57" s="17" t="n">
        <f aca="false">Assumptions!$C$76*(1+Assumptions!$C$74)</f>
        <v>0.021875</v>
      </c>
      <c r="K57" s="17" t="n">
        <f aca="false">Assumptions!$C$76*(1+Assumptions!$C$74)</f>
        <v>0.021875</v>
      </c>
      <c r="L57" s="17" t="n">
        <f aca="false">Assumptions!$C$76*(1+Assumptions!$C$74)</f>
        <v>0.021875</v>
      </c>
      <c r="M57" s="17" t="n">
        <f aca="false">Assumptions!$C$76*(1+Assumptions!$C$74)</f>
        <v>0.021875</v>
      </c>
      <c r="N57" s="17" t="n">
        <f aca="false">Assumptions!$C$76*(1+Assumptions!$C$74)</f>
        <v>0.021875</v>
      </c>
      <c r="O57" s="17" t="n">
        <f aca="false">Assumptions!$C$76*(1+Assumptions!$C$74)</f>
        <v>0.021875</v>
      </c>
      <c r="P57" s="17" t="n">
        <f aca="false">Assumptions!$C$76*(1+Assumptions!$C$74)</f>
        <v>0.021875</v>
      </c>
      <c r="Q57" s="17" t="n">
        <f aca="false">Assumptions!$C$76*(1+Assumptions!$C$74)</f>
        <v>0.021875</v>
      </c>
      <c r="R57" s="17" t="n">
        <f aca="false">Assumptions!$C$76*(1+Assumptions!$C$74)</f>
        <v>0.021875</v>
      </c>
      <c r="S57" s="17" t="n">
        <f aca="false">Assumptions!$C$76*(1+Assumptions!$C$74)</f>
        <v>0.021875</v>
      </c>
      <c r="T57" s="17" t="n">
        <f aca="false">Assumptions!$C$76*(1+Assumptions!$C$74)</f>
        <v>0.021875</v>
      </c>
      <c r="U57" s="17" t="n">
        <f aca="false">Assumptions!$C$76*(1+Assumptions!$C$74)</f>
        <v>0.021875</v>
      </c>
      <c r="V57" s="17" t="n">
        <f aca="false">Assumptions!$C$76*(1+Assumptions!$C$74)</f>
        <v>0.021875</v>
      </c>
      <c r="W57" s="17" t="n">
        <f aca="false">Assumptions!$C$76*(1+Assumptions!$C$74)</f>
        <v>0.021875</v>
      </c>
      <c r="X57" s="17" t="n">
        <f aca="false">Assumptions!$C$76*(1+Assumptions!$C$74)</f>
        <v>0.021875</v>
      </c>
      <c r="Y57" s="17" t="n">
        <f aca="false">Assumptions!$C$76*(1+Assumptions!$C$74)</f>
        <v>0.021875</v>
      </c>
    </row>
    <row r="58" customFormat="false" ht="15" hidden="false" customHeight="false" outlineLevel="0" collapsed="false">
      <c r="B58" s="9" t="s">
        <v>247</v>
      </c>
      <c r="J58" s="17" t="n">
        <f aca="false">Assumptions!$C$77+Assumptions!$C$78</f>
        <v>0.0085</v>
      </c>
      <c r="K58" s="17" t="n">
        <f aca="false">Assumptions!$C$77+Assumptions!$C$78</f>
        <v>0.0085</v>
      </c>
      <c r="L58" s="17" t="n">
        <f aca="false">Assumptions!$C$77+Assumptions!$C$78</f>
        <v>0.0085</v>
      </c>
      <c r="M58" s="17" t="n">
        <f aca="false">Assumptions!$C$77+Assumptions!$C$78</f>
        <v>0.0085</v>
      </c>
      <c r="N58" s="17" t="n">
        <f aca="false">Assumptions!$C$77+Assumptions!$C$78</f>
        <v>0.0085</v>
      </c>
      <c r="O58" s="17" t="n">
        <f aca="false">Assumptions!$C$77+Assumptions!$C$78</f>
        <v>0.0085</v>
      </c>
      <c r="P58" s="17" t="n">
        <f aca="false">Assumptions!$C$77+Assumptions!$C$78</f>
        <v>0.0085</v>
      </c>
      <c r="Q58" s="17" t="n">
        <f aca="false">Assumptions!$C$77+Assumptions!$C$78</f>
        <v>0.0085</v>
      </c>
      <c r="R58" s="17" t="n">
        <f aca="false">Assumptions!$C$77+Assumptions!$C$78</f>
        <v>0.0085</v>
      </c>
      <c r="S58" s="17" t="n">
        <f aca="false">Assumptions!$C$77+Assumptions!$C$78</f>
        <v>0.0085</v>
      </c>
      <c r="T58" s="17" t="n">
        <f aca="false">Assumptions!$C$77+Assumptions!$C$78</f>
        <v>0.0085</v>
      </c>
      <c r="U58" s="17" t="n">
        <f aca="false">Assumptions!$C$77+Assumptions!$C$78</f>
        <v>0.0085</v>
      </c>
      <c r="V58" s="17" t="n">
        <f aca="false">Assumptions!$C$77+Assumptions!$C$78</f>
        <v>0.0085</v>
      </c>
      <c r="W58" s="17" t="n">
        <f aca="false">Assumptions!$C$77+Assumptions!$C$78</f>
        <v>0.0085</v>
      </c>
      <c r="X58" s="17" t="n">
        <f aca="false">Assumptions!$C$77+Assumptions!$C$78</f>
        <v>0.0085</v>
      </c>
      <c r="Y58" s="17" t="n">
        <f aca="false">Assumptions!$C$77+Assumptions!$C$78</f>
        <v>0.0085</v>
      </c>
    </row>
    <row r="59" customFormat="false" ht="15" hidden="false" customHeight="false" outlineLevel="0" collapsed="false">
      <c r="B59" s="9" t="s">
        <v>280</v>
      </c>
      <c r="J59" s="17" t="n">
        <f aca="false">J55-J56-J57-J58</f>
        <v>0.122125</v>
      </c>
      <c r="K59" s="17" t="n">
        <f aca="false">K55-K56-K57-K58</f>
        <v>0.122125</v>
      </c>
      <c r="L59" s="17" t="n">
        <f aca="false">L55-L56-L57-L58</f>
        <v>0.122125</v>
      </c>
      <c r="M59" s="17" t="n">
        <f aca="false">M55-M56-M57-M58</f>
        <v>0.122125</v>
      </c>
      <c r="N59" s="17" t="n">
        <f aca="false">N55-N56-N57-N58</f>
        <v>0.122125</v>
      </c>
      <c r="O59" s="17" t="n">
        <f aca="false">O55-O56-O57-O58</f>
        <v>0.122125</v>
      </c>
      <c r="P59" s="17" t="n">
        <f aca="false">P55-P56-P57-P58</f>
        <v>0.122125</v>
      </c>
      <c r="Q59" s="17" t="n">
        <f aca="false">Q55-Q56-Q57-Q58</f>
        <v>0.122125</v>
      </c>
      <c r="R59" s="17" t="n">
        <f aca="false">R55-R56-R57-R58</f>
        <v>0.122125</v>
      </c>
      <c r="S59" s="17" t="n">
        <f aca="false">S55-S56-S57-S58</f>
        <v>0.122125</v>
      </c>
      <c r="T59" s="17" t="n">
        <f aca="false">T55-T56-T57-T58</f>
        <v>0.122125</v>
      </c>
      <c r="U59" s="17" t="n">
        <f aca="false">U55-U56-U57-U58</f>
        <v>0.122125</v>
      </c>
      <c r="V59" s="17" t="n">
        <f aca="false">V55-V56-V57-V58</f>
        <v>0.122125</v>
      </c>
      <c r="W59" s="17" t="n">
        <f aca="false">W55-W56-W57-W58</f>
        <v>0.122125</v>
      </c>
      <c r="X59" s="17" t="n">
        <f aca="false">X55-X56-X57-X58</f>
        <v>0.122125</v>
      </c>
      <c r="Y59" s="17" t="n">
        <f aca="false">Y55-Y56-Y57-Y58</f>
        <v>0.122125</v>
      </c>
    </row>
    <row r="60" customFormat="false" ht="15" hidden="false" customHeight="false" outlineLevel="0" collapsed="false">
      <c r="B60" s="9" t="s">
        <v>281</v>
      </c>
      <c r="J60" s="17" t="n">
        <f aca="false">IF(J59&gt;Assumptions!$C$80,Assumptions!$C$79*J59,0)</f>
        <v>0.015265625</v>
      </c>
      <c r="K60" s="17" t="n">
        <f aca="false">IF(K59&gt;Assumptions!$C$80,Assumptions!$C$79*K59,0)</f>
        <v>0.015265625</v>
      </c>
      <c r="L60" s="17" t="n">
        <f aca="false">IF(L59&gt;Assumptions!$C$80,Assumptions!$C$79*L59,0)</f>
        <v>0.015265625</v>
      </c>
      <c r="M60" s="17" t="n">
        <f aca="false">IF(M59&gt;Assumptions!$C$80,Assumptions!$C$79*M59,0)</f>
        <v>0.015265625</v>
      </c>
      <c r="N60" s="17" t="n">
        <f aca="false">IF(N59&gt;Assumptions!$C$80,Assumptions!$C$79*N59,0)</f>
        <v>0.015265625</v>
      </c>
      <c r="O60" s="17" t="n">
        <f aca="false">IF(O59&gt;Assumptions!$C$80,Assumptions!$C$79*O59,0)</f>
        <v>0.015265625</v>
      </c>
      <c r="P60" s="17" t="n">
        <f aca="false">IF(P59&gt;Assumptions!$C$80,Assumptions!$C$79*P59,0)</f>
        <v>0.015265625</v>
      </c>
      <c r="Q60" s="17" t="n">
        <f aca="false">IF(Q59&gt;Assumptions!$C$80,Assumptions!$C$79*Q59,0)</f>
        <v>0.015265625</v>
      </c>
      <c r="R60" s="17" t="n">
        <f aca="false">IF(R59&gt;Assumptions!$C$80,Assumptions!$C$79*R59,0)</f>
        <v>0.015265625</v>
      </c>
      <c r="S60" s="17" t="n">
        <f aca="false">IF(S59&gt;Assumptions!$C$80,Assumptions!$C$79*S59,0)</f>
        <v>0.015265625</v>
      </c>
      <c r="T60" s="17" t="n">
        <f aca="false">IF(T59&gt;Assumptions!$C$80,Assumptions!$C$79*T59,0)</f>
        <v>0.015265625</v>
      </c>
      <c r="U60" s="17" t="n">
        <f aca="false">IF(U59&gt;Assumptions!$C$80,Assumptions!$C$79*U59,0)</f>
        <v>0.015265625</v>
      </c>
      <c r="V60" s="17" t="n">
        <f aca="false">IF(V59&gt;Assumptions!$C$80,Assumptions!$C$79*V59,0)</f>
        <v>0.015265625</v>
      </c>
      <c r="W60" s="17" t="n">
        <f aca="false">IF(W59&gt;Assumptions!$C$80,Assumptions!$C$79*W59,0)</f>
        <v>0.015265625</v>
      </c>
      <c r="X60" s="17" t="n">
        <f aca="false">IF(X59&gt;Assumptions!$C$80,Assumptions!$C$79*X59,0)</f>
        <v>0.015265625</v>
      </c>
      <c r="Y60" s="17" t="n">
        <f aca="false">IF(Y59&gt;Assumptions!$C$80,Assumptions!$C$79*Y59,0)</f>
        <v>0.015265625</v>
      </c>
    </row>
    <row r="61" customFormat="false" ht="15" hidden="false" customHeight="false" outlineLevel="0" collapsed="false">
      <c r="B61" s="9" t="s">
        <v>251</v>
      </c>
      <c r="J61" s="17" t="n">
        <f aca="false">J59-J60</f>
        <v>0.106859375</v>
      </c>
      <c r="K61" s="17" t="n">
        <f aca="false">K59-K60</f>
        <v>0.106859375</v>
      </c>
      <c r="L61" s="17" t="n">
        <f aca="false">L59-L60</f>
        <v>0.106859375</v>
      </c>
      <c r="M61" s="17" t="n">
        <f aca="false">M59-M60</f>
        <v>0.106859375</v>
      </c>
      <c r="N61" s="17" t="n">
        <f aca="false">N59-N60</f>
        <v>0.106859375</v>
      </c>
      <c r="O61" s="17" t="n">
        <f aca="false">O59-O60</f>
        <v>0.106859375</v>
      </c>
      <c r="P61" s="17" t="n">
        <f aca="false">P59-P60</f>
        <v>0.106859375</v>
      </c>
      <c r="Q61" s="17" t="n">
        <f aca="false">Q59-Q60</f>
        <v>0.106859375</v>
      </c>
      <c r="R61" s="17" t="n">
        <f aca="false">R59-R60</f>
        <v>0.106859375</v>
      </c>
      <c r="S61" s="17" t="n">
        <f aca="false">S59-S60</f>
        <v>0.106859375</v>
      </c>
      <c r="T61" s="17" t="n">
        <f aca="false">T59-T60</f>
        <v>0.106859375</v>
      </c>
      <c r="U61" s="17" t="n">
        <f aca="false">U59-U60</f>
        <v>0.106859375</v>
      </c>
      <c r="V61" s="17" t="n">
        <f aca="false">V59-V60</f>
        <v>0.106859375</v>
      </c>
      <c r="W61" s="17" t="n">
        <f aca="false">W59-W60</f>
        <v>0.106859375</v>
      </c>
      <c r="X61" s="17" t="n">
        <f aca="false">X59-X60</f>
        <v>0.106859375</v>
      </c>
      <c r="Y61" s="17" t="n">
        <f aca="false">Y59-Y60</f>
        <v>0.106859375</v>
      </c>
    </row>
    <row r="62" customFormat="false" ht="15" hidden="false" customHeight="false" outlineLevel="0" collapsed="false">
      <c r="B62" s="9" t="s">
        <v>282</v>
      </c>
      <c r="J62" s="17" t="n">
        <f aca="false">$C$45*Assumptions!$C$82*(1+Assumptions!$C$74)*IF(AND(J$49&gt;=5,J$49&lt;=8),$C$44,1)</f>
        <v>0.021</v>
      </c>
      <c r="K62" s="17" t="n">
        <f aca="false">$C$45*Assumptions!$C$82*(1+Assumptions!$C$74)*IF(AND(K$49&gt;=5,K$49&lt;=8),$C$44,1)</f>
        <v>0.021</v>
      </c>
      <c r="L62" s="17" t="n">
        <f aca="false">$C$45*Assumptions!$C$82*(1+Assumptions!$C$74)*IF(AND(L$49&gt;=5,L$49&lt;=8),$C$44,1)</f>
        <v>0.021</v>
      </c>
      <c r="M62" s="17" t="n">
        <f aca="false">$C$45*Assumptions!$C$82*(1+Assumptions!$C$74)*IF(AND(M$49&gt;=5,M$49&lt;=8),$C$44,1)</f>
        <v>0.021</v>
      </c>
      <c r="N62" s="17" t="n">
        <f aca="false">$C$45*Assumptions!$C$82*(1+Assumptions!$C$74)*IF(AND(N$49&gt;=5,N$49&lt;=8),$C$44,1)</f>
        <v>0.021</v>
      </c>
      <c r="O62" s="17" t="n">
        <f aca="false">$C$45*Assumptions!$C$82*(1+Assumptions!$C$74)*IF(AND(O$49&gt;=5,O$49&lt;=8),$C$44,1)</f>
        <v>0.021</v>
      </c>
      <c r="P62" s="17" t="n">
        <f aca="false">$C$45*Assumptions!$C$82*(1+Assumptions!$C$74)*IF(AND(P$49&gt;=5,P$49&lt;=8),$C$44,1)</f>
        <v>0.021</v>
      </c>
      <c r="Q62" s="17" t="n">
        <f aca="false">$C$45*Assumptions!$C$82*(1+Assumptions!$C$74)*IF(AND(Q$49&gt;=5,Q$49&lt;=8),$C$44,1)</f>
        <v>0.021</v>
      </c>
      <c r="R62" s="17" t="n">
        <f aca="false">$C$45*Assumptions!$C$82*(1+Assumptions!$C$74)*IF(AND(R$49&gt;=5,R$49&lt;=8),$C$44,1)</f>
        <v>0.021</v>
      </c>
      <c r="S62" s="17" t="n">
        <f aca="false">$C$45*Assumptions!$C$82*(1+Assumptions!$C$74)*IF(AND(S$49&gt;=5,S$49&lt;=8),$C$44,1)</f>
        <v>0.021</v>
      </c>
      <c r="T62" s="17" t="n">
        <f aca="false">$C$45*Assumptions!$C$82*(1+Assumptions!$C$74)*IF(AND(T$49&gt;=5,T$49&lt;=8),$C$44,1)</f>
        <v>0.021</v>
      </c>
      <c r="U62" s="17" t="n">
        <f aca="false">$C$45*Assumptions!$C$82*(1+Assumptions!$C$74)*IF(AND(U$49&gt;=5,U$49&lt;=8),$C$44,1)</f>
        <v>0.021</v>
      </c>
      <c r="V62" s="17" t="n">
        <f aca="false">$C$45*Assumptions!$C$82*(1+Assumptions!$C$74)*IF(AND(V$49&gt;=5,V$49&lt;=8),$C$44,1)</f>
        <v>0.021</v>
      </c>
      <c r="W62" s="17" t="n">
        <f aca="false">$C$45*Assumptions!$C$82*(1+Assumptions!$C$74)*IF(AND(W$49&gt;=5,W$49&lt;=8),$C$44,1)</f>
        <v>0.021</v>
      </c>
      <c r="X62" s="17" t="n">
        <f aca="false">$C$45*Assumptions!$C$82*(1+Assumptions!$C$74)*IF(AND(X$49&gt;=5,X$49&lt;=8),$C$44,1)</f>
        <v>0.021</v>
      </c>
      <c r="Y62" s="17" t="n">
        <f aca="false">$C$45*Assumptions!$C$82*(1+Assumptions!$C$74)*IF(AND(Y$49&gt;=5,Y$49&lt;=8),$C$44,1)</f>
        <v>0.021</v>
      </c>
    </row>
    <row r="63" customFormat="false" ht="15" hidden="false" customHeight="false" outlineLevel="0" collapsed="false">
      <c r="B63" s="9" t="s">
        <v>226</v>
      </c>
      <c r="J63" s="39" t="n">
        <f aca="false">I64*J61/4</f>
        <v>0.66787109375</v>
      </c>
      <c r="K63" s="39" t="n">
        <f aca="false">J64*K61/4</f>
        <v>0.66717974281311</v>
      </c>
      <c r="L63" s="39" t="n">
        <f aca="false">K64*L61/4</f>
        <v>0.666473552136384</v>
      </c>
      <c r="M63" s="39" t="n">
        <f aca="false">L64*M61/4</f>
        <v>0.665752203187124</v>
      </c>
      <c r="N63" s="39" t="n">
        <f aca="false">M64*N61/4</f>
        <v>0.665015370595379</v>
      </c>
      <c r="O63" s="39" t="n">
        <f aca="false">N64*O61/4</f>
        <v>0.664262722007182</v>
      </c>
      <c r="P63" s="39" t="n">
        <f aca="false">O64*P61/4</f>
        <v>0.663493917934641</v>
      </c>
      <c r="Q63" s="39" t="n">
        <f aca="false">P64*Q61/4</f>
        <v>0.662708611602808</v>
      </c>
      <c r="R63" s="39" t="n">
        <f aca="false">Q64*R61/4</f>
        <v>0.661906448793267</v>
      </c>
      <c r="S63" s="39" t="n">
        <f aca="false">R64*S61/4</f>
        <v>0.661087067684357</v>
      </c>
      <c r="T63" s="39" t="n">
        <f aca="false">S64*T61/4</f>
        <v>0.660250098687972</v>
      </c>
      <c r="U63" s="39" t="n">
        <f aca="false">T64*U61/4</f>
        <v>0.659395164282857</v>
      </c>
      <c r="V63" s="39" t="n">
        <f aca="false">U64*V61/4</f>
        <v>0.658521878844319</v>
      </c>
      <c r="W63" s="39" t="n">
        <f aca="false">V64*W61/4</f>
        <v>0.657629848470293</v>
      </c>
      <c r="X63" s="39" t="n">
        <f aca="false">W64*X61/4</f>
        <v>0.656718670803669</v>
      </c>
      <c r="Y63" s="39" t="n">
        <f aca="false">X64*Y61/4</f>
        <v>0.655787934850803</v>
      </c>
    </row>
    <row r="64" customFormat="false" ht="15" hidden="false" customHeight="false" outlineLevel="0" collapsed="false">
      <c r="B64" s="9" t="s">
        <v>229</v>
      </c>
      <c r="I64" s="37" t="n">
        <f aca="false">Assumptions!$C$70</f>
        <v>25</v>
      </c>
      <c r="J64" s="37" t="n">
        <f aca="false">I64+J63-Assumptions!$C$71-I64*J62/4</f>
        <v>24.97412109375</v>
      </c>
      <c r="K64" s="37" t="n">
        <f aca="false">J64+K63-Assumptions!$C$71-J64*K62/4</f>
        <v>24.9476867008209</v>
      </c>
      <c r="L64" s="37" t="n">
        <f aca="false">K64+L63-Assumptions!$C$71-K64*L62/4</f>
        <v>24.920684897778</v>
      </c>
      <c r="M64" s="37" t="n">
        <f aca="false">L64+M63-Assumptions!$C$71-L64*M62/4</f>
        <v>24.8931035052518</v>
      </c>
      <c r="N64" s="37" t="n">
        <f aca="false">M64+N63-Assumptions!$C$71-M64*N62/4</f>
        <v>24.8649300824446</v>
      </c>
      <c r="O64" s="37" t="n">
        <f aca="false">N64+O63-Assumptions!$C$71-N64*O62/4</f>
        <v>24.8361519215189</v>
      </c>
      <c r="P64" s="37" t="n">
        <f aca="false">O64+P63-Assumptions!$C$71-O64*P62/4</f>
        <v>24.8067560418656</v>
      </c>
      <c r="Q64" s="37" t="n">
        <f aca="false">P64+Q63-Assumptions!$C$71-P64*Q62/4</f>
        <v>24.7767291842486</v>
      </c>
      <c r="R64" s="37" t="n">
        <f aca="false">Q64+R63-Assumptions!$C$71-Q64*R62/4</f>
        <v>24.7460578048246</v>
      </c>
      <c r="S64" s="37" t="n">
        <f aca="false">R64+S63-Assumptions!$C$71-R64*S62/4</f>
        <v>24.7147280690336</v>
      </c>
      <c r="T64" s="37" t="n">
        <f aca="false">S64+T63-Assumptions!$C$71-S64*T62/4</f>
        <v>24.6827258453592</v>
      </c>
      <c r="U64" s="37" t="n">
        <f aca="false">T64+U63-Assumptions!$C$71-T64*U62/4</f>
        <v>24.6500366989539</v>
      </c>
      <c r="V64" s="37" t="n">
        <f aca="false">U64+V63-Assumptions!$C$71-U64*V62/4</f>
        <v>24.6166458851287</v>
      </c>
      <c r="W64" s="37" t="n">
        <f aca="false">V64+W63-Assumptions!$C$71-V64*W62/4</f>
        <v>24.5825383427021</v>
      </c>
      <c r="X64" s="37" t="n">
        <f aca="false">W64+X63-Assumptions!$C$71-W64*X62/4</f>
        <v>24.5476986872065</v>
      </c>
      <c r="Y64" s="37" t="n">
        <f aca="false">X64+Y63-Assumptions!$C$71-X64*Y62/4</f>
        <v>24.5121112039495</v>
      </c>
    </row>
    <row r="65" customFormat="false" ht="15" hidden="false" customHeight="false" outlineLevel="0" collapsed="false">
      <c r="B65" s="9" t="s">
        <v>283</v>
      </c>
      <c r="J65" s="38" t="n">
        <f aca="false">J63/Assumptions!$C$71</f>
        <v>1.18732638888889</v>
      </c>
      <c r="K65" s="38" t="n">
        <f aca="false">K63/Assumptions!$C$71</f>
        <v>1.18609732055664</v>
      </c>
      <c r="L65" s="38" t="n">
        <f aca="false">L63/Assumptions!$C$71</f>
        <v>1.18484187046468</v>
      </c>
      <c r="M65" s="38" t="n">
        <f aca="false">M63/Assumptions!$C$71</f>
        <v>1.18355947233266</v>
      </c>
      <c r="N65" s="38" t="n">
        <f aca="false">N63/Assumptions!$C$71</f>
        <v>1.18224954772512</v>
      </c>
      <c r="O65" s="38" t="n">
        <f aca="false">O63/Assumptions!$C$71</f>
        <v>1.18091150579055</v>
      </c>
      <c r="P65" s="38" t="n">
        <f aca="false">P63/Assumptions!$C$71</f>
        <v>1.17954474299492</v>
      </c>
      <c r="Q65" s="38" t="n">
        <f aca="false">Q63/Assumptions!$C$71</f>
        <v>1.17814864284944</v>
      </c>
      <c r="R65" s="38" t="n">
        <f aca="false">R63/Assumptions!$C$71</f>
        <v>1.17672257563247</v>
      </c>
      <c r="S65" s="38" t="n">
        <f aca="false">S63/Assumptions!$C$71</f>
        <v>1.17526589810552</v>
      </c>
      <c r="T65" s="38" t="n">
        <f aca="false">T63/Assumptions!$C$71</f>
        <v>1.17377795322306</v>
      </c>
      <c r="U65" s="38" t="n">
        <f aca="false">U63/Assumptions!$C$71</f>
        <v>1.17225806983619</v>
      </c>
      <c r="V65" s="38" t="n">
        <f aca="false">V63/Assumptions!$C$71</f>
        <v>1.1707055623899</v>
      </c>
      <c r="W65" s="38" t="n">
        <f aca="false">W63/Assumptions!$C$71</f>
        <v>1.16911973061386</v>
      </c>
      <c r="X65" s="38" t="n">
        <f aca="false">X63/Assumptions!$C$71</f>
        <v>1.16749985920652</v>
      </c>
      <c r="Y65" s="38" t="n">
        <f aca="false">Y63/Assumptions!$C$71</f>
        <v>1.16584521751254</v>
      </c>
    </row>
    <row r="66" customFormat="false" ht="15" hidden="false" customHeight="false" outlineLevel="0" collapsed="false">
      <c r="B66" s="9" t="s">
        <v>284</v>
      </c>
      <c r="I66" s="31" t="n">
        <f aca="false">0</f>
        <v>0</v>
      </c>
      <c r="J66" s="31" t="n">
        <f aca="false">IF(J$49&gt;=12,IF(J$49&gt;=12+$C$47,I67,I67*$C$46),0)</f>
        <v>0</v>
      </c>
      <c r="K66" s="31" t="n">
        <f aca="false">IF(K$49&gt;=12,IF(K$49&gt;=12+$C$47,J67,J67*$C$46),0)</f>
        <v>0</v>
      </c>
      <c r="L66" s="31" t="n">
        <f aca="false">IF(L$49&gt;=12,IF(L$49&gt;=12+$C$47,K67,K67*$C$46),0)</f>
        <v>0</v>
      </c>
      <c r="M66" s="31" t="n">
        <f aca="false">IF(M$49&gt;=12,IF(M$49&gt;=12+$C$47,L67,L67*$C$46),0)</f>
        <v>0</v>
      </c>
      <c r="N66" s="31" t="n">
        <f aca="false">IF(N$49&gt;=12,IF(N$49&gt;=12+$C$47,M67,M67*$C$46),0)</f>
        <v>0</v>
      </c>
      <c r="O66" s="31" t="n">
        <f aca="false">IF(O$49&gt;=12,IF(O$49&gt;=12+$C$47,N67,N67*$C$46),0)</f>
        <v>0</v>
      </c>
      <c r="P66" s="31" t="n">
        <f aca="false">IF(P$49&gt;=12,IF(P$49&gt;=12+$C$47,O67,O67*$C$46),0)</f>
        <v>0</v>
      </c>
      <c r="Q66" s="31" t="n">
        <f aca="false">IF(Q$49&gt;=12,IF(Q$49&gt;=12+$C$47,P67,P67*$C$46),0)</f>
        <v>0</v>
      </c>
      <c r="R66" s="31" t="n">
        <f aca="false">IF(R$49&gt;=12,IF(R$49&gt;=12+$C$47,Q67,Q67*$C$46),0)</f>
        <v>0</v>
      </c>
      <c r="S66" s="31" t="n">
        <f aca="false">IF(S$49&gt;=12,IF(S$49&gt;=12+$C$47,R67,R67*$C$46),0)</f>
        <v>0</v>
      </c>
      <c r="T66" s="31" t="n">
        <f aca="false">IF(T$49&gt;=12,IF(T$49&gt;=12+$C$47,S67,S67*$C$46),0)</f>
        <v>0</v>
      </c>
      <c r="U66" s="31" t="n">
        <f aca="false">IF(U$49&gt;=12,IF(U$49&gt;=12+$C$47,T67,T67*$C$46),0)</f>
        <v>4000</v>
      </c>
      <c r="V66" s="31" t="n">
        <f aca="false">IF(V$49&gt;=12,IF(V$49&gt;=12+$C$47,U67,U67*$C$46),0)</f>
        <v>0</v>
      </c>
      <c r="W66" s="31" t="n">
        <f aca="false">IF(W$49&gt;=12,IF(W$49&gt;=12+$C$47,V67,V67*$C$46),0)</f>
        <v>0</v>
      </c>
      <c r="X66" s="31" t="n">
        <f aca="false">IF(X$49&gt;=12,IF(X$49&gt;=12+$C$47,W67,W67*$C$46),0)</f>
        <v>0</v>
      </c>
      <c r="Y66" s="31" t="n">
        <f aca="false">IF(Y$49&gt;=12,IF(Y$49&gt;=12+$C$47,X67,X67*$C$46),0)</f>
        <v>0</v>
      </c>
    </row>
    <row r="67" customFormat="false" ht="15" hidden="false" customHeight="false" outlineLevel="0" collapsed="false">
      <c r="B67" s="9" t="s">
        <v>285</v>
      </c>
      <c r="I67" s="31" t="n">
        <f aca="false">$C$53</f>
        <v>4000</v>
      </c>
      <c r="J67" s="31" t="n">
        <f aca="false">I67-J66</f>
        <v>4000</v>
      </c>
      <c r="K67" s="31" t="n">
        <f aca="false">J67-K66</f>
        <v>4000</v>
      </c>
      <c r="L67" s="31" t="n">
        <f aca="false">K67-L66</f>
        <v>4000</v>
      </c>
      <c r="M67" s="31" t="n">
        <f aca="false">L67-M66</f>
        <v>4000</v>
      </c>
      <c r="N67" s="31" t="n">
        <f aca="false">M67-N66</f>
        <v>4000</v>
      </c>
      <c r="O67" s="31" t="n">
        <f aca="false">N67-O66</f>
        <v>4000</v>
      </c>
      <c r="P67" s="31" t="n">
        <f aca="false">O67-P66</f>
        <v>4000</v>
      </c>
      <c r="Q67" s="31" t="n">
        <f aca="false">P67-Q66</f>
        <v>4000</v>
      </c>
      <c r="R67" s="31" t="n">
        <f aca="false">Q67-R66</f>
        <v>4000</v>
      </c>
      <c r="S67" s="31" t="n">
        <f aca="false">R67-S66</f>
        <v>4000</v>
      </c>
      <c r="T67" s="31" t="n">
        <f aca="false">S67-T66</f>
        <v>4000</v>
      </c>
      <c r="U67" s="31" t="n">
        <f aca="false">T67-U66</f>
        <v>0</v>
      </c>
      <c r="V67" s="31" t="n">
        <f aca="false">U67-V66</f>
        <v>0</v>
      </c>
      <c r="W67" s="31" t="n">
        <f aca="false">V67-W66</f>
        <v>0</v>
      </c>
      <c r="X67" s="31" t="n">
        <f aca="false">W67-X66</f>
        <v>0</v>
      </c>
      <c r="Y67" s="31" t="n">
        <f aca="false">X67-Y66</f>
        <v>0</v>
      </c>
    </row>
    <row r="68" customFormat="false" ht="15" hidden="false" customHeight="false" outlineLevel="0" collapsed="false">
      <c r="B68" s="9" t="s">
        <v>286</v>
      </c>
      <c r="I68" s="26" t="n">
        <f aca="false">0</f>
        <v>0</v>
      </c>
      <c r="J68" s="26" t="n">
        <f aca="false">I67*Assumptions!$C$71</f>
        <v>2250</v>
      </c>
      <c r="K68" s="26" t="n">
        <f aca="false">J67*Assumptions!$C$71</f>
        <v>2250</v>
      </c>
      <c r="L68" s="26" t="n">
        <f aca="false">K67*Assumptions!$C$71</f>
        <v>2250</v>
      </c>
      <c r="M68" s="26" t="n">
        <f aca="false">L67*Assumptions!$C$71</f>
        <v>2250</v>
      </c>
      <c r="N68" s="26" t="n">
        <f aca="false">M67*Assumptions!$C$71</f>
        <v>2250</v>
      </c>
      <c r="O68" s="26" t="n">
        <f aca="false">N67*Assumptions!$C$71</f>
        <v>2250</v>
      </c>
      <c r="P68" s="26" t="n">
        <f aca="false">O67*Assumptions!$C$71</f>
        <v>2250</v>
      </c>
      <c r="Q68" s="26" t="n">
        <f aca="false">P67*Assumptions!$C$71</f>
        <v>2250</v>
      </c>
      <c r="R68" s="26" t="n">
        <f aca="false">Q67*Assumptions!$C$71</f>
        <v>2250</v>
      </c>
      <c r="S68" s="26" t="n">
        <f aca="false">R67*Assumptions!$C$71</f>
        <v>2250</v>
      </c>
      <c r="T68" s="26" t="n">
        <f aca="false">S67*Assumptions!$C$71</f>
        <v>2250</v>
      </c>
      <c r="U68" s="26" t="n">
        <f aca="false">T67*Assumptions!$C$71</f>
        <v>2250</v>
      </c>
      <c r="V68" s="26" t="n">
        <f aca="false">U67*Assumptions!$C$71</f>
        <v>0</v>
      </c>
      <c r="W68" s="26" t="n">
        <f aca="false">V67*Assumptions!$C$71</f>
        <v>0</v>
      </c>
      <c r="X68" s="26" t="n">
        <f aca="false">W67*Assumptions!$C$71</f>
        <v>0</v>
      </c>
      <c r="Y68" s="26" t="n">
        <f aca="false">X67*Assumptions!$C$71</f>
        <v>0</v>
      </c>
    </row>
    <row r="70" customFormat="false" ht="15" hidden="false" customHeight="false" outlineLevel="0" collapsed="false">
      <c r="B70" s="7" t="s">
        <v>128</v>
      </c>
      <c r="C70" s="8"/>
      <c r="D70" s="8"/>
      <c r="E70" s="8"/>
      <c r="F70" s="8"/>
      <c r="G70" s="8"/>
      <c r="H70" s="8"/>
      <c r="I70" s="8"/>
      <c r="J70" s="8"/>
      <c r="K70" s="8"/>
      <c r="L70" s="8"/>
      <c r="M70" s="8"/>
      <c r="N70" s="8"/>
      <c r="O70" s="8"/>
      <c r="P70" s="8"/>
      <c r="Q70" s="8"/>
      <c r="R70" s="8"/>
      <c r="S70" s="8"/>
      <c r="T70" s="8"/>
      <c r="U70" s="8"/>
      <c r="V70" s="8"/>
      <c r="W70" s="8"/>
      <c r="X70" s="8"/>
      <c r="Y70" s="8"/>
    </row>
    <row r="71" customFormat="false" ht="43.5" hidden="false" customHeight="true" outlineLevel="0" collapsed="false">
      <c r="B71" s="13" t="s">
        <v>129</v>
      </c>
      <c r="C71" s="14" t="s">
        <v>130</v>
      </c>
      <c r="D71" s="14" t="s">
        <v>46</v>
      </c>
      <c r="E71" s="14" t="s">
        <v>131</v>
      </c>
      <c r="F71" s="14" t="s">
        <v>132</v>
      </c>
      <c r="G71" s="14" t="s">
        <v>133</v>
      </c>
      <c r="H71" s="14" t="s">
        <v>134</v>
      </c>
      <c r="I71" s="33" t="n">
        <v>0</v>
      </c>
      <c r="J71" s="33" t="n">
        <v>1</v>
      </c>
      <c r="K71" s="33" t="n">
        <v>2</v>
      </c>
      <c r="L71" s="33" t="n">
        <v>3</v>
      </c>
      <c r="M71" s="33" t="n">
        <v>4</v>
      </c>
      <c r="N71" s="33" t="n">
        <v>5</v>
      </c>
      <c r="O71" s="33" t="n">
        <v>6</v>
      </c>
      <c r="P71" s="33" t="n">
        <v>7</v>
      </c>
      <c r="Q71" s="33" t="n">
        <v>8</v>
      </c>
      <c r="R71" s="33" t="n">
        <v>9</v>
      </c>
      <c r="S71" s="33" t="n">
        <v>10</v>
      </c>
      <c r="T71" s="33" t="n">
        <v>11</v>
      </c>
      <c r="U71" s="33" t="n">
        <v>12</v>
      </c>
      <c r="V71" s="33" t="n">
        <v>13</v>
      </c>
      <c r="W71" s="33" t="n">
        <v>14</v>
      </c>
      <c r="X71" s="33" t="n">
        <v>15</v>
      </c>
      <c r="Y71" s="33" t="n">
        <v>16</v>
      </c>
    </row>
    <row r="72" customFormat="false" ht="15" hidden="false" customHeight="false" outlineLevel="0" collapsed="false">
      <c r="B72" s="9" t="s">
        <v>287</v>
      </c>
      <c r="C72" s="9" t="s">
        <v>288</v>
      </c>
      <c r="D72" s="26" t="n">
        <f aca="false">Assumptions!$C$69</f>
        <v>100000</v>
      </c>
      <c r="F72" s="17" t="n">
        <f aca="false">Assumptions!$C$71*4/Assumptions!$C$70</f>
        <v>0.09</v>
      </c>
      <c r="G72" s="26" t="n">
        <f aca="false">SUM(I72:Y72)</f>
        <v>25600.1467958155</v>
      </c>
      <c r="H72" s="29" t="n">
        <f aca="false">(1+IRR(I72:Y72,IF(SUM(I72:Y72)&lt;0,-0.05,0.01)))^4-1</f>
        <v>0.08866358319116</v>
      </c>
      <c r="I72" s="35" t="n">
        <f aca="false">-$D72</f>
        <v>-100000</v>
      </c>
      <c r="J72" s="35" t="n">
        <f aca="false">$J$68+$J$66*$J$64</f>
        <v>2250</v>
      </c>
      <c r="K72" s="35" t="n">
        <f aca="false">$K$68+$K$66*$K$64</f>
        <v>2250</v>
      </c>
      <c r="L72" s="35" t="n">
        <f aca="false">$L$68+$L$66*$L$64</f>
        <v>2250</v>
      </c>
      <c r="M72" s="35" t="n">
        <f aca="false">$M$68+$M$66*$M$64</f>
        <v>2250</v>
      </c>
      <c r="N72" s="35" t="n">
        <f aca="false">$N$68+$N$66*$N$64</f>
        <v>2250</v>
      </c>
      <c r="O72" s="35" t="n">
        <f aca="false">$O$68+$O$66*$O$64</f>
        <v>2250</v>
      </c>
      <c r="P72" s="35" t="n">
        <f aca="false">$P$68+$P$66*$P$64</f>
        <v>2250</v>
      </c>
      <c r="Q72" s="35" t="n">
        <f aca="false">$Q$68+$Q$66*$Q$64</f>
        <v>2250</v>
      </c>
      <c r="R72" s="35" t="n">
        <f aca="false">$R$68+$R$66*$R$64</f>
        <v>2250</v>
      </c>
      <c r="S72" s="35" t="n">
        <f aca="false">$S$68+$S$66*$S$64</f>
        <v>2250</v>
      </c>
      <c r="T72" s="35" t="n">
        <f aca="false">$T$68+$T$66*$T$64</f>
        <v>2250</v>
      </c>
      <c r="U72" s="35" t="n">
        <f aca="false">$U$68+$U$66*$U$64</f>
        <v>100850.146795816</v>
      </c>
      <c r="V72" s="35" t="n">
        <f aca="false">$V$68+$V$66*$V$64</f>
        <v>0</v>
      </c>
      <c r="W72" s="35" t="n">
        <f aca="false">$W$68+$W$66*$W$64</f>
        <v>0</v>
      </c>
      <c r="X72" s="35" t="n">
        <f aca="false">$X$68+$X$66*$X$64</f>
        <v>0</v>
      </c>
      <c r="Y72" s="35" t="n">
        <f aca="false">$Y$68+$Y$66*$Y$64</f>
        <v>0</v>
      </c>
    </row>
    <row r="74" customFormat="false" ht="15" hidden="false" customHeight="false" outlineLevel="0" collapsed="false">
      <c r="B74" s="30" t="s">
        <v>289</v>
      </c>
      <c r="C74" s="9" t="s">
        <v>288</v>
      </c>
      <c r="D74" s="26" t="n">
        <f aca="false">SUMIF($C$72:$C$72,"Interval fund",D$72:D$72)</f>
        <v>100000</v>
      </c>
      <c r="G74" s="36" t="n">
        <f aca="false">SUM(I74:Y74)</f>
        <v>25600.1467958155</v>
      </c>
      <c r="H74" s="29" t="n">
        <f aca="false">(1+IRR(I74:Y74,IF(SUM(I74:Y74)&lt;0,-0.05,0.01)))^4-1</f>
        <v>0.08866358319116</v>
      </c>
      <c r="I74" s="35" t="n">
        <f aca="false">SUMIF($C$72:$C$72,"Interval fund",I$72:I$72)</f>
        <v>-100000</v>
      </c>
      <c r="J74" s="35" t="n">
        <f aca="false">SUMIF($C$72:$C$72,"Interval fund",J$72:J$72)</f>
        <v>2250</v>
      </c>
      <c r="K74" s="35" t="n">
        <f aca="false">SUMIF($C$72:$C$72,"Interval fund",K$72:K$72)</f>
        <v>2250</v>
      </c>
      <c r="L74" s="35" t="n">
        <f aca="false">SUMIF($C$72:$C$72,"Interval fund",L$72:L$72)</f>
        <v>2250</v>
      </c>
      <c r="M74" s="35" t="n">
        <f aca="false">SUMIF($C$72:$C$72,"Interval fund",M$72:M$72)</f>
        <v>2250</v>
      </c>
      <c r="N74" s="35" t="n">
        <f aca="false">SUMIF($C$72:$C$72,"Interval fund",N$72:N$72)</f>
        <v>2250</v>
      </c>
      <c r="O74" s="35" t="n">
        <f aca="false">SUMIF($C$72:$C$72,"Interval fund",O$72:O$72)</f>
        <v>2250</v>
      </c>
      <c r="P74" s="35" t="n">
        <f aca="false">SUMIF($C$72:$C$72,"Interval fund",P$72:P$72)</f>
        <v>2250</v>
      </c>
      <c r="Q74" s="35" t="n">
        <f aca="false">SUMIF($C$72:$C$72,"Interval fund",Q$72:Q$72)</f>
        <v>2250</v>
      </c>
      <c r="R74" s="35" t="n">
        <f aca="false">SUMIF($C$72:$C$72,"Interval fund",R$72:R$72)</f>
        <v>2250</v>
      </c>
      <c r="S74" s="35" t="n">
        <f aca="false">SUMIF($C$72:$C$72,"Interval fund",S$72:S$72)</f>
        <v>2250</v>
      </c>
      <c r="T74" s="35" t="n">
        <f aca="false">SUMIF($C$72:$C$72,"Interval fund",T$72:T$72)</f>
        <v>2250</v>
      </c>
      <c r="U74" s="35" t="n">
        <f aca="false">SUMIF($C$72:$C$72,"Interval fund",U$72:U$72)</f>
        <v>100850.146795816</v>
      </c>
      <c r="V74" s="35" t="n">
        <f aca="false">SUMIF($C$72:$C$72,"Interval fund",V$72:V$72)</f>
        <v>0</v>
      </c>
      <c r="W74" s="35" t="n">
        <f aca="false">SUMIF($C$72:$C$72,"Interval fund",W$72:W$72)</f>
        <v>0</v>
      </c>
      <c r="X74" s="35" t="n">
        <f aca="false">SUMIF($C$72:$C$72,"Interval fund",X$72:X$72)</f>
        <v>0</v>
      </c>
      <c r="Y74" s="35" t="n">
        <f aca="false">SUMIF($C$72:$C$72,"Interval fund",Y$72:Y$72)</f>
        <v>0</v>
      </c>
    </row>
    <row r="77" customFormat="false" ht="15" hidden="false" customHeight="false" outlineLevel="0" collapsed="false">
      <c r="B77" s="7" t="s">
        <v>171</v>
      </c>
      <c r="C77" s="8"/>
      <c r="D77" s="8"/>
      <c r="E77" s="8"/>
      <c r="F77" s="8"/>
      <c r="G77" s="8"/>
      <c r="H77" s="8"/>
    </row>
    <row r="78" customFormat="false" ht="15" hidden="false" customHeight="false" outlineLevel="0" collapsed="false">
      <c r="B78" s="9" t="s">
        <v>116</v>
      </c>
      <c r="C78" s="10" t="n">
        <v>0</v>
      </c>
      <c r="D78" s="6" t="s">
        <v>117</v>
      </c>
    </row>
    <row r="79" customFormat="false" ht="15" hidden="false" customHeight="false" outlineLevel="0" collapsed="false">
      <c r="B79" s="9" t="s">
        <v>118</v>
      </c>
      <c r="C79" s="10" t="n">
        <v>-0.015</v>
      </c>
      <c r="D79" s="6" t="s">
        <v>117</v>
      </c>
    </row>
    <row r="80" customFormat="false" ht="15" hidden="false" customHeight="false" outlineLevel="0" collapsed="false">
      <c r="B80" s="9" t="s">
        <v>273</v>
      </c>
      <c r="C80" s="44" t="n">
        <v>3</v>
      </c>
      <c r="D80" s="6" t="s">
        <v>216</v>
      </c>
    </row>
    <row r="81" customFormat="false" ht="15" hidden="false" customHeight="false" outlineLevel="0" collapsed="false">
      <c r="B81" s="9" t="s">
        <v>274</v>
      </c>
      <c r="C81" s="38" t="n">
        <f aca="false">Assumptions!$C$81</f>
        <v>0.025</v>
      </c>
    </row>
    <row r="82" customFormat="false" ht="15" hidden="false" customHeight="false" outlineLevel="0" collapsed="false">
      <c r="B82" s="9" t="s">
        <v>275</v>
      </c>
      <c r="C82" s="12" t="n">
        <v>0.25</v>
      </c>
    </row>
    <row r="83" customFormat="false" ht="15" hidden="false" customHeight="false" outlineLevel="0" collapsed="false">
      <c r="B83" s="9" t="s">
        <v>276</v>
      </c>
      <c r="C83" s="16" t="n">
        <v>4</v>
      </c>
    </row>
    <row r="85" customFormat="false" ht="15" hidden="false" customHeight="false" outlineLevel="0" collapsed="false">
      <c r="B85" s="7" t="s">
        <v>126</v>
      </c>
      <c r="I85" s="33" t="n">
        <v>0</v>
      </c>
      <c r="J85" s="33" t="n">
        <v>1</v>
      </c>
      <c r="K85" s="33" t="n">
        <v>2</v>
      </c>
      <c r="L85" s="33" t="n">
        <v>3</v>
      </c>
      <c r="M85" s="33" t="n">
        <v>4</v>
      </c>
      <c r="N85" s="33" t="n">
        <v>5</v>
      </c>
      <c r="O85" s="33" t="n">
        <v>6</v>
      </c>
      <c r="P85" s="33" t="n">
        <v>7</v>
      </c>
      <c r="Q85" s="33" t="n">
        <v>8</v>
      </c>
      <c r="R85" s="33" t="n">
        <v>9</v>
      </c>
      <c r="S85" s="33" t="n">
        <v>10</v>
      </c>
      <c r="T85" s="33" t="n">
        <v>11</v>
      </c>
      <c r="U85" s="33" t="n">
        <v>12</v>
      </c>
      <c r="V85" s="33" t="n">
        <v>13</v>
      </c>
      <c r="W85" s="33" t="n">
        <v>14</v>
      </c>
      <c r="X85" s="33" t="n">
        <v>15</v>
      </c>
      <c r="Y85" s="33" t="n">
        <v>16</v>
      </c>
    </row>
    <row r="86" customFormat="false" ht="15" hidden="false" customHeight="false" outlineLevel="0" collapsed="false">
      <c r="B86" s="9" t="s">
        <v>127</v>
      </c>
      <c r="I86" s="17" t="n">
        <f aca="false">IF(I$85=0,Assumptions!$C$6,Assumptions!$C$6+$C$78+IF(I$85&gt;=5,$C$79,0))</f>
        <v>0.04</v>
      </c>
      <c r="J86" s="17" t="n">
        <f aca="false">IF(J$85=0,Assumptions!$C$6,Assumptions!$C$6+$C$78+IF(J$85&gt;=5,$C$79,0))</f>
        <v>0.04</v>
      </c>
      <c r="K86" s="17" t="n">
        <f aca="false">IF(K$85=0,Assumptions!$C$6,Assumptions!$C$6+$C$78+IF(K$85&gt;=5,$C$79,0))</f>
        <v>0.04</v>
      </c>
      <c r="L86" s="17" t="n">
        <f aca="false">IF(L$85=0,Assumptions!$C$6,Assumptions!$C$6+$C$78+IF(L$85&gt;=5,$C$79,0))</f>
        <v>0.04</v>
      </c>
      <c r="M86" s="17" t="n">
        <f aca="false">IF(M$85=0,Assumptions!$C$6,Assumptions!$C$6+$C$78+IF(M$85&gt;=5,$C$79,0))</f>
        <v>0.04</v>
      </c>
      <c r="N86" s="17" t="n">
        <f aca="false">IF(N$85=0,Assumptions!$C$6,Assumptions!$C$6+$C$78+IF(N$85&gt;=5,$C$79,0))</f>
        <v>0.025</v>
      </c>
      <c r="O86" s="17" t="n">
        <f aca="false">IF(O$85=0,Assumptions!$C$6,Assumptions!$C$6+$C$78+IF(O$85&gt;=5,$C$79,0))</f>
        <v>0.025</v>
      </c>
      <c r="P86" s="17" t="n">
        <f aca="false">IF(P$85=0,Assumptions!$C$6,Assumptions!$C$6+$C$78+IF(P$85&gt;=5,$C$79,0))</f>
        <v>0.025</v>
      </c>
      <c r="Q86" s="17" t="n">
        <f aca="false">IF(Q$85=0,Assumptions!$C$6,Assumptions!$C$6+$C$78+IF(Q$85&gt;=5,$C$79,0))</f>
        <v>0.025</v>
      </c>
      <c r="R86" s="17" t="n">
        <f aca="false">IF(R$85=0,Assumptions!$C$6,Assumptions!$C$6+$C$78+IF(R$85&gt;=5,$C$79,0))</f>
        <v>0.025</v>
      </c>
      <c r="S86" s="17" t="n">
        <f aca="false">IF(S$85=0,Assumptions!$C$6,Assumptions!$C$6+$C$78+IF(S$85&gt;=5,$C$79,0))</f>
        <v>0.025</v>
      </c>
      <c r="T86" s="17" t="n">
        <f aca="false">IF(T$85=0,Assumptions!$C$6,Assumptions!$C$6+$C$78+IF(T$85&gt;=5,$C$79,0))</f>
        <v>0.025</v>
      </c>
      <c r="U86" s="17" t="n">
        <f aca="false">IF(U$85=0,Assumptions!$C$6,Assumptions!$C$6+$C$78+IF(U$85&gt;=5,$C$79,0))</f>
        <v>0.025</v>
      </c>
      <c r="V86" s="17" t="n">
        <f aca="false">IF(V$85=0,Assumptions!$C$6,Assumptions!$C$6+$C$78+IF(V$85&gt;=5,$C$79,0))</f>
        <v>0.025</v>
      </c>
      <c r="W86" s="17" t="n">
        <f aca="false">IF(W$85=0,Assumptions!$C$6,Assumptions!$C$6+$C$78+IF(W$85&gt;=5,$C$79,0))</f>
        <v>0.025</v>
      </c>
      <c r="X86" s="17" t="n">
        <f aca="false">IF(X$85=0,Assumptions!$C$6,Assumptions!$C$6+$C$78+IF(X$85&gt;=5,$C$79,0))</f>
        <v>0.025</v>
      </c>
      <c r="Y86" s="17" t="n">
        <f aca="false">IF(Y$85=0,Assumptions!$C$6,Assumptions!$C$6+$C$78+IF(Y$85&gt;=5,$C$79,0))</f>
        <v>0.025</v>
      </c>
    </row>
    <row r="88" customFormat="false" ht="15" hidden="false" customHeight="false" outlineLevel="0" collapsed="false">
      <c r="B88" s="7" t="s">
        <v>277</v>
      </c>
      <c r="C88" s="8"/>
      <c r="D88" s="8"/>
      <c r="E88" s="8"/>
      <c r="F88" s="8"/>
      <c r="G88" s="8"/>
      <c r="H88" s="8"/>
      <c r="I88" s="8"/>
      <c r="J88" s="8"/>
      <c r="K88" s="8"/>
      <c r="L88" s="8"/>
      <c r="M88" s="8"/>
      <c r="N88" s="8"/>
      <c r="O88" s="8"/>
      <c r="P88" s="8"/>
      <c r="Q88" s="8"/>
      <c r="R88" s="8"/>
      <c r="S88" s="8"/>
      <c r="T88" s="8"/>
      <c r="U88" s="8"/>
      <c r="V88" s="8"/>
      <c r="W88" s="8"/>
      <c r="X88" s="8"/>
      <c r="Y88" s="8"/>
    </row>
    <row r="89" customFormat="false" ht="15" hidden="false" customHeight="false" outlineLevel="0" collapsed="false">
      <c r="B89" s="9" t="s">
        <v>144</v>
      </c>
      <c r="C89" s="35" t="n">
        <f aca="false">Assumptions!$C$69/Assumptions!$C$70</f>
        <v>4000</v>
      </c>
    </row>
    <row r="90" customFormat="false" ht="15" hidden="false" customHeight="false" outlineLevel="0" collapsed="false">
      <c r="B90" s="9" t="s">
        <v>278</v>
      </c>
      <c r="C90" s="6" t="s">
        <v>279</v>
      </c>
      <c r="J90" s="17" t="n">
        <f aca="false">J86+Assumptions!$C$72+Assumptions!$C$73</f>
        <v>0.1025</v>
      </c>
      <c r="K90" s="17" t="n">
        <f aca="false">K86+Assumptions!$C$72+Assumptions!$C$73</f>
        <v>0.1025</v>
      </c>
      <c r="L90" s="17" t="n">
        <f aca="false">L86+Assumptions!$C$72+Assumptions!$C$73</f>
        <v>0.1025</v>
      </c>
      <c r="M90" s="17" t="n">
        <f aca="false">M86+Assumptions!$C$72+Assumptions!$C$73</f>
        <v>0.1025</v>
      </c>
      <c r="N90" s="17" t="n">
        <f aca="false">N86+Assumptions!$C$72+Assumptions!$C$73</f>
        <v>0.0875</v>
      </c>
      <c r="O90" s="17" t="n">
        <f aca="false">O86+Assumptions!$C$72+Assumptions!$C$73</f>
        <v>0.0875</v>
      </c>
      <c r="P90" s="17" t="n">
        <f aca="false">P86+Assumptions!$C$72+Assumptions!$C$73</f>
        <v>0.0875</v>
      </c>
      <c r="Q90" s="17" t="n">
        <f aca="false">Q86+Assumptions!$C$72+Assumptions!$C$73</f>
        <v>0.0875</v>
      </c>
      <c r="R90" s="17" t="n">
        <f aca="false">R86+Assumptions!$C$72+Assumptions!$C$73</f>
        <v>0.0875</v>
      </c>
      <c r="S90" s="17" t="n">
        <f aca="false">S86+Assumptions!$C$72+Assumptions!$C$73</f>
        <v>0.0875</v>
      </c>
      <c r="T90" s="17" t="n">
        <f aca="false">T86+Assumptions!$C$72+Assumptions!$C$73</f>
        <v>0.0875</v>
      </c>
      <c r="U90" s="17" t="n">
        <f aca="false">U86+Assumptions!$C$72+Assumptions!$C$73</f>
        <v>0.0875</v>
      </c>
      <c r="V90" s="17" t="n">
        <f aca="false">U86+Assumptions!$C$72+Assumptions!$C$73</f>
        <v>0.0875</v>
      </c>
      <c r="W90" s="17" t="n">
        <f aca="false">U86+Assumptions!$C$72+Assumptions!$C$73</f>
        <v>0.0875</v>
      </c>
      <c r="X90" s="17" t="n">
        <f aca="false">U86+Assumptions!$C$72+Assumptions!$C$73</f>
        <v>0.0875</v>
      </c>
      <c r="Y90" s="17" t="n">
        <f aca="false">U86+Assumptions!$C$72+Assumptions!$C$73</f>
        <v>0.0875</v>
      </c>
    </row>
    <row r="91" customFormat="false" ht="15" hidden="false" customHeight="false" outlineLevel="0" collapsed="false">
      <c r="B91" s="9" t="s">
        <v>242</v>
      </c>
      <c r="J91" s="17" t="n">
        <f aca="false">J90*(1+Assumptions!$C$74)</f>
        <v>0.179375</v>
      </c>
      <c r="K91" s="17" t="n">
        <f aca="false">K90*(1+Assumptions!$C$74)</f>
        <v>0.179375</v>
      </c>
      <c r="L91" s="17" t="n">
        <f aca="false">L90*(1+Assumptions!$C$74)</f>
        <v>0.179375</v>
      </c>
      <c r="M91" s="17" t="n">
        <f aca="false">M90*(1+Assumptions!$C$74)</f>
        <v>0.179375</v>
      </c>
      <c r="N91" s="17" t="n">
        <f aca="false">N90*(1+Assumptions!$C$74)</f>
        <v>0.153125</v>
      </c>
      <c r="O91" s="17" t="n">
        <f aca="false">O90*(1+Assumptions!$C$74)</f>
        <v>0.153125</v>
      </c>
      <c r="P91" s="17" t="n">
        <f aca="false">P90*(1+Assumptions!$C$74)</f>
        <v>0.153125</v>
      </c>
      <c r="Q91" s="17" t="n">
        <f aca="false">Q90*(1+Assumptions!$C$74)</f>
        <v>0.153125</v>
      </c>
      <c r="R91" s="17" t="n">
        <f aca="false">R90*(1+Assumptions!$C$74)</f>
        <v>0.153125</v>
      </c>
      <c r="S91" s="17" t="n">
        <f aca="false">S90*(1+Assumptions!$C$74)</f>
        <v>0.153125</v>
      </c>
      <c r="T91" s="17" t="n">
        <f aca="false">T90*(1+Assumptions!$C$74)</f>
        <v>0.153125</v>
      </c>
      <c r="U91" s="17" t="n">
        <f aca="false">U90*(1+Assumptions!$C$74)</f>
        <v>0.153125</v>
      </c>
      <c r="V91" s="17" t="n">
        <f aca="false">V90*(1+Assumptions!$C$74)</f>
        <v>0.153125</v>
      </c>
      <c r="W91" s="17" t="n">
        <f aca="false">W90*(1+Assumptions!$C$74)</f>
        <v>0.153125</v>
      </c>
      <c r="X91" s="17" t="n">
        <f aca="false">X90*(1+Assumptions!$C$74)</f>
        <v>0.153125</v>
      </c>
      <c r="Y91" s="17" t="n">
        <f aca="false">Y90*(1+Assumptions!$C$74)</f>
        <v>0.153125</v>
      </c>
    </row>
    <row r="92" customFormat="false" ht="15" hidden="false" customHeight="false" outlineLevel="0" collapsed="false">
      <c r="B92" s="9" t="s">
        <v>243</v>
      </c>
      <c r="J92" s="17" t="n">
        <f aca="false">(J86+Assumptions!$C$75)*Assumptions!$C$74</f>
        <v>0.046875</v>
      </c>
      <c r="K92" s="17" t="n">
        <f aca="false">(K86+Assumptions!$C$75)*Assumptions!$C$74</f>
        <v>0.046875</v>
      </c>
      <c r="L92" s="17" t="n">
        <f aca="false">(L86+Assumptions!$C$75)*Assumptions!$C$74</f>
        <v>0.046875</v>
      </c>
      <c r="M92" s="17" t="n">
        <f aca="false">(M86+Assumptions!$C$75)*Assumptions!$C$74</f>
        <v>0.046875</v>
      </c>
      <c r="N92" s="17" t="n">
        <f aca="false">(N86+Assumptions!$C$75)*Assumptions!$C$74</f>
        <v>0.035625</v>
      </c>
      <c r="O92" s="17" t="n">
        <f aca="false">(O86+Assumptions!$C$75)*Assumptions!$C$74</f>
        <v>0.035625</v>
      </c>
      <c r="P92" s="17" t="n">
        <f aca="false">(P86+Assumptions!$C$75)*Assumptions!$C$74</f>
        <v>0.035625</v>
      </c>
      <c r="Q92" s="17" t="n">
        <f aca="false">(Q86+Assumptions!$C$75)*Assumptions!$C$74</f>
        <v>0.035625</v>
      </c>
      <c r="R92" s="17" t="n">
        <f aca="false">(R86+Assumptions!$C$75)*Assumptions!$C$74</f>
        <v>0.035625</v>
      </c>
      <c r="S92" s="17" t="n">
        <f aca="false">(S86+Assumptions!$C$75)*Assumptions!$C$74</f>
        <v>0.035625</v>
      </c>
      <c r="T92" s="17" t="n">
        <f aca="false">(T86+Assumptions!$C$75)*Assumptions!$C$74</f>
        <v>0.035625</v>
      </c>
      <c r="U92" s="17" t="n">
        <f aca="false">(U86+Assumptions!$C$75)*Assumptions!$C$74</f>
        <v>0.035625</v>
      </c>
      <c r="V92" s="17" t="n">
        <f aca="false">(U86+Assumptions!$C$75)*Assumptions!$C$74</f>
        <v>0.035625</v>
      </c>
      <c r="W92" s="17" t="n">
        <f aca="false">(U86+Assumptions!$C$75)*Assumptions!$C$74</f>
        <v>0.035625</v>
      </c>
      <c r="X92" s="17" t="n">
        <f aca="false">(U86+Assumptions!$C$75)*Assumptions!$C$74</f>
        <v>0.035625</v>
      </c>
      <c r="Y92" s="17" t="n">
        <f aca="false">(U86+Assumptions!$C$75)*Assumptions!$C$74</f>
        <v>0.035625</v>
      </c>
    </row>
    <row r="93" customFormat="false" ht="15" hidden="false" customHeight="false" outlineLevel="0" collapsed="false">
      <c r="B93" s="9" t="s">
        <v>245</v>
      </c>
      <c r="J93" s="17" t="n">
        <f aca="false">Assumptions!$C$76*(1+Assumptions!$C$74)</f>
        <v>0.021875</v>
      </c>
      <c r="K93" s="17" t="n">
        <f aca="false">Assumptions!$C$76*(1+Assumptions!$C$74)</f>
        <v>0.021875</v>
      </c>
      <c r="L93" s="17" t="n">
        <f aca="false">Assumptions!$C$76*(1+Assumptions!$C$74)</f>
        <v>0.021875</v>
      </c>
      <c r="M93" s="17" t="n">
        <f aca="false">Assumptions!$C$76*(1+Assumptions!$C$74)</f>
        <v>0.021875</v>
      </c>
      <c r="N93" s="17" t="n">
        <f aca="false">Assumptions!$C$76*(1+Assumptions!$C$74)</f>
        <v>0.021875</v>
      </c>
      <c r="O93" s="17" t="n">
        <f aca="false">Assumptions!$C$76*(1+Assumptions!$C$74)</f>
        <v>0.021875</v>
      </c>
      <c r="P93" s="17" t="n">
        <f aca="false">Assumptions!$C$76*(1+Assumptions!$C$74)</f>
        <v>0.021875</v>
      </c>
      <c r="Q93" s="17" t="n">
        <f aca="false">Assumptions!$C$76*(1+Assumptions!$C$74)</f>
        <v>0.021875</v>
      </c>
      <c r="R93" s="17" t="n">
        <f aca="false">Assumptions!$C$76*(1+Assumptions!$C$74)</f>
        <v>0.021875</v>
      </c>
      <c r="S93" s="17" t="n">
        <f aca="false">Assumptions!$C$76*(1+Assumptions!$C$74)</f>
        <v>0.021875</v>
      </c>
      <c r="T93" s="17" t="n">
        <f aca="false">Assumptions!$C$76*(1+Assumptions!$C$74)</f>
        <v>0.021875</v>
      </c>
      <c r="U93" s="17" t="n">
        <f aca="false">Assumptions!$C$76*(1+Assumptions!$C$74)</f>
        <v>0.021875</v>
      </c>
      <c r="V93" s="17" t="n">
        <f aca="false">Assumptions!$C$76*(1+Assumptions!$C$74)</f>
        <v>0.021875</v>
      </c>
      <c r="W93" s="17" t="n">
        <f aca="false">Assumptions!$C$76*(1+Assumptions!$C$74)</f>
        <v>0.021875</v>
      </c>
      <c r="X93" s="17" t="n">
        <f aca="false">Assumptions!$C$76*(1+Assumptions!$C$74)</f>
        <v>0.021875</v>
      </c>
      <c r="Y93" s="17" t="n">
        <f aca="false">Assumptions!$C$76*(1+Assumptions!$C$74)</f>
        <v>0.021875</v>
      </c>
    </row>
    <row r="94" customFormat="false" ht="15" hidden="false" customHeight="false" outlineLevel="0" collapsed="false">
      <c r="B94" s="9" t="s">
        <v>247</v>
      </c>
      <c r="J94" s="17" t="n">
        <f aca="false">Assumptions!$C$77+Assumptions!$C$78</f>
        <v>0.0085</v>
      </c>
      <c r="K94" s="17" t="n">
        <f aca="false">Assumptions!$C$77+Assumptions!$C$78</f>
        <v>0.0085</v>
      </c>
      <c r="L94" s="17" t="n">
        <f aca="false">Assumptions!$C$77+Assumptions!$C$78</f>
        <v>0.0085</v>
      </c>
      <c r="M94" s="17" t="n">
        <f aca="false">Assumptions!$C$77+Assumptions!$C$78</f>
        <v>0.0085</v>
      </c>
      <c r="N94" s="17" t="n">
        <f aca="false">Assumptions!$C$77+Assumptions!$C$78</f>
        <v>0.0085</v>
      </c>
      <c r="O94" s="17" t="n">
        <f aca="false">Assumptions!$C$77+Assumptions!$C$78</f>
        <v>0.0085</v>
      </c>
      <c r="P94" s="17" t="n">
        <f aca="false">Assumptions!$C$77+Assumptions!$C$78</f>
        <v>0.0085</v>
      </c>
      <c r="Q94" s="17" t="n">
        <f aca="false">Assumptions!$C$77+Assumptions!$C$78</f>
        <v>0.0085</v>
      </c>
      <c r="R94" s="17" t="n">
        <f aca="false">Assumptions!$C$77+Assumptions!$C$78</f>
        <v>0.0085</v>
      </c>
      <c r="S94" s="17" t="n">
        <f aca="false">Assumptions!$C$77+Assumptions!$C$78</f>
        <v>0.0085</v>
      </c>
      <c r="T94" s="17" t="n">
        <f aca="false">Assumptions!$C$77+Assumptions!$C$78</f>
        <v>0.0085</v>
      </c>
      <c r="U94" s="17" t="n">
        <f aca="false">Assumptions!$C$77+Assumptions!$C$78</f>
        <v>0.0085</v>
      </c>
      <c r="V94" s="17" t="n">
        <f aca="false">Assumptions!$C$77+Assumptions!$C$78</f>
        <v>0.0085</v>
      </c>
      <c r="W94" s="17" t="n">
        <f aca="false">Assumptions!$C$77+Assumptions!$C$78</f>
        <v>0.0085</v>
      </c>
      <c r="X94" s="17" t="n">
        <f aca="false">Assumptions!$C$77+Assumptions!$C$78</f>
        <v>0.0085</v>
      </c>
      <c r="Y94" s="17" t="n">
        <f aca="false">Assumptions!$C$77+Assumptions!$C$78</f>
        <v>0.0085</v>
      </c>
    </row>
    <row r="95" customFormat="false" ht="15" hidden="false" customHeight="false" outlineLevel="0" collapsed="false">
      <c r="B95" s="9" t="s">
        <v>280</v>
      </c>
      <c r="J95" s="17" t="n">
        <f aca="false">J91-J92-J93-J94</f>
        <v>0.102125</v>
      </c>
      <c r="K95" s="17" t="n">
        <f aca="false">K91-K92-K93-K94</f>
        <v>0.102125</v>
      </c>
      <c r="L95" s="17" t="n">
        <f aca="false">L91-L92-L93-L94</f>
        <v>0.102125</v>
      </c>
      <c r="M95" s="17" t="n">
        <f aca="false">M91-M92-M93-M94</f>
        <v>0.102125</v>
      </c>
      <c r="N95" s="17" t="n">
        <f aca="false">N91-N92-N93-N94</f>
        <v>0.087125</v>
      </c>
      <c r="O95" s="17" t="n">
        <f aca="false">O91-O92-O93-O94</f>
        <v>0.087125</v>
      </c>
      <c r="P95" s="17" t="n">
        <f aca="false">P91-P92-P93-P94</f>
        <v>0.087125</v>
      </c>
      <c r="Q95" s="17" t="n">
        <f aca="false">Q91-Q92-Q93-Q94</f>
        <v>0.087125</v>
      </c>
      <c r="R95" s="17" t="n">
        <f aca="false">R91-R92-R93-R94</f>
        <v>0.087125</v>
      </c>
      <c r="S95" s="17" t="n">
        <f aca="false">S91-S92-S93-S94</f>
        <v>0.087125</v>
      </c>
      <c r="T95" s="17" t="n">
        <f aca="false">T91-T92-T93-T94</f>
        <v>0.087125</v>
      </c>
      <c r="U95" s="17" t="n">
        <f aca="false">U91-U92-U93-U94</f>
        <v>0.087125</v>
      </c>
      <c r="V95" s="17" t="n">
        <f aca="false">V91-V92-V93-V94</f>
        <v>0.087125</v>
      </c>
      <c r="W95" s="17" t="n">
        <f aca="false">W91-W92-W93-W94</f>
        <v>0.087125</v>
      </c>
      <c r="X95" s="17" t="n">
        <f aca="false">X91-X92-X93-X94</f>
        <v>0.087125</v>
      </c>
      <c r="Y95" s="17" t="n">
        <f aca="false">Y91-Y92-Y93-Y94</f>
        <v>0.087125</v>
      </c>
    </row>
    <row r="96" customFormat="false" ht="15" hidden="false" customHeight="false" outlineLevel="0" collapsed="false">
      <c r="B96" s="9" t="s">
        <v>281</v>
      </c>
      <c r="J96" s="17" t="n">
        <f aca="false">IF(J95&gt;Assumptions!$C$80,Assumptions!$C$79*J95,0)</f>
        <v>0.012765625</v>
      </c>
      <c r="K96" s="17" t="n">
        <f aca="false">IF(K95&gt;Assumptions!$C$80,Assumptions!$C$79*K95,0)</f>
        <v>0.012765625</v>
      </c>
      <c r="L96" s="17" t="n">
        <f aca="false">IF(L95&gt;Assumptions!$C$80,Assumptions!$C$79*L95,0)</f>
        <v>0.012765625</v>
      </c>
      <c r="M96" s="17" t="n">
        <f aca="false">IF(M95&gt;Assumptions!$C$80,Assumptions!$C$79*M95,0)</f>
        <v>0.012765625</v>
      </c>
      <c r="N96" s="17" t="n">
        <f aca="false">IF(N95&gt;Assumptions!$C$80,Assumptions!$C$79*N95,0)</f>
        <v>0.010890625</v>
      </c>
      <c r="O96" s="17" t="n">
        <f aca="false">IF(O95&gt;Assumptions!$C$80,Assumptions!$C$79*O95,0)</f>
        <v>0.010890625</v>
      </c>
      <c r="P96" s="17" t="n">
        <f aca="false">IF(P95&gt;Assumptions!$C$80,Assumptions!$C$79*P95,0)</f>
        <v>0.010890625</v>
      </c>
      <c r="Q96" s="17" t="n">
        <f aca="false">IF(Q95&gt;Assumptions!$C$80,Assumptions!$C$79*Q95,0)</f>
        <v>0.010890625</v>
      </c>
      <c r="R96" s="17" t="n">
        <f aca="false">IF(R95&gt;Assumptions!$C$80,Assumptions!$C$79*R95,0)</f>
        <v>0.010890625</v>
      </c>
      <c r="S96" s="17" t="n">
        <f aca="false">IF(S95&gt;Assumptions!$C$80,Assumptions!$C$79*S95,0)</f>
        <v>0.010890625</v>
      </c>
      <c r="T96" s="17" t="n">
        <f aca="false">IF(T95&gt;Assumptions!$C$80,Assumptions!$C$79*T95,0)</f>
        <v>0.010890625</v>
      </c>
      <c r="U96" s="17" t="n">
        <f aca="false">IF(U95&gt;Assumptions!$C$80,Assumptions!$C$79*U95,0)</f>
        <v>0.010890625</v>
      </c>
      <c r="V96" s="17" t="n">
        <f aca="false">IF(V95&gt;Assumptions!$C$80,Assumptions!$C$79*V95,0)</f>
        <v>0.010890625</v>
      </c>
      <c r="W96" s="17" t="n">
        <f aca="false">IF(W95&gt;Assumptions!$C$80,Assumptions!$C$79*W95,0)</f>
        <v>0.010890625</v>
      </c>
      <c r="X96" s="17" t="n">
        <f aca="false">IF(X95&gt;Assumptions!$C$80,Assumptions!$C$79*X95,0)</f>
        <v>0.010890625</v>
      </c>
      <c r="Y96" s="17" t="n">
        <f aca="false">IF(Y95&gt;Assumptions!$C$80,Assumptions!$C$79*Y95,0)</f>
        <v>0.010890625</v>
      </c>
    </row>
    <row r="97" customFormat="false" ht="15" hidden="false" customHeight="false" outlineLevel="0" collapsed="false">
      <c r="B97" s="9" t="s">
        <v>251</v>
      </c>
      <c r="J97" s="17" t="n">
        <f aca="false">J95-J96</f>
        <v>0.089359375</v>
      </c>
      <c r="K97" s="17" t="n">
        <f aca="false">K95-K96</f>
        <v>0.089359375</v>
      </c>
      <c r="L97" s="17" t="n">
        <f aca="false">L95-L96</f>
        <v>0.089359375</v>
      </c>
      <c r="M97" s="17" t="n">
        <f aca="false">M95-M96</f>
        <v>0.089359375</v>
      </c>
      <c r="N97" s="17" t="n">
        <f aca="false">N95-N96</f>
        <v>0.076234375</v>
      </c>
      <c r="O97" s="17" t="n">
        <f aca="false">O95-O96</f>
        <v>0.076234375</v>
      </c>
      <c r="P97" s="17" t="n">
        <f aca="false">P95-P96</f>
        <v>0.076234375</v>
      </c>
      <c r="Q97" s="17" t="n">
        <f aca="false">Q95-Q96</f>
        <v>0.076234375</v>
      </c>
      <c r="R97" s="17" t="n">
        <f aca="false">R95-R96</f>
        <v>0.076234375</v>
      </c>
      <c r="S97" s="17" t="n">
        <f aca="false">S95-S96</f>
        <v>0.076234375</v>
      </c>
      <c r="T97" s="17" t="n">
        <f aca="false">T95-T96</f>
        <v>0.076234375</v>
      </c>
      <c r="U97" s="17" t="n">
        <f aca="false">U95-U96</f>
        <v>0.076234375</v>
      </c>
      <c r="V97" s="17" t="n">
        <f aca="false">V95-V96</f>
        <v>0.076234375</v>
      </c>
      <c r="W97" s="17" t="n">
        <f aca="false">W95-W96</f>
        <v>0.076234375</v>
      </c>
      <c r="X97" s="17" t="n">
        <f aca="false">X95-X96</f>
        <v>0.076234375</v>
      </c>
      <c r="Y97" s="17" t="n">
        <f aca="false">Y95-Y96</f>
        <v>0.076234375</v>
      </c>
    </row>
    <row r="98" customFormat="false" ht="15" hidden="false" customHeight="false" outlineLevel="0" collapsed="false">
      <c r="B98" s="9" t="s">
        <v>282</v>
      </c>
      <c r="J98" s="17" t="n">
        <f aca="false">$C$81*Assumptions!$C$82*(1+Assumptions!$C$74)*IF(AND(J$85&gt;=5,J$85&lt;=8),$C$80,1)</f>
        <v>0.0175</v>
      </c>
      <c r="K98" s="17" t="n">
        <f aca="false">$C$81*Assumptions!$C$82*(1+Assumptions!$C$74)*IF(AND(K$85&gt;=5,K$85&lt;=8),$C$80,1)</f>
        <v>0.0175</v>
      </c>
      <c r="L98" s="17" t="n">
        <f aca="false">$C$81*Assumptions!$C$82*(1+Assumptions!$C$74)*IF(AND(L$85&gt;=5,L$85&lt;=8),$C$80,1)</f>
        <v>0.0175</v>
      </c>
      <c r="M98" s="17" t="n">
        <f aca="false">$C$81*Assumptions!$C$82*(1+Assumptions!$C$74)*IF(AND(M$85&gt;=5,M$85&lt;=8),$C$80,1)</f>
        <v>0.0175</v>
      </c>
      <c r="N98" s="17" t="n">
        <f aca="false">$C$81*Assumptions!$C$82*(1+Assumptions!$C$74)*IF(AND(N$85&gt;=5,N$85&lt;=8),$C$80,1)</f>
        <v>0.0525</v>
      </c>
      <c r="O98" s="17" t="n">
        <f aca="false">$C$81*Assumptions!$C$82*(1+Assumptions!$C$74)*IF(AND(O$85&gt;=5,O$85&lt;=8),$C$80,1)</f>
        <v>0.0525</v>
      </c>
      <c r="P98" s="17" t="n">
        <f aca="false">$C$81*Assumptions!$C$82*(1+Assumptions!$C$74)*IF(AND(P$85&gt;=5,P$85&lt;=8),$C$80,1)</f>
        <v>0.0525</v>
      </c>
      <c r="Q98" s="17" t="n">
        <f aca="false">$C$81*Assumptions!$C$82*(1+Assumptions!$C$74)*IF(AND(Q$85&gt;=5,Q$85&lt;=8),$C$80,1)</f>
        <v>0.0525</v>
      </c>
      <c r="R98" s="17" t="n">
        <f aca="false">$C$81*Assumptions!$C$82*(1+Assumptions!$C$74)*IF(AND(R$85&gt;=5,R$85&lt;=8),$C$80,1)</f>
        <v>0.0175</v>
      </c>
      <c r="S98" s="17" t="n">
        <f aca="false">$C$81*Assumptions!$C$82*(1+Assumptions!$C$74)*IF(AND(S$85&gt;=5,S$85&lt;=8),$C$80,1)</f>
        <v>0.0175</v>
      </c>
      <c r="T98" s="17" t="n">
        <f aca="false">$C$81*Assumptions!$C$82*(1+Assumptions!$C$74)*IF(AND(T$85&gt;=5,T$85&lt;=8),$C$80,1)</f>
        <v>0.0175</v>
      </c>
      <c r="U98" s="17" t="n">
        <f aca="false">$C$81*Assumptions!$C$82*(1+Assumptions!$C$74)*IF(AND(U$85&gt;=5,U$85&lt;=8),$C$80,1)</f>
        <v>0.0175</v>
      </c>
      <c r="V98" s="17" t="n">
        <f aca="false">$C$81*Assumptions!$C$82*(1+Assumptions!$C$74)*IF(AND(V$85&gt;=5,V$85&lt;=8),$C$80,1)</f>
        <v>0.0175</v>
      </c>
      <c r="W98" s="17" t="n">
        <f aca="false">$C$81*Assumptions!$C$82*(1+Assumptions!$C$74)*IF(AND(W$85&gt;=5,W$85&lt;=8),$C$80,1)</f>
        <v>0.0175</v>
      </c>
      <c r="X98" s="17" t="n">
        <f aca="false">$C$81*Assumptions!$C$82*(1+Assumptions!$C$74)*IF(AND(X$85&gt;=5,X$85&lt;=8),$C$80,1)</f>
        <v>0.0175</v>
      </c>
      <c r="Y98" s="17" t="n">
        <f aca="false">$C$81*Assumptions!$C$82*(1+Assumptions!$C$74)*IF(AND(Y$85&gt;=5,Y$85&lt;=8),$C$80,1)</f>
        <v>0.0175</v>
      </c>
    </row>
    <row r="99" customFormat="false" ht="15" hidden="false" customHeight="false" outlineLevel="0" collapsed="false">
      <c r="B99" s="9" t="s">
        <v>226</v>
      </c>
      <c r="J99" s="39" t="n">
        <f aca="false">I100*J97/4</f>
        <v>0.55849609375</v>
      </c>
      <c r="K99" s="39" t="n">
        <f aca="false">J100*K97/4</f>
        <v>0.555963226699829</v>
      </c>
      <c r="L99" s="39" t="n">
        <f aca="false">K100*L97/4</f>
        <v>0.553384857088862</v>
      </c>
      <c r="M99" s="39" t="n">
        <f aca="false">L100*M97/4</f>
        <v>0.550760167470705</v>
      </c>
      <c r="N99" s="39" t="n">
        <f aca="false">M100*N97/4</f>
        <v>0.467585756453396</v>
      </c>
      <c r="O99" s="39" t="n">
        <f aca="false">N100*O97/4</f>
        <v>0.459639761391102</v>
      </c>
      <c r="P99" s="39" t="n">
        <f aca="false">O100*P97/4</f>
        <v>0.451646618022169</v>
      </c>
      <c r="Q99" s="39" t="n">
        <f aca="false">P100*Q97/4</f>
        <v>0.443606046587699</v>
      </c>
      <c r="R99" s="39" t="n">
        <f aca="false">Q100*R97/4</f>
        <v>0.435517765668819</v>
      </c>
      <c r="S99" s="39" t="n">
        <f aca="false">R100*S97/4</f>
        <v>0.431192272626432</v>
      </c>
      <c r="T99" s="39" t="n">
        <f aca="false">S100*T97/4</f>
        <v>0.426803265801443</v>
      </c>
      <c r="U99" s="39" t="n">
        <f aca="false">T100*U97/4</f>
        <v>0.42234981258327</v>
      </c>
      <c r="V99" s="39" t="n">
        <f aca="false">U100*V97/4</f>
        <v>0.417830966667256</v>
      </c>
      <c r="W99" s="39" t="n">
        <f aca="false">V100*W97/4</f>
        <v>0.413245767853593</v>
      </c>
      <c r="X99" s="39" t="n">
        <f aca="false">W100*X97/4</f>
        <v>0.408593241843287</v>
      </c>
      <c r="Y99" s="39" t="n">
        <f aca="false">X100*Y97/4</f>
        <v>0.403872400031134</v>
      </c>
    </row>
    <row r="100" customFormat="false" ht="15" hidden="false" customHeight="false" outlineLevel="0" collapsed="false">
      <c r="B100" s="9" t="s">
        <v>229</v>
      </c>
      <c r="I100" s="37" t="n">
        <f aca="false">Assumptions!$C$70</f>
        <v>25</v>
      </c>
      <c r="J100" s="37" t="n">
        <f aca="false">I100+J99-Assumptions!$C$71-I100*J98/4</f>
        <v>24.88662109375</v>
      </c>
      <c r="K100" s="37" t="n">
        <f aca="false">J100+K99-Assumptions!$C$71-J100*K98/4</f>
        <v>24.7712053531647</v>
      </c>
      <c r="L100" s="37" t="n">
        <f aca="false">K100+L99-Assumptions!$C$71-K100*L98/4</f>
        <v>24.6537161868334</v>
      </c>
      <c r="M100" s="37" t="n">
        <f aca="false">L100+M99-Assumptions!$C$71-L100*M98/4</f>
        <v>24.5341163459868</v>
      </c>
      <c r="N100" s="37" t="n">
        <f aca="false">M100+N99-Assumptions!$C$71-M100*N98/4</f>
        <v>24.1171918253991</v>
      </c>
      <c r="O100" s="37" t="n">
        <f aca="false">N100+O99-Assumptions!$C$71-N100*O98/4</f>
        <v>23.6977934440818</v>
      </c>
      <c r="P100" s="37" t="n">
        <f aca="false">O100+P99-Assumptions!$C$71-O100*P98/4</f>
        <v>23.2759065231504</v>
      </c>
      <c r="Q100" s="37" t="n">
        <f aca="false">P100+Q99-Assumptions!$C$71-P100*Q98/4</f>
        <v>22.8515162966218</v>
      </c>
      <c r="R100" s="37" t="n">
        <f aca="false">Q100+R99-Assumptions!$C$71-Q100*R98/4</f>
        <v>22.6245586784929</v>
      </c>
      <c r="S100" s="37" t="n">
        <f aca="false">R100+S99-Assumptions!$C$71-R100*S98/4</f>
        <v>22.3942685069009</v>
      </c>
      <c r="T100" s="37" t="n">
        <f aca="false">S100+T99-Assumptions!$C$71-S100*T98/4</f>
        <v>22.1605968479846</v>
      </c>
      <c r="U100" s="37" t="n">
        <f aca="false">T100+U99-Assumptions!$C$71-T100*U98/4</f>
        <v>21.923494049358</v>
      </c>
      <c r="V100" s="37" t="n">
        <f aca="false">U100+V99-Assumptions!$C$71-U100*V98/4</f>
        <v>21.6829097295593</v>
      </c>
      <c r="W100" s="37" t="n">
        <f aca="false">V100+W99-Assumptions!$C$71-V100*W98/4</f>
        <v>21.4387927673461</v>
      </c>
      <c r="X100" s="37" t="n">
        <f aca="false">W100+X99-Assumptions!$C$71-W100*X98/4</f>
        <v>21.1910912908322</v>
      </c>
      <c r="Y100" s="37" t="n">
        <f aca="false">X100+Y99-Assumptions!$C$71-X100*Y98/4</f>
        <v>20.9397526664659</v>
      </c>
    </row>
    <row r="101" customFormat="false" ht="15" hidden="false" customHeight="false" outlineLevel="0" collapsed="false">
      <c r="B101" s="9" t="s">
        <v>283</v>
      </c>
      <c r="J101" s="38" t="n">
        <f aca="false">J99/Assumptions!$C$71</f>
        <v>0.992881944444444</v>
      </c>
      <c r="K101" s="38" t="n">
        <f aca="false">K99/Assumptions!$C$71</f>
        <v>0.988379069688585</v>
      </c>
      <c r="L101" s="38" t="n">
        <f aca="false">L99/Assumptions!$C$71</f>
        <v>0.983795301491311</v>
      </c>
      <c r="M101" s="38" t="n">
        <f aca="false">M99/Assumptions!$C$71</f>
        <v>0.979129186614587</v>
      </c>
      <c r="N101" s="38" t="n">
        <f aca="false">N99/Assumptions!$C$71</f>
        <v>0.83126356702826</v>
      </c>
      <c r="O101" s="38" t="n">
        <f aca="false">O99/Assumptions!$C$71</f>
        <v>0.817137353584181</v>
      </c>
      <c r="P101" s="38" t="n">
        <f aca="false">P99/Assumptions!$C$71</f>
        <v>0.8029273209283</v>
      </c>
      <c r="Q101" s="38" t="n">
        <f aca="false">Q99/Assumptions!$C$71</f>
        <v>0.788632971711464</v>
      </c>
      <c r="R101" s="38" t="n">
        <f aca="false">R99/Assumptions!$C$71</f>
        <v>0.774253805633455</v>
      </c>
      <c r="S101" s="38" t="n">
        <f aca="false">S99/Assumptions!$C$71</f>
        <v>0.766564040224768</v>
      </c>
      <c r="T101" s="38" t="n">
        <f aca="false">T99/Assumptions!$C$71</f>
        <v>0.758761361424788</v>
      </c>
      <c r="U101" s="38" t="n">
        <f aca="false">U99/Assumptions!$C$71</f>
        <v>0.750844111259146</v>
      </c>
      <c r="V101" s="38" t="n">
        <f aca="false">V99/Assumptions!$C$71</f>
        <v>0.742810607408455</v>
      </c>
      <c r="W101" s="38" t="n">
        <f aca="false">W99/Assumptions!$C$71</f>
        <v>0.734659142850832</v>
      </c>
      <c r="X101" s="38" t="n">
        <f aca="false">X99/Assumptions!$C$71</f>
        <v>0.726387985499177</v>
      </c>
      <c r="Y101" s="38" t="n">
        <f aca="false">Y99/Assumptions!$C$71</f>
        <v>0.717995377833127</v>
      </c>
    </row>
    <row r="102" customFormat="false" ht="15" hidden="false" customHeight="false" outlineLevel="0" collapsed="false">
      <c r="B102" s="9" t="s">
        <v>284</v>
      </c>
      <c r="I102" s="31" t="n">
        <f aca="false">0</f>
        <v>0</v>
      </c>
      <c r="J102" s="31" t="n">
        <f aca="false">IF(J$85&gt;=12,IF(J$85&gt;=12+$C$83,I103,I103*$C$82),0)</f>
        <v>0</v>
      </c>
      <c r="K102" s="31" t="n">
        <f aca="false">IF(K$85&gt;=12,IF(K$85&gt;=12+$C$83,J103,J103*$C$82),0)</f>
        <v>0</v>
      </c>
      <c r="L102" s="31" t="n">
        <f aca="false">IF(L$85&gt;=12,IF(L$85&gt;=12+$C$83,K103,K103*$C$82),0)</f>
        <v>0</v>
      </c>
      <c r="M102" s="31" t="n">
        <f aca="false">IF(M$85&gt;=12,IF(M$85&gt;=12+$C$83,L103,L103*$C$82),0)</f>
        <v>0</v>
      </c>
      <c r="N102" s="31" t="n">
        <f aca="false">IF(N$85&gt;=12,IF(N$85&gt;=12+$C$83,M103,M103*$C$82),0)</f>
        <v>0</v>
      </c>
      <c r="O102" s="31" t="n">
        <f aca="false">IF(O$85&gt;=12,IF(O$85&gt;=12+$C$83,N103,N103*$C$82),0)</f>
        <v>0</v>
      </c>
      <c r="P102" s="31" t="n">
        <f aca="false">IF(P$85&gt;=12,IF(P$85&gt;=12+$C$83,O103,O103*$C$82),0)</f>
        <v>0</v>
      </c>
      <c r="Q102" s="31" t="n">
        <f aca="false">IF(Q$85&gt;=12,IF(Q$85&gt;=12+$C$83,P103,P103*$C$82),0)</f>
        <v>0</v>
      </c>
      <c r="R102" s="31" t="n">
        <f aca="false">IF(R$85&gt;=12,IF(R$85&gt;=12+$C$83,Q103,Q103*$C$82),0)</f>
        <v>0</v>
      </c>
      <c r="S102" s="31" t="n">
        <f aca="false">IF(S$85&gt;=12,IF(S$85&gt;=12+$C$83,R103,R103*$C$82),0)</f>
        <v>0</v>
      </c>
      <c r="T102" s="31" t="n">
        <f aca="false">IF(T$85&gt;=12,IF(T$85&gt;=12+$C$83,S103,S103*$C$82),0)</f>
        <v>0</v>
      </c>
      <c r="U102" s="31" t="n">
        <f aca="false">IF(U$85&gt;=12,IF(U$85&gt;=12+$C$83,T103,T103*$C$82),0)</f>
        <v>1000</v>
      </c>
      <c r="V102" s="31" t="n">
        <f aca="false">IF(V$85&gt;=12,IF(V$85&gt;=12+$C$83,U103,U103*$C$82),0)</f>
        <v>750</v>
      </c>
      <c r="W102" s="31" t="n">
        <f aca="false">IF(W$85&gt;=12,IF(W$85&gt;=12+$C$83,V103,V103*$C$82),0)</f>
        <v>562.5</v>
      </c>
      <c r="X102" s="31" t="n">
        <f aca="false">IF(X$85&gt;=12,IF(X$85&gt;=12+$C$83,W103,W103*$C$82),0)</f>
        <v>421.875</v>
      </c>
      <c r="Y102" s="31" t="n">
        <f aca="false">IF(Y$85&gt;=12,IF(Y$85&gt;=12+$C$83,X103,X103*$C$82),0)</f>
        <v>1265.625</v>
      </c>
    </row>
    <row r="103" customFormat="false" ht="15" hidden="false" customHeight="false" outlineLevel="0" collapsed="false">
      <c r="B103" s="9" t="s">
        <v>285</v>
      </c>
      <c r="I103" s="31" t="n">
        <f aca="false">$C$89</f>
        <v>4000</v>
      </c>
      <c r="J103" s="31" t="n">
        <f aca="false">I103-J102</f>
        <v>4000</v>
      </c>
      <c r="K103" s="31" t="n">
        <f aca="false">J103-K102</f>
        <v>4000</v>
      </c>
      <c r="L103" s="31" t="n">
        <f aca="false">K103-L102</f>
        <v>4000</v>
      </c>
      <c r="M103" s="31" t="n">
        <f aca="false">L103-M102</f>
        <v>4000</v>
      </c>
      <c r="N103" s="31" t="n">
        <f aca="false">M103-N102</f>
        <v>4000</v>
      </c>
      <c r="O103" s="31" t="n">
        <f aca="false">N103-O102</f>
        <v>4000</v>
      </c>
      <c r="P103" s="31" t="n">
        <f aca="false">O103-P102</f>
        <v>4000</v>
      </c>
      <c r="Q103" s="31" t="n">
        <f aca="false">P103-Q102</f>
        <v>4000</v>
      </c>
      <c r="R103" s="31" t="n">
        <f aca="false">Q103-R102</f>
        <v>4000</v>
      </c>
      <c r="S103" s="31" t="n">
        <f aca="false">R103-S102</f>
        <v>4000</v>
      </c>
      <c r="T103" s="31" t="n">
        <f aca="false">S103-T102</f>
        <v>4000</v>
      </c>
      <c r="U103" s="31" t="n">
        <f aca="false">T103-U102</f>
        <v>3000</v>
      </c>
      <c r="V103" s="31" t="n">
        <f aca="false">U103-V102</f>
        <v>2250</v>
      </c>
      <c r="W103" s="31" t="n">
        <f aca="false">V103-W102</f>
        <v>1687.5</v>
      </c>
      <c r="X103" s="31" t="n">
        <f aca="false">W103-X102</f>
        <v>1265.625</v>
      </c>
      <c r="Y103" s="31" t="n">
        <f aca="false">X103-Y102</f>
        <v>0</v>
      </c>
    </row>
    <row r="104" customFormat="false" ht="15" hidden="false" customHeight="false" outlineLevel="0" collapsed="false">
      <c r="B104" s="9" t="s">
        <v>286</v>
      </c>
      <c r="I104" s="26" t="n">
        <f aca="false">0</f>
        <v>0</v>
      </c>
      <c r="J104" s="26" t="n">
        <f aca="false">I103*Assumptions!$C$71</f>
        <v>2250</v>
      </c>
      <c r="K104" s="26" t="n">
        <f aca="false">J103*Assumptions!$C$71</f>
        <v>2250</v>
      </c>
      <c r="L104" s="26" t="n">
        <f aca="false">K103*Assumptions!$C$71</f>
        <v>2250</v>
      </c>
      <c r="M104" s="26" t="n">
        <f aca="false">L103*Assumptions!$C$71</f>
        <v>2250</v>
      </c>
      <c r="N104" s="26" t="n">
        <f aca="false">M103*Assumptions!$C$71</f>
        <v>2250</v>
      </c>
      <c r="O104" s="26" t="n">
        <f aca="false">N103*Assumptions!$C$71</f>
        <v>2250</v>
      </c>
      <c r="P104" s="26" t="n">
        <f aca="false">O103*Assumptions!$C$71</f>
        <v>2250</v>
      </c>
      <c r="Q104" s="26" t="n">
        <f aca="false">P103*Assumptions!$C$71</f>
        <v>2250</v>
      </c>
      <c r="R104" s="26" t="n">
        <f aca="false">Q103*Assumptions!$C$71</f>
        <v>2250</v>
      </c>
      <c r="S104" s="26" t="n">
        <f aca="false">R103*Assumptions!$C$71</f>
        <v>2250</v>
      </c>
      <c r="T104" s="26" t="n">
        <f aca="false">S103*Assumptions!$C$71</f>
        <v>2250</v>
      </c>
      <c r="U104" s="26" t="n">
        <f aca="false">T103*Assumptions!$C$71</f>
        <v>2250</v>
      </c>
      <c r="V104" s="26" t="n">
        <f aca="false">U103*Assumptions!$C$71</f>
        <v>1687.5</v>
      </c>
      <c r="W104" s="26" t="n">
        <f aca="false">V103*Assumptions!$C$71</f>
        <v>1265.625</v>
      </c>
      <c r="X104" s="26" t="n">
        <f aca="false">W103*Assumptions!$C$71</f>
        <v>949.21875</v>
      </c>
      <c r="Y104" s="26" t="n">
        <f aca="false">X103*Assumptions!$C$71</f>
        <v>711.9140625</v>
      </c>
    </row>
    <row r="106" customFormat="false" ht="15" hidden="false" customHeight="false" outlineLevel="0" collapsed="false">
      <c r="B106" s="7" t="s">
        <v>128</v>
      </c>
      <c r="C106" s="8"/>
      <c r="D106" s="8"/>
      <c r="E106" s="8"/>
      <c r="F106" s="8"/>
      <c r="G106" s="8"/>
      <c r="H106" s="8"/>
      <c r="I106" s="8"/>
      <c r="J106" s="8"/>
      <c r="K106" s="8"/>
      <c r="L106" s="8"/>
      <c r="M106" s="8"/>
      <c r="N106" s="8"/>
      <c r="O106" s="8"/>
      <c r="P106" s="8"/>
      <c r="Q106" s="8"/>
      <c r="R106" s="8"/>
      <c r="S106" s="8"/>
      <c r="T106" s="8"/>
      <c r="U106" s="8"/>
      <c r="V106" s="8"/>
      <c r="W106" s="8"/>
      <c r="X106" s="8"/>
      <c r="Y106" s="8"/>
    </row>
    <row r="107" customFormat="false" ht="43.5" hidden="false" customHeight="true" outlineLevel="0" collapsed="false">
      <c r="B107" s="13" t="s">
        <v>129</v>
      </c>
      <c r="C107" s="14" t="s">
        <v>130</v>
      </c>
      <c r="D107" s="14" t="s">
        <v>46</v>
      </c>
      <c r="E107" s="14" t="s">
        <v>131</v>
      </c>
      <c r="F107" s="14" t="s">
        <v>132</v>
      </c>
      <c r="G107" s="14" t="s">
        <v>133</v>
      </c>
      <c r="H107" s="14" t="s">
        <v>134</v>
      </c>
      <c r="I107" s="33" t="n">
        <v>0</v>
      </c>
      <c r="J107" s="33" t="n">
        <v>1</v>
      </c>
      <c r="K107" s="33" t="n">
        <v>2</v>
      </c>
      <c r="L107" s="33" t="n">
        <v>3</v>
      </c>
      <c r="M107" s="33" t="n">
        <v>4</v>
      </c>
      <c r="N107" s="33" t="n">
        <v>5</v>
      </c>
      <c r="O107" s="33" t="n">
        <v>6</v>
      </c>
      <c r="P107" s="33" t="n">
        <v>7</v>
      </c>
      <c r="Q107" s="33" t="n">
        <v>8</v>
      </c>
      <c r="R107" s="33" t="n">
        <v>9</v>
      </c>
      <c r="S107" s="33" t="n">
        <v>10</v>
      </c>
      <c r="T107" s="33" t="n">
        <v>11</v>
      </c>
      <c r="U107" s="33" t="n">
        <v>12</v>
      </c>
      <c r="V107" s="33" t="n">
        <v>13</v>
      </c>
      <c r="W107" s="33" t="n">
        <v>14</v>
      </c>
      <c r="X107" s="33" t="n">
        <v>15</v>
      </c>
      <c r="Y107" s="33" t="n">
        <v>16</v>
      </c>
    </row>
    <row r="108" customFormat="false" ht="15" hidden="false" customHeight="false" outlineLevel="0" collapsed="false">
      <c r="B108" s="9" t="s">
        <v>287</v>
      </c>
      <c r="C108" s="9" t="s">
        <v>288</v>
      </c>
      <c r="D108" s="26" t="n">
        <f aca="false">Assumptions!$C$69</f>
        <v>100000</v>
      </c>
      <c r="F108" s="17" t="n">
        <f aca="false">Assumptions!$C$71*4/Assumptions!$C$70</f>
        <v>0.09</v>
      </c>
      <c r="G108" s="26" t="n">
        <f aca="false">SUM(I108:Y108)</f>
        <v>17301.1211974754</v>
      </c>
      <c r="H108" s="29" t="n">
        <f aca="false">(1+IRR(I108:Y108,IF(SUM(I108:Y108)&lt;0,-0.05,0.01)))^4-1</f>
        <v>0.0537268981731835</v>
      </c>
      <c r="I108" s="35" t="n">
        <f aca="false">-$D108</f>
        <v>-100000</v>
      </c>
      <c r="J108" s="35" t="n">
        <f aca="false">$J$104+$J$102*$J$100</f>
        <v>2250</v>
      </c>
      <c r="K108" s="35" t="n">
        <f aca="false">$K$104+$K$102*$K$100</f>
        <v>2250</v>
      </c>
      <c r="L108" s="35" t="n">
        <f aca="false">$L$104+$L$102*$L$100</f>
        <v>2250</v>
      </c>
      <c r="M108" s="35" t="n">
        <f aca="false">$M$104+$M$102*$M$100</f>
        <v>2250</v>
      </c>
      <c r="N108" s="35" t="n">
        <f aca="false">$N$104+$N$102*$N$100</f>
        <v>2250</v>
      </c>
      <c r="O108" s="35" t="n">
        <f aca="false">$O$104+$O$102*$O$100</f>
        <v>2250</v>
      </c>
      <c r="P108" s="35" t="n">
        <f aca="false">$P$104+$P$102*$P$100</f>
        <v>2250</v>
      </c>
      <c r="Q108" s="35" t="n">
        <f aca="false">$Q$104+$Q$102*$Q$100</f>
        <v>2250</v>
      </c>
      <c r="R108" s="35" t="n">
        <f aca="false">$R$104+$R$102*$R$100</f>
        <v>2250</v>
      </c>
      <c r="S108" s="35" t="n">
        <f aca="false">$S$104+$S$102*$S$100</f>
        <v>2250</v>
      </c>
      <c r="T108" s="35" t="n">
        <f aca="false">$T$104+$T$102*$T$100</f>
        <v>2250</v>
      </c>
      <c r="U108" s="35" t="n">
        <f aca="false">$U$104+$U$102*$U$100</f>
        <v>24173.494049358</v>
      </c>
      <c r="V108" s="35" t="n">
        <f aca="false">$V$104+$V$102*$V$100</f>
        <v>17949.6822971695</v>
      </c>
      <c r="W108" s="35" t="n">
        <f aca="false">$W$104+$W$102*$W$100</f>
        <v>13324.9459316322</v>
      </c>
      <c r="X108" s="35" t="n">
        <f aca="false">$X$104+$X$102*$X$100</f>
        <v>9889.21038831984</v>
      </c>
      <c r="Y108" s="35" t="n">
        <f aca="false">$Y$104+$Y$102*$Y$100</f>
        <v>27213.788530996</v>
      </c>
    </row>
    <row r="110" customFormat="false" ht="15" hidden="false" customHeight="false" outlineLevel="0" collapsed="false">
      <c r="B110" s="30" t="s">
        <v>289</v>
      </c>
      <c r="C110" s="9" t="s">
        <v>288</v>
      </c>
      <c r="D110" s="26" t="n">
        <f aca="false">SUMIF($C$108:$C$108,"Interval fund",D$108:D$108)</f>
        <v>100000</v>
      </c>
      <c r="G110" s="36" t="n">
        <f aca="false">SUM(I110:Y110)</f>
        <v>17301.1211974754</v>
      </c>
      <c r="H110" s="29" t="n">
        <f aca="false">(1+IRR(I110:Y110,IF(SUM(I110:Y110)&lt;0,-0.05,0.01)))^4-1</f>
        <v>0.0537268981731835</v>
      </c>
      <c r="I110" s="35" t="n">
        <f aca="false">SUMIF($C$108:$C$108,"Interval fund",I$108:I$108)</f>
        <v>-100000</v>
      </c>
      <c r="J110" s="35" t="n">
        <f aca="false">SUMIF($C$108:$C$108,"Interval fund",J$108:J$108)</f>
        <v>2250</v>
      </c>
      <c r="K110" s="35" t="n">
        <f aca="false">SUMIF($C$108:$C$108,"Interval fund",K$108:K$108)</f>
        <v>2250</v>
      </c>
      <c r="L110" s="35" t="n">
        <f aca="false">SUMIF($C$108:$C$108,"Interval fund",L$108:L$108)</f>
        <v>2250</v>
      </c>
      <c r="M110" s="35" t="n">
        <f aca="false">SUMIF($C$108:$C$108,"Interval fund",M$108:M$108)</f>
        <v>2250</v>
      </c>
      <c r="N110" s="35" t="n">
        <f aca="false">SUMIF($C$108:$C$108,"Interval fund",N$108:N$108)</f>
        <v>2250</v>
      </c>
      <c r="O110" s="35" t="n">
        <f aca="false">SUMIF($C$108:$C$108,"Interval fund",O$108:O$108)</f>
        <v>2250</v>
      </c>
      <c r="P110" s="35" t="n">
        <f aca="false">SUMIF($C$108:$C$108,"Interval fund",P$108:P$108)</f>
        <v>2250</v>
      </c>
      <c r="Q110" s="35" t="n">
        <f aca="false">SUMIF($C$108:$C$108,"Interval fund",Q$108:Q$108)</f>
        <v>2250</v>
      </c>
      <c r="R110" s="35" t="n">
        <f aca="false">SUMIF($C$108:$C$108,"Interval fund",R$108:R$108)</f>
        <v>2250</v>
      </c>
      <c r="S110" s="35" t="n">
        <f aca="false">SUMIF($C$108:$C$108,"Interval fund",S$108:S$108)</f>
        <v>2250</v>
      </c>
      <c r="T110" s="35" t="n">
        <f aca="false">SUMIF($C$108:$C$108,"Interval fund",T$108:T$108)</f>
        <v>2250</v>
      </c>
      <c r="U110" s="35" t="n">
        <f aca="false">SUMIF($C$108:$C$108,"Interval fund",U$108:U$108)</f>
        <v>24173.494049358</v>
      </c>
      <c r="V110" s="35" t="n">
        <f aca="false">SUMIF($C$108:$C$108,"Interval fund",V$108:V$108)</f>
        <v>17949.6822971695</v>
      </c>
      <c r="W110" s="35" t="n">
        <f aca="false">SUMIF($C$108:$C$108,"Interval fund",W$108:W$108)</f>
        <v>13324.9459316322</v>
      </c>
      <c r="X110" s="35" t="n">
        <f aca="false">SUMIF($C$108:$C$108,"Interval fund",X$108:X$108)</f>
        <v>9889.21038831984</v>
      </c>
      <c r="Y110" s="35" t="n">
        <f aca="false">SUMIF($C$108:$C$108,"Interval fund",Y$108:Y$108)</f>
        <v>27213.788530996</v>
      </c>
    </row>
    <row r="113" customFormat="false" ht="15" hidden="false" customHeight="false" outlineLevel="0" collapsed="false">
      <c r="B113" s="7" t="s">
        <v>290</v>
      </c>
      <c r="C113" s="8"/>
      <c r="D113" s="8"/>
      <c r="E113" s="8"/>
      <c r="F113" s="8"/>
      <c r="G113" s="8"/>
      <c r="H113" s="8"/>
    </row>
    <row r="114" customFormat="false" ht="15" hidden="false" customHeight="false" outlineLevel="0" collapsed="false">
      <c r="B114" s="9" t="s">
        <v>116</v>
      </c>
      <c r="C114" s="10" t="n">
        <v>0</v>
      </c>
      <c r="D114" s="6" t="s">
        <v>117</v>
      </c>
    </row>
    <row r="115" customFormat="false" ht="15" hidden="false" customHeight="false" outlineLevel="0" collapsed="false">
      <c r="B115" s="9" t="s">
        <v>118</v>
      </c>
      <c r="C115" s="10" t="n">
        <v>0</v>
      </c>
      <c r="D115" s="6" t="s">
        <v>117</v>
      </c>
    </row>
    <row r="116" customFormat="false" ht="15" hidden="false" customHeight="false" outlineLevel="0" collapsed="false">
      <c r="B116" s="9" t="s">
        <v>273</v>
      </c>
      <c r="C116" s="44" t="n">
        <v>1</v>
      </c>
      <c r="D116" s="6" t="s">
        <v>216</v>
      </c>
    </row>
    <row r="117" customFormat="false" ht="15" hidden="false" customHeight="false" outlineLevel="0" collapsed="false">
      <c r="B117" s="9" t="s">
        <v>274</v>
      </c>
      <c r="C117" s="38" t="n">
        <f aca="false">Assumptions!$C$81</f>
        <v>0.025</v>
      </c>
    </row>
    <row r="118" customFormat="false" ht="15" hidden="false" customHeight="false" outlineLevel="0" collapsed="false">
      <c r="B118" s="9" t="s">
        <v>275</v>
      </c>
      <c r="C118" s="12" t="n">
        <v>0.25</v>
      </c>
    </row>
    <row r="119" customFormat="false" ht="15" hidden="false" customHeight="false" outlineLevel="0" collapsed="false">
      <c r="B119" s="9" t="s">
        <v>276</v>
      </c>
      <c r="C119" s="16" t="n">
        <v>4</v>
      </c>
    </row>
    <row r="121" customFormat="false" ht="15" hidden="false" customHeight="false" outlineLevel="0" collapsed="false">
      <c r="B121" s="7" t="s">
        <v>126</v>
      </c>
      <c r="I121" s="33" t="n">
        <v>0</v>
      </c>
      <c r="J121" s="33" t="n">
        <v>1</v>
      </c>
      <c r="K121" s="33" t="n">
        <v>2</v>
      </c>
      <c r="L121" s="33" t="n">
        <v>3</v>
      </c>
      <c r="M121" s="33" t="n">
        <v>4</v>
      </c>
      <c r="N121" s="33" t="n">
        <v>5</v>
      </c>
      <c r="O121" s="33" t="n">
        <v>6</v>
      </c>
      <c r="P121" s="33" t="n">
        <v>7</v>
      </c>
      <c r="Q121" s="33" t="n">
        <v>8</v>
      </c>
      <c r="R121" s="33" t="n">
        <v>9</v>
      </c>
      <c r="S121" s="33" t="n">
        <v>10</v>
      </c>
      <c r="T121" s="33" t="n">
        <v>11</v>
      </c>
      <c r="U121" s="33" t="n">
        <v>12</v>
      </c>
      <c r="V121" s="33" t="n">
        <v>13</v>
      </c>
      <c r="W121" s="33" t="n">
        <v>14</v>
      </c>
      <c r="X121" s="33" t="n">
        <v>15</v>
      </c>
      <c r="Y121" s="33" t="n">
        <v>16</v>
      </c>
    </row>
    <row r="122" customFormat="false" ht="15" hidden="false" customHeight="false" outlineLevel="0" collapsed="false">
      <c r="B122" s="9" t="s">
        <v>127</v>
      </c>
      <c r="I122" s="17" t="n">
        <f aca="false">IF(I$121=0,Assumptions!$C$6,Assumptions!$C$6+$C$114+IF(I$121&gt;=5,$C$115,0))</f>
        <v>0.04</v>
      </c>
      <c r="J122" s="17" t="n">
        <f aca="false">IF(J$121=0,Assumptions!$C$6,Assumptions!$C$6+$C$114+IF(J$121&gt;=5,$C$115,0))</f>
        <v>0.04</v>
      </c>
      <c r="K122" s="17" t="n">
        <f aca="false">IF(K$121=0,Assumptions!$C$6,Assumptions!$C$6+$C$114+IF(K$121&gt;=5,$C$115,0))</f>
        <v>0.04</v>
      </c>
      <c r="L122" s="17" t="n">
        <f aca="false">IF(L$121=0,Assumptions!$C$6,Assumptions!$C$6+$C$114+IF(L$121&gt;=5,$C$115,0))</f>
        <v>0.04</v>
      </c>
      <c r="M122" s="17" t="n">
        <f aca="false">IF(M$121=0,Assumptions!$C$6,Assumptions!$C$6+$C$114+IF(M$121&gt;=5,$C$115,0))</f>
        <v>0.04</v>
      </c>
      <c r="N122" s="17" t="n">
        <f aca="false">IF(N$121=0,Assumptions!$C$6,Assumptions!$C$6+$C$114+IF(N$121&gt;=5,$C$115,0))</f>
        <v>0.04</v>
      </c>
      <c r="O122" s="17" t="n">
        <f aca="false">IF(O$121=0,Assumptions!$C$6,Assumptions!$C$6+$C$114+IF(O$121&gt;=5,$C$115,0))</f>
        <v>0.04</v>
      </c>
      <c r="P122" s="17" t="n">
        <f aca="false">IF(P$121=0,Assumptions!$C$6,Assumptions!$C$6+$C$114+IF(P$121&gt;=5,$C$115,0))</f>
        <v>0.04</v>
      </c>
      <c r="Q122" s="17" t="n">
        <f aca="false">IF(Q$121=0,Assumptions!$C$6,Assumptions!$C$6+$C$114+IF(Q$121&gt;=5,$C$115,0))</f>
        <v>0.04</v>
      </c>
      <c r="R122" s="17" t="n">
        <f aca="false">IF(R$121=0,Assumptions!$C$6,Assumptions!$C$6+$C$114+IF(R$121&gt;=5,$C$115,0))</f>
        <v>0.04</v>
      </c>
      <c r="S122" s="17" t="n">
        <f aca="false">IF(S$121=0,Assumptions!$C$6,Assumptions!$C$6+$C$114+IF(S$121&gt;=5,$C$115,0))</f>
        <v>0.04</v>
      </c>
      <c r="T122" s="17" t="n">
        <f aca="false">IF(T$121=0,Assumptions!$C$6,Assumptions!$C$6+$C$114+IF(T$121&gt;=5,$C$115,0))</f>
        <v>0.04</v>
      </c>
      <c r="U122" s="17" t="n">
        <f aca="false">IF(U$121=0,Assumptions!$C$6,Assumptions!$C$6+$C$114+IF(U$121&gt;=5,$C$115,0))</f>
        <v>0.04</v>
      </c>
      <c r="V122" s="17" t="n">
        <f aca="false">IF(V$121=0,Assumptions!$C$6,Assumptions!$C$6+$C$114+IF(V$121&gt;=5,$C$115,0))</f>
        <v>0.04</v>
      </c>
      <c r="W122" s="17" t="n">
        <f aca="false">IF(W$121=0,Assumptions!$C$6,Assumptions!$C$6+$C$114+IF(W$121&gt;=5,$C$115,0))</f>
        <v>0.04</v>
      </c>
      <c r="X122" s="17" t="n">
        <f aca="false">IF(X$121=0,Assumptions!$C$6,Assumptions!$C$6+$C$114+IF(X$121&gt;=5,$C$115,0))</f>
        <v>0.04</v>
      </c>
      <c r="Y122" s="17" t="n">
        <f aca="false">IF(Y$121=0,Assumptions!$C$6,Assumptions!$C$6+$C$114+IF(Y$121&gt;=5,$C$115,0))</f>
        <v>0.04</v>
      </c>
    </row>
    <row r="124" customFormat="false" ht="15" hidden="false" customHeight="false" outlineLevel="0" collapsed="false">
      <c r="B124" s="7" t="s">
        <v>277</v>
      </c>
      <c r="C124" s="8"/>
      <c r="D124" s="8"/>
      <c r="E124" s="8"/>
      <c r="F124" s="8"/>
      <c r="G124" s="8"/>
      <c r="H124" s="8"/>
      <c r="I124" s="8"/>
      <c r="J124" s="8"/>
      <c r="K124" s="8"/>
      <c r="L124" s="8"/>
      <c r="M124" s="8"/>
      <c r="N124" s="8"/>
      <c r="O124" s="8"/>
      <c r="P124" s="8"/>
      <c r="Q124" s="8"/>
      <c r="R124" s="8"/>
      <c r="S124" s="8"/>
      <c r="T124" s="8"/>
      <c r="U124" s="8"/>
      <c r="V124" s="8"/>
      <c r="W124" s="8"/>
      <c r="X124" s="8"/>
      <c r="Y124" s="8"/>
    </row>
    <row r="125" customFormat="false" ht="15" hidden="false" customHeight="false" outlineLevel="0" collapsed="false">
      <c r="B125" s="9" t="s">
        <v>144</v>
      </c>
      <c r="C125" s="35" t="n">
        <f aca="false">Assumptions!$C$69/Assumptions!$C$70</f>
        <v>4000</v>
      </c>
    </row>
    <row r="126" customFormat="false" ht="15" hidden="false" customHeight="false" outlineLevel="0" collapsed="false">
      <c r="B126" s="9" t="s">
        <v>278</v>
      </c>
      <c r="C126" s="6" t="s">
        <v>279</v>
      </c>
      <c r="J126" s="17" t="n">
        <f aca="false">J122+Assumptions!$C$72+Assumptions!$C$73</f>
        <v>0.1025</v>
      </c>
      <c r="K126" s="17" t="n">
        <f aca="false">K122+Assumptions!$C$72+Assumptions!$C$73</f>
        <v>0.1025</v>
      </c>
      <c r="L126" s="17" t="n">
        <f aca="false">L122+Assumptions!$C$72+Assumptions!$C$73</f>
        <v>0.1025</v>
      </c>
      <c r="M126" s="17" t="n">
        <f aca="false">M122+Assumptions!$C$72+Assumptions!$C$73</f>
        <v>0.1025</v>
      </c>
      <c r="N126" s="17" t="n">
        <f aca="false">N122+Assumptions!$C$72+Assumptions!$C$73</f>
        <v>0.1025</v>
      </c>
      <c r="O126" s="17" t="n">
        <f aca="false">O122+Assumptions!$C$72+Assumptions!$C$73</f>
        <v>0.1025</v>
      </c>
      <c r="P126" s="17" t="n">
        <f aca="false">P122+Assumptions!$C$72+Assumptions!$C$73</f>
        <v>0.1025</v>
      </c>
      <c r="Q126" s="17" t="n">
        <f aca="false">Q122+Assumptions!$C$72+Assumptions!$C$73</f>
        <v>0.1025</v>
      </c>
      <c r="R126" s="17" t="n">
        <f aca="false">R122+Assumptions!$C$72+Assumptions!$C$73</f>
        <v>0.1025</v>
      </c>
      <c r="S126" s="17" t="n">
        <f aca="false">S122+Assumptions!$C$72+Assumptions!$C$73</f>
        <v>0.1025</v>
      </c>
      <c r="T126" s="17" t="n">
        <f aca="false">T122+Assumptions!$C$72+Assumptions!$C$73</f>
        <v>0.1025</v>
      </c>
      <c r="U126" s="17" t="n">
        <f aca="false">U122+Assumptions!$C$72+Assumptions!$C$73</f>
        <v>0.1025</v>
      </c>
      <c r="V126" s="17" t="n">
        <f aca="false">U122+Assumptions!$C$72+Assumptions!$C$73</f>
        <v>0.1025</v>
      </c>
      <c r="W126" s="17" t="n">
        <f aca="false">U122+Assumptions!$C$72+Assumptions!$C$73</f>
        <v>0.1025</v>
      </c>
      <c r="X126" s="17" t="n">
        <f aca="false">U122+Assumptions!$C$72+Assumptions!$C$73</f>
        <v>0.1025</v>
      </c>
      <c r="Y126" s="17" t="n">
        <f aca="false">U122+Assumptions!$C$72+Assumptions!$C$73</f>
        <v>0.1025</v>
      </c>
    </row>
    <row r="127" customFormat="false" ht="15" hidden="false" customHeight="false" outlineLevel="0" collapsed="false">
      <c r="B127" s="9" t="s">
        <v>242</v>
      </c>
      <c r="J127" s="17" t="n">
        <f aca="false">J126*(1+Assumptions!$C$74)</f>
        <v>0.179375</v>
      </c>
      <c r="K127" s="17" t="n">
        <f aca="false">K126*(1+Assumptions!$C$74)</f>
        <v>0.179375</v>
      </c>
      <c r="L127" s="17" t="n">
        <f aca="false">L126*(1+Assumptions!$C$74)</f>
        <v>0.179375</v>
      </c>
      <c r="M127" s="17" t="n">
        <f aca="false">M126*(1+Assumptions!$C$74)</f>
        <v>0.179375</v>
      </c>
      <c r="N127" s="17" t="n">
        <f aca="false">N126*(1+Assumptions!$C$74)</f>
        <v>0.179375</v>
      </c>
      <c r="O127" s="17" t="n">
        <f aca="false">O126*(1+Assumptions!$C$74)</f>
        <v>0.179375</v>
      </c>
      <c r="P127" s="17" t="n">
        <f aca="false">P126*(1+Assumptions!$C$74)</f>
        <v>0.179375</v>
      </c>
      <c r="Q127" s="17" t="n">
        <f aca="false">Q126*(1+Assumptions!$C$74)</f>
        <v>0.179375</v>
      </c>
      <c r="R127" s="17" t="n">
        <f aca="false">R126*(1+Assumptions!$C$74)</f>
        <v>0.179375</v>
      </c>
      <c r="S127" s="17" t="n">
        <f aca="false">S126*(1+Assumptions!$C$74)</f>
        <v>0.179375</v>
      </c>
      <c r="T127" s="17" t="n">
        <f aca="false">T126*(1+Assumptions!$C$74)</f>
        <v>0.179375</v>
      </c>
      <c r="U127" s="17" t="n">
        <f aca="false">U126*(1+Assumptions!$C$74)</f>
        <v>0.179375</v>
      </c>
      <c r="V127" s="17" t="n">
        <f aca="false">V126*(1+Assumptions!$C$74)</f>
        <v>0.179375</v>
      </c>
      <c r="W127" s="17" t="n">
        <f aca="false">W126*(1+Assumptions!$C$74)</f>
        <v>0.179375</v>
      </c>
      <c r="X127" s="17" t="n">
        <f aca="false">X126*(1+Assumptions!$C$74)</f>
        <v>0.179375</v>
      </c>
      <c r="Y127" s="17" t="n">
        <f aca="false">Y126*(1+Assumptions!$C$74)</f>
        <v>0.179375</v>
      </c>
    </row>
    <row r="128" customFormat="false" ht="15" hidden="false" customHeight="false" outlineLevel="0" collapsed="false">
      <c r="B128" s="9" t="s">
        <v>243</v>
      </c>
      <c r="J128" s="17" t="n">
        <f aca="false">(J122+Assumptions!$C$75)*Assumptions!$C$74</f>
        <v>0.046875</v>
      </c>
      <c r="K128" s="17" t="n">
        <f aca="false">(K122+Assumptions!$C$75)*Assumptions!$C$74</f>
        <v>0.046875</v>
      </c>
      <c r="L128" s="17" t="n">
        <f aca="false">(L122+Assumptions!$C$75)*Assumptions!$C$74</f>
        <v>0.046875</v>
      </c>
      <c r="M128" s="17" t="n">
        <f aca="false">(M122+Assumptions!$C$75)*Assumptions!$C$74</f>
        <v>0.046875</v>
      </c>
      <c r="N128" s="17" t="n">
        <f aca="false">(N122+Assumptions!$C$75)*Assumptions!$C$74</f>
        <v>0.046875</v>
      </c>
      <c r="O128" s="17" t="n">
        <f aca="false">(O122+Assumptions!$C$75)*Assumptions!$C$74</f>
        <v>0.046875</v>
      </c>
      <c r="P128" s="17" t="n">
        <f aca="false">(P122+Assumptions!$C$75)*Assumptions!$C$74</f>
        <v>0.046875</v>
      </c>
      <c r="Q128" s="17" t="n">
        <f aca="false">(Q122+Assumptions!$C$75)*Assumptions!$C$74</f>
        <v>0.046875</v>
      </c>
      <c r="R128" s="17" t="n">
        <f aca="false">(R122+Assumptions!$C$75)*Assumptions!$C$74</f>
        <v>0.046875</v>
      </c>
      <c r="S128" s="17" t="n">
        <f aca="false">(S122+Assumptions!$C$75)*Assumptions!$C$74</f>
        <v>0.046875</v>
      </c>
      <c r="T128" s="17" t="n">
        <f aca="false">(T122+Assumptions!$C$75)*Assumptions!$C$74</f>
        <v>0.046875</v>
      </c>
      <c r="U128" s="17" t="n">
        <f aca="false">(U122+Assumptions!$C$75)*Assumptions!$C$74</f>
        <v>0.046875</v>
      </c>
      <c r="V128" s="17" t="n">
        <f aca="false">(U122+Assumptions!$C$75)*Assumptions!$C$74</f>
        <v>0.046875</v>
      </c>
      <c r="W128" s="17" t="n">
        <f aca="false">(U122+Assumptions!$C$75)*Assumptions!$C$74</f>
        <v>0.046875</v>
      </c>
      <c r="X128" s="17" t="n">
        <f aca="false">(U122+Assumptions!$C$75)*Assumptions!$C$74</f>
        <v>0.046875</v>
      </c>
      <c r="Y128" s="17" t="n">
        <f aca="false">(U122+Assumptions!$C$75)*Assumptions!$C$74</f>
        <v>0.046875</v>
      </c>
    </row>
    <row r="129" customFormat="false" ht="15" hidden="false" customHeight="false" outlineLevel="0" collapsed="false">
      <c r="B129" s="9" t="s">
        <v>245</v>
      </c>
      <c r="J129" s="17" t="n">
        <f aca="false">Assumptions!$C$76*(1+Assumptions!$C$74)</f>
        <v>0.021875</v>
      </c>
      <c r="K129" s="17" t="n">
        <f aca="false">Assumptions!$C$76*(1+Assumptions!$C$74)</f>
        <v>0.021875</v>
      </c>
      <c r="L129" s="17" t="n">
        <f aca="false">Assumptions!$C$76*(1+Assumptions!$C$74)</f>
        <v>0.021875</v>
      </c>
      <c r="M129" s="17" t="n">
        <f aca="false">Assumptions!$C$76*(1+Assumptions!$C$74)</f>
        <v>0.021875</v>
      </c>
      <c r="N129" s="17" t="n">
        <f aca="false">Assumptions!$C$76*(1+Assumptions!$C$74)</f>
        <v>0.021875</v>
      </c>
      <c r="O129" s="17" t="n">
        <f aca="false">Assumptions!$C$76*(1+Assumptions!$C$74)</f>
        <v>0.021875</v>
      </c>
      <c r="P129" s="17" t="n">
        <f aca="false">Assumptions!$C$76*(1+Assumptions!$C$74)</f>
        <v>0.021875</v>
      </c>
      <c r="Q129" s="17" t="n">
        <f aca="false">Assumptions!$C$76*(1+Assumptions!$C$74)</f>
        <v>0.021875</v>
      </c>
      <c r="R129" s="17" t="n">
        <f aca="false">Assumptions!$C$76*(1+Assumptions!$C$74)</f>
        <v>0.021875</v>
      </c>
      <c r="S129" s="17" t="n">
        <f aca="false">Assumptions!$C$76*(1+Assumptions!$C$74)</f>
        <v>0.021875</v>
      </c>
      <c r="T129" s="17" t="n">
        <f aca="false">Assumptions!$C$76*(1+Assumptions!$C$74)</f>
        <v>0.021875</v>
      </c>
      <c r="U129" s="17" t="n">
        <f aca="false">Assumptions!$C$76*(1+Assumptions!$C$74)</f>
        <v>0.021875</v>
      </c>
      <c r="V129" s="17" t="n">
        <f aca="false">Assumptions!$C$76*(1+Assumptions!$C$74)</f>
        <v>0.021875</v>
      </c>
      <c r="W129" s="17" t="n">
        <f aca="false">Assumptions!$C$76*(1+Assumptions!$C$74)</f>
        <v>0.021875</v>
      </c>
      <c r="X129" s="17" t="n">
        <f aca="false">Assumptions!$C$76*(1+Assumptions!$C$74)</f>
        <v>0.021875</v>
      </c>
      <c r="Y129" s="17" t="n">
        <f aca="false">Assumptions!$C$76*(1+Assumptions!$C$74)</f>
        <v>0.021875</v>
      </c>
    </row>
    <row r="130" customFormat="false" ht="15" hidden="false" customHeight="false" outlineLevel="0" collapsed="false">
      <c r="B130" s="9" t="s">
        <v>247</v>
      </c>
      <c r="J130" s="17" t="n">
        <f aca="false">Assumptions!$C$77+Assumptions!$C$78</f>
        <v>0.0085</v>
      </c>
      <c r="K130" s="17" t="n">
        <f aca="false">Assumptions!$C$77+Assumptions!$C$78</f>
        <v>0.0085</v>
      </c>
      <c r="L130" s="17" t="n">
        <f aca="false">Assumptions!$C$77+Assumptions!$C$78</f>
        <v>0.0085</v>
      </c>
      <c r="M130" s="17" t="n">
        <f aca="false">Assumptions!$C$77+Assumptions!$C$78</f>
        <v>0.0085</v>
      </c>
      <c r="N130" s="17" t="n">
        <f aca="false">Assumptions!$C$77+Assumptions!$C$78</f>
        <v>0.0085</v>
      </c>
      <c r="O130" s="17" t="n">
        <f aca="false">Assumptions!$C$77+Assumptions!$C$78</f>
        <v>0.0085</v>
      </c>
      <c r="P130" s="17" t="n">
        <f aca="false">Assumptions!$C$77+Assumptions!$C$78</f>
        <v>0.0085</v>
      </c>
      <c r="Q130" s="17" t="n">
        <f aca="false">Assumptions!$C$77+Assumptions!$C$78</f>
        <v>0.0085</v>
      </c>
      <c r="R130" s="17" t="n">
        <f aca="false">Assumptions!$C$77+Assumptions!$C$78</f>
        <v>0.0085</v>
      </c>
      <c r="S130" s="17" t="n">
        <f aca="false">Assumptions!$C$77+Assumptions!$C$78</f>
        <v>0.0085</v>
      </c>
      <c r="T130" s="17" t="n">
        <f aca="false">Assumptions!$C$77+Assumptions!$C$78</f>
        <v>0.0085</v>
      </c>
      <c r="U130" s="17" t="n">
        <f aca="false">Assumptions!$C$77+Assumptions!$C$78</f>
        <v>0.0085</v>
      </c>
      <c r="V130" s="17" t="n">
        <f aca="false">Assumptions!$C$77+Assumptions!$C$78</f>
        <v>0.0085</v>
      </c>
      <c r="W130" s="17" t="n">
        <f aca="false">Assumptions!$C$77+Assumptions!$C$78</f>
        <v>0.0085</v>
      </c>
      <c r="X130" s="17" t="n">
        <f aca="false">Assumptions!$C$77+Assumptions!$C$78</f>
        <v>0.0085</v>
      </c>
      <c r="Y130" s="17" t="n">
        <f aca="false">Assumptions!$C$77+Assumptions!$C$78</f>
        <v>0.0085</v>
      </c>
    </row>
    <row r="131" customFormat="false" ht="15" hidden="false" customHeight="false" outlineLevel="0" collapsed="false">
      <c r="B131" s="9" t="s">
        <v>280</v>
      </c>
      <c r="J131" s="17" t="n">
        <f aca="false">J127-J128-J129-J130</f>
        <v>0.102125</v>
      </c>
      <c r="K131" s="17" t="n">
        <f aca="false">K127-K128-K129-K130</f>
        <v>0.102125</v>
      </c>
      <c r="L131" s="17" t="n">
        <f aca="false">L127-L128-L129-L130</f>
        <v>0.102125</v>
      </c>
      <c r="M131" s="17" t="n">
        <f aca="false">M127-M128-M129-M130</f>
        <v>0.102125</v>
      </c>
      <c r="N131" s="17" t="n">
        <f aca="false">N127-N128-N129-N130</f>
        <v>0.102125</v>
      </c>
      <c r="O131" s="17" t="n">
        <f aca="false">O127-O128-O129-O130</f>
        <v>0.102125</v>
      </c>
      <c r="P131" s="17" t="n">
        <f aca="false">P127-P128-P129-P130</f>
        <v>0.102125</v>
      </c>
      <c r="Q131" s="17" t="n">
        <f aca="false">Q127-Q128-Q129-Q130</f>
        <v>0.102125</v>
      </c>
      <c r="R131" s="17" t="n">
        <f aca="false">R127-R128-R129-R130</f>
        <v>0.102125</v>
      </c>
      <c r="S131" s="17" t="n">
        <f aca="false">S127-S128-S129-S130</f>
        <v>0.102125</v>
      </c>
      <c r="T131" s="17" t="n">
        <f aca="false">T127-T128-T129-T130</f>
        <v>0.102125</v>
      </c>
      <c r="U131" s="17" t="n">
        <f aca="false">U127-U128-U129-U130</f>
        <v>0.102125</v>
      </c>
      <c r="V131" s="17" t="n">
        <f aca="false">V127-V128-V129-V130</f>
        <v>0.102125</v>
      </c>
      <c r="W131" s="17" t="n">
        <f aca="false">W127-W128-W129-W130</f>
        <v>0.102125</v>
      </c>
      <c r="X131" s="17" t="n">
        <f aca="false">X127-X128-X129-X130</f>
        <v>0.102125</v>
      </c>
      <c r="Y131" s="17" t="n">
        <f aca="false">Y127-Y128-Y129-Y130</f>
        <v>0.102125</v>
      </c>
    </row>
    <row r="132" customFormat="false" ht="15" hidden="false" customHeight="false" outlineLevel="0" collapsed="false">
      <c r="B132" s="9" t="s">
        <v>281</v>
      </c>
      <c r="J132" s="17" t="n">
        <f aca="false">IF(J131&gt;Assumptions!$C$80,Assumptions!$C$79*J131,0)</f>
        <v>0.012765625</v>
      </c>
      <c r="K132" s="17" t="n">
        <f aca="false">IF(K131&gt;Assumptions!$C$80,Assumptions!$C$79*K131,0)</f>
        <v>0.012765625</v>
      </c>
      <c r="L132" s="17" t="n">
        <f aca="false">IF(L131&gt;Assumptions!$C$80,Assumptions!$C$79*L131,0)</f>
        <v>0.012765625</v>
      </c>
      <c r="M132" s="17" t="n">
        <f aca="false">IF(M131&gt;Assumptions!$C$80,Assumptions!$C$79*M131,0)</f>
        <v>0.012765625</v>
      </c>
      <c r="N132" s="17" t="n">
        <f aca="false">IF(N131&gt;Assumptions!$C$80,Assumptions!$C$79*N131,0)</f>
        <v>0.012765625</v>
      </c>
      <c r="O132" s="17" t="n">
        <f aca="false">IF(O131&gt;Assumptions!$C$80,Assumptions!$C$79*O131,0)</f>
        <v>0.012765625</v>
      </c>
      <c r="P132" s="17" t="n">
        <f aca="false">IF(P131&gt;Assumptions!$C$80,Assumptions!$C$79*P131,0)</f>
        <v>0.012765625</v>
      </c>
      <c r="Q132" s="17" t="n">
        <f aca="false">IF(Q131&gt;Assumptions!$C$80,Assumptions!$C$79*Q131,0)</f>
        <v>0.012765625</v>
      </c>
      <c r="R132" s="17" t="n">
        <f aca="false">IF(R131&gt;Assumptions!$C$80,Assumptions!$C$79*R131,0)</f>
        <v>0.012765625</v>
      </c>
      <c r="S132" s="17" t="n">
        <f aca="false">IF(S131&gt;Assumptions!$C$80,Assumptions!$C$79*S131,0)</f>
        <v>0.012765625</v>
      </c>
      <c r="T132" s="17" t="n">
        <f aca="false">IF(T131&gt;Assumptions!$C$80,Assumptions!$C$79*T131,0)</f>
        <v>0.012765625</v>
      </c>
      <c r="U132" s="17" t="n">
        <f aca="false">IF(U131&gt;Assumptions!$C$80,Assumptions!$C$79*U131,0)</f>
        <v>0.012765625</v>
      </c>
      <c r="V132" s="17" t="n">
        <f aca="false">IF(V131&gt;Assumptions!$C$80,Assumptions!$C$79*V131,0)</f>
        <v>0.012765625</v>
      </c>
      <c r="W132" s="17" t="n">
        <f aca="false">IF(W131&gt;Assumptions!$C$80,Assumptions!$C$79*W131,0)</f>
        <v>0.012765625</v>
      </c>
      <c r="X132" s="17" t="n">
        <f aca="false">IF(X131&gt;Assumptions!$C$80,Assumptions!$C$79*X131,0)</f>
        <v>0.012765625</v>
      </c>
      <c r="Y132" s="17" t="n">
        <f aca="false">IF(Y131&gt;Assumptions!$C$80,Assumptions!$C$79*Y131,0)</f>
        <v>0.012765625</v>
      </c>
    </row>
    <row r="133" customFormat="false" ht="15" hidden="false" customHeight="false" outlineLevel="0" collapsed="false">
      <c r="B133" s="9" t="s">
        <v>251</v>
      </c>
      <c r="J133" s="17" t="n">
        <f aca="false">J131-J132</f>
        <v>0.089359375</v>
      </c>
      <c r="K133" s="17" t="n">
        <f aca="false">K131-K132</f>
        <v>0.089359375</v>
      </c>
      <c r="L133" s="17" t="n">
        <f aca="false">L131-L132</f>
        <v>0.089359375</v>
      </c>
      <c r="M133" s="17" t="n">
        <f aca="false">M131-M132</f>
        <v>0.089359375</v>
      </c>
      <c r="N133" s="17" t="n">
        <f aca="false">N131-N132</f>
        <v>0.089359375</v>
      </c>
      <c r="O133" s="17" t="n">
        <f aca="false">O131-O132</f>
        <v>0.089359375</v>
      </c>
      <c r="P133" s="17" t="n">
        <f aca="false">P131-P132</f>
        <v>0.089359375</v>
      </c>
      <c r="Q133" s="17" t="n">
        <f aca="false">Q131-Q132</f>
        <v>0.089359375</v>
      </c>
      <c r="R133" s="17" t="n">
        <f aca="false">R131-R132</f>
        <v>0.089359375</v>
      </c>
      <c r="S133" s="17" t="n">
        <f aca="false">S131-S132</f>
        <v>0.089359375</v>
      </c>
      <c r="T133" s="17" t="n">
        <f aca="false">T131-T132</f>
        <v>0.089359375</v>
      </c>
      <c r="U133" s="17" t="n">
        <f aca="false">U131-U132</f>
        <v>0.089359375</v>
      </c>
      <c r="V133" s="17" t="n">
        <f aca="false">V131-V132</f>
        <v>0.089359375</v>
      </c>
      <c r="W133" s="17" t="n">
        <f aca="false">W131-W132</f>
        <v>0.089359375</v>
      </c>
      <c r="X133" s="17" t="n">
        <f aca="false">X131-X132</f>
        <v>0.089359375</v>
      </c>
      <c r="Y133" s="17" t="n">
        <f aca="false">Y131-Y132</f>
        <v>0.089359375</v>
      </c>
    </row>
    <row r="134" customFormat="false" ht="15" hidden="false" customHeight="false" outlineLevel="0" collapsed="false">
      <c r="B134" s="9" t="s">
        <v>282</v>
      </c>
      <c r="J134" s="17" t="n">
        <f aca="false">$C$117*Assumptions!$C$82*(1+Assumptions!$C$74)*IF(AND(J$121&gt;=5,J$121&lt;=8),$C$116,1)</f>
        <v>0.0175</v>
      </c>
      <c r="K134" s="17" t="n">
        <f aca="false">$C$117*Assumptions!$C$82*(1+Assumptions!$C$74)*IF(AND(K$121&gt;=5,K$121&lt;=8),$C$116,1)</f>
        <v>0.0175</v>
      </c>
      <c r="L134" s="17" t="n">
        <f aca="false">$C$117*Assumptions!$C$82*(1+Assumptions!$C$74)*IF(AND(L$121&gt;=5,L$121&lt;=8),$C$116,1)</f>
        <v>0.0175</v>
      </c>
      <c r="M134" s="17" t="n">
        <f aca="false">$C$117*Assumptions!$C$82*(1+Assumptions!$C$74)*IF(AND(M$121&gt;=5,M$121&lt;=8),$C$116,1)</f>
        <v>0.0175</v>
      </c>
      <c r="N134" s="17" t="n">
        <f aca="false">$C$117*Assumptions!$C$82*(1+Assumptions!$C$74)*IF(AND(N$121&gt;=5,N$121&lt;=8),$C$116,1)</f>
        <v>0.0175</v>
      </c>
      <c r="O134" s="17" t="n">
        <f aca="false">$C$117*Assumptions!$C$82*(1+Assumptions!$C$74)*IF(AND(O$121&gt;=5,O$121&lt;=8),$C$116,1)</f>
        <v>0.0175</v>
      </c>
      <c r="P134" s="17" t="n">
        <f aca="false">$C$117*Assumptions!$C$82*(1+Assumptions!$C$74)*IF(AND(P$121&gt;=5,P$121&lt;=8),$C$116,1)</f>
        <v>0.0175</v>
      </c>
      <c r="Q134" s="17" t="n">
        <f aca="false">$C$117*Assumptions!$C$82*(1+Assumptions!$C$74)*IF(AND(Q$121&gt;=5,Q$121&lt;=8),$C$116,1)</f>
        <v>0.0175</v>
      </c>
      <c r="R134" s="17" t="n">
        <f aca="false">$C$117*Assumptions!$C$82*(1+Assumptions!$C$74)*IF(AND(R$121&gt;=5,R$121&lt;=8),$C$116,1)</f>
        <v>0.0175</v>
      </c>
      <c r="S134" s="17" t="n">
        <f aca="false">$C$117*Assumptions!$C$82*(1+Assumptions!$C$74)*IF(AND(S$121&gt;=5,S$121&lt;=8),$C$116,1)</f>
        <v>0.0175</v>
      </c>
      <c r="T134" s="17" t="n">
        <f aca="false">$C$117*Assumptions!$C$82*(1+Assumptions!$C$74)*IF(AND(T$121&gt;=5,T$121&lt;=8),$C$116,1)</f>
        <v>0.0175</v>
      </c>
      <c r="U134" s="17" t="n">
        <f aca="false">$C$117*Assumptions!$C$82*(1+Assumptions!$C$74)*IF(AND(U$121&gt;=5,U$121&lt;=8),$C$116,1)</f>
        <v>0.0175</v>
      </c>
      <c r="V134" s="17" t="n">
        <f aca="false">$C$117*Assumptions!$C$82*(1+Assumptions!$C$74)*IF(AND(V$121&gt;=5,V$121&lt;=8),$C$116,1)</f>
        <v>0.0175</v>
      </c>
      <c r="W134" s="17" t="n">
        <f aca="false">$C$117*Assumptions!$C$82*(1+Assumptions!$C$74)*IF(AND(W$121&gt;=5,W$121&lt;=8),$C$116,1)</f>
        <v>0.0175</v>
      </c>
      <c r="X134" s="17" t="n">
        <f aca="false">$C$117*Assumptions!$C$82*(1+Assumptions!$C$74)*IF(AND(X$121&gt;=5,X$121&lt;=8),$C$116,1)</f>
        <v>0.0175</v>
      </c>
      <c r="Y134" s="17" t="n">
        <f aca="false">$C$117*Assumptions!$C$82*(1+Assumptions!$C$74)*IF(AND(Y$121&gt;=5,Y$121&lt;=8),$C$116,1)</f>
        <v>0.0175</v>
      </c>
    </row>
    <row r="135" customFormat="false" ht="15" hidden="false" customHeight="false" outlineLevel="0" collapsed="false">
      <c r="B135" s="9" t="s">
        <v>226</v>
      </c>
      <c r="J135" s="39" t="n">
        <f aca="false">I136*J133/4</f>
        <v>0.55849609375</v>
      </c>
      <c r="K135" s="39" t="n">
        <f aca="false">J136*K133/4</f>
        <v>0.555963226699829</v>
      </c>
      <c r="L135" s="39" t="n">
        <f aca="false">K136*L133/4</f>
        <v>0.553384857088862</v>
      </c>
      <c r="M135" s="39" t="n">
        <f aca="false">L136*M133/4</f>
        <v>0.550760167470705</v>
      </c>
      <c r="N135" s="39" t="n">
        <f aca="false">M136*N133/4</f>
        <v>0.548088325713665</v>
      </c>
      <c r="O135" s="39" t="n">
        <f aca="false">N136*O133/4</f>
        <v>0.545368484736935</v>
      </c>
      <c r="P135" s="39" t="n">
        <f aca="false">O136*P133/4</f>
        <v>0.542599782242033</v>
      </c>
      <c r="Q135" s="39" t="n">
        <f aca="false">P136*Q133/4</f>
        <v>0.539781340439421</v>
      </c>
      <c r="R135" s="39" t="n">
        <f aca="false">Q136*R133/4</f>
        <v>0.536912265770205</v>
      </c>
      <c r="S135" s="39" t="n">
        <f aca="false">R136*S133/4</f>
        <v>0.533991648622851</v>
      </c>
      <c r="T135" s="39" t="n">
        <f aca="false">S136*T133/4</f>
        <v>0.53101856304479</v>
      </c>
      <c r="U135" s="39" t="n">
        <f aca="false">T136*U133/4</f>
        <v>0.527992066448864</v>
      </c>
      <c r="V135" s="39" t="n">
        <f aca="false">U136*V133/4</f>
        <v>0.524911199314483</v>
      </c>
      <c r="W135" s="39" t="n">
        <f aca="false">V136*W133/4</f>
        <v>0.521774984883417</v>
      </c>
      <c r="X135" s="39" t="n">
        <f aca="false">W136*X133/4</f>
        <v>0.518582428850132</v>
      </c>
      <c r="Y135" s="39" t="n">
        <f aca="false">X136*Y133/4</f>
        <v>0.515332519046545</v>
      </c>
    </row>
    <row r="136" customFormat="false" ht="15" hidden="false" customHeight="false" outlineLevel="0" collapsed="false">
      <c r="B136" s="9" t="s">
        <v>229</v>
      </c>
      <c r="I136" s="37" t="n">
        <f aca="false">Assumptions!$C$70</f>
        <v>25</v>
      </c>
      <c r="J136" s="37" t="n">
        <f aca="false">I136+J135-Assumptions!$C$71-I136*J134/4</f>
        <v>24.88662109375</v>
      </c>
      <c r="K136" s="37" t="n">
        <f aca="false">J136+K135-Assumptions!$C$71-J136*K134/4</f>
        <v>24.7712053531647</v>
      </c>
      <c r="L136" s="37" t="n">
        <f aca="false">K136+L135-Assumptions!$C$71-K136*L134/4</f>
        <v>24.6537161868334</v>
      </c>
      <c r="M136" s="37" t="n">
        <f aca="false">L136+M135-Assumptions!$C$71-L136*M134/4</f>
        <v>24.5341163459868</v>
      </c>
      <c r="N136" s="37" t="n">
        <f aca="false">M136+N135-Assumptions!$C$71-M136*N134/4</f>
        <v>24.4123679126867</v>
      </c>
      <c r="O136" s="37" t="n">
        <f aca="false">N136+O135-Assumptions!$C$71-N136*O134/4</f>
        <v>24.2884322878057</v>
      </c>
      <c r="P136" s="37" t="n">
        <f aca="false">O136+P135-Assumptions!$C$71-O136*P134/4</f>
        <v>24.1622701787885</v>
      </c>
      <c r="Q136" s="37" t="n">
        <f aca="false">P136+Q135-Assumptions!$C$71-P136*Q134/4</f>
        <v>24.0338415871958</v>
      </c>
      <c r="R136" s="37" t="n">
        <f aca="false">Q136+R135-Assumptions!$C$71-Q136*R134/4</f>
        <v>23.903105796022</v>
      </c>
      <c r="S136" s="37" t="n">
        <f aca="false">R136+S135-Assumptions!$C$71-R136*S134/4</f>
        <v>23.7700213567872</v>
      </c>
      <c r="T136" s="37" t="n">
        <f aca="false">S136+T135-Assumptions!$C$71-S136*T134/4</f>
        <v>23.6345460763961</v>
      </c>
      <c r="U136" s="37" t="n">
        <f aca="false">T136+U135-Assumptions!$C$71-T136*U134/4</f>
        <v>23.4966370037607</v>
      </c>
      <c r="V136" s="37" t="n">
        <f aca="false">U136+V135-Assumptions!$C$71-U136*V134/4</f>
        <v>23.3562504161838</v>
      </c>
      <c r="W136" s="37" t="n">
        <f aca="false">V136+W135-Assumptions!$C$71-V136*W134/4</f>
        <v>23.2133418054964</v>
      </c>
      <c r="X136" s="37" t="n">
        <f aca="false">W136+X135-Assumptions!$C$71-W136*X134/4</f>
        <v>23.0678658639475</v>
      </c>
      <c r="Y136" s="37" t="n">
        <f aca="false">X136+Y135-Assumptions!$C$71-X136*Y134/4</f>
        <v>22.9197764698392</v>
      </c>
    </row>
    <row r="137" customFormat="false" ht="15" hidden="false" customHeight="false" outlineLevel="0" collapsed="false">
      <c r="B137" s="9" t="s">
        <v>283</v>
      </c>
      <c r="J137" s="38" t="n">
        <f aca="false">J135/Assumptions!$C$71</f>
        <v>0.992881944444444</v>
      </c>
      <c r="K137" s="38" t="n">
        <f aca="false">K135/Assumptions!$C$71</f>
        <v>0.988379069688585</v>
      </c>
      <c r="L137" s="38" t="n">
        <f aca="false">L135/Assumptions!$C$71</f>
        <v>0.983795301491311</v>
      </c>
      <c r="M137" s="38" t="n">
        <f aca="false">M135/Assumptions!$C$71</f>
        <v>0.979129186614587</v>
      </c>
      <c r="N137" s="38" t="n">
        <f aca="false">N135/Assumptions!$C$71</f>
        <v>0.974379245713182</v>
      </c>
      <c r="O137" s="38" t="n">
        <f aca="false">O135/Assumptions!$C$71</f>
        <v>0.969543972865662</v>
      </c>
      <c r="P137" s="38" t="n">
        <f aca="false">P135/Assumptions!$C$71</f>
        <v>0.964621835096948</v>
      </c>
      <c r="Q137" s="38" t="n">
        <f aca="false">Q135/Assumptions!$C$71</f>
        <v>0.959611271892303</v>
      </c>
      <c r="R137" s="38" t="n">
        <f aca="false">R135/Assumptions!$C$71</f>
        <v>0.954510694702587</v>
      </c>
      <c r="S137" s="38" t="n">
        <f aca="false">S135/Assumptions!$C$71</f>
        <v>0.949318486440623</v>
      </c>
      <c r="T137" s="38" t="n">
        <f aca="false">T135/Assumptions!$C$71</f>
        <v>0.944033000968516</v>
      </c>
      <c r="U137" s="38" t="n">
        <f aca="false">U135/Assumptions!$C$71</f>
        <v>0.938652562575759</v>
      </c>
      <c r="V137" s="38" t="n">
        <f aca="false">V135/Assumptions!$C$71</f>
        <v>0.933175465447969</v>
      </c>
      <c r="W137" s="38" t="n">
        <f aca="false">W135/Assumptions!$C$71</f>
        <v>0.927599973126075</v>
      </c>
      <c r="X137" s="38" t="n">
        <f aca="false">X135/Assumptions!$C$71</f>
        <v>0.92192431795579</v>
      </c>
      <c r="Y137" s="38" t="n">
        <f aca="false">Y135/Assumptions!$C$71</f>
        <v>0.916146700527191</v>
      </c>
    </row>
    <row r="138" customFormat="false" ht="15" hidden="false" customHeight="false" outlineLevel="0" collapsed="false">
      <c r="B138" s="9" t="s">
        <v>284</v>
      </c>
      <c r="I138" s="31" t="n">
        <f aca="false">0</f>
        <v>0</v>
      </c>
      <c r="J138" s="31" t="n">
        <f aca="false">IF(J$121&gt;=12,IF(J$121&gt;=12+$C$119,I139,I139*$C$118),0)</f>
        <v>0</v>
      </c>
      <c r="K138" s="31" t="n">
        <f aca="false">IF(K$121&gt;=12,IF(K$121&gt;=12+$C$119,J139,J139*$C$118),0)</f>
        <v>0</v>
      </c>
      <c r="L138" s="31" t="n">
        <f aca="false">IF(L$121&gt;=12,IF(L$121&gt;=12+$C$119,K139,K139*$C$118),0)</f>
        <v>0</v>
      </c>
      <c r="M138" s="31" t="n">
        <f aca="false">IF(M$121&gt;=12,IF(M$121&gt;=12+$C$119,L139,L139*$C$118),0)</f>
        <v>0</v>
      </c>
      <c r="N138" s="31" t="n">
        <f aca="false">IF(N$121&gt;=12,IF(N$121&gt;=12+$C$119,M139,M139*$C$118),0)</f>
        <v>0</v>
      </c>
      <c r="O138" s="31" t="n">
        <f aca="false">IF(O$121&gt;=12,IF(O$121&gt;=12+$C$119,N139,N139*$C$118),0)</f>
        <v>0</v>
      </c>
      <c r="P138" s="31" t="n">
        <f aca="false">IF(P$121&gt;=12,IF(P$121&gt;=12+$C$119,O139,O139*$C$118),0)</f>
        <v>0</v>
      </c>
      <c r="Q138" s="31" t="n">
        <f aca="false">IF(Q$121&gt;=12,IF(Q$121&gt;=12+$C$119,P139,P139*$C$118),0)</f>
        <v>0</v>
      </c>
      <c r="R138" s="31" t="n">
        <f aca="false">IF(R$121&gt;=12,IF(R$121&gt;=12+$C$119,Q139,Q139*$C$118),0)</f>
        <v>0</v>
      </c>
      <c r="S138" s="31" t="n">
        <f aca="false">IF(S$121&gt;=12,IF(S$121&gt;=12+$C$119,R139,R139*$C$118),0)</f>
        <v>0</v>
      </c>
      <c r="T138" s="31" t="n">
        <f aca="false">IF(T$121&gt;=12,IF(T$121&gt;=12+$C$119,S139,S139*$C$118),0)</f>
        <v>0</v>
      </c>
      <c r="U138" s="31" t="n">
        <f aca="false">IF(U$121&gt;=12,IF(U$121&gt;=12+$C$119,T139,T139*$C$118),0)</f>
        <v>1000</v>
      </c>
      <c r="V138" s="31" t="n">
        <f aca="false">IF(V$121&gt;=12,IF(V$121&gt;=12+$C$119,U139,U139*$C$118),0)</f>
        <v>750</v>
      </c>
      <c r="W138" s="31" t="n">
        <f aca="false">IF(W$121&gt;=12,IF(W$121&gt;=12+$C$119,V139,V139*$C$118),0)</f>
        <v>562.5</v>
      </c>
      <c r="X138" s="31" t="n">
        <f aca="false">IF(X$121&gt;=12,IF(X$121&gt;=12+$C$119,W139,W139*$C$118),0)</f>
        <v>421.875</v>
      </c>
      <c r="Y138" s="31" t="n">
        <f aca="false">IF(Y$121&gt;=12,IF(Y$121&gt;=12+$C$119,X139,X139*$C$118),0)</f>
        <v>1265.625</v>
      </c>
    </row>
    <row r="139" customFormat="false" ht="15" hidden="false" customHeight="false" outlineLevel="0" collapsed="false">
      <c r="B139" s="9" t="s">
        <v>285</v>
      </c>
      <c r="I139" s="31" t="n">
        <f aca="false">$C$125</f>
        <v>4000</v>
      </c>
      <c r="J139" s="31" t="n">
        <f aca="false">I139-J138</f>
        <v>4000</v>
      </c>
      <c r="K139" s="31" t="n">
        <f aca="false">J139-K138</f>
        <v>4000</v>
      </c>
      <c r="L139" s="31" t="n">
        <f aca="false">K139-L138</f>
        <v>4000</v>
      </c>
      <c r="M139" s="31" t="n">
        <f aca="false">L139-M138</f>
        <v>4000</v>
      </c>
      <c r="N139" s="31" t="n">
        <f aca="false">M139-N138</f>
        <v>4000</v>
      </c>
      <c r="O139" s="31" t="n">
        <f aca="false">N139-O138</f>
        <v>4000</v>
      </c>
      <c r="P139" s="31" t="n">
        <f aca="false">O139-P138</f>
        <v>4000</v>
      </c>
      <c r="Q139" s="31" t="n">
        <f aca="false">P139-Q138</f>
        <v>4000</v>
      </c>
      <c r="R139" s="31" t="n">
        <f aca="false">Q139-R138</f>
        <v>4000</v>
      </c>
      <c r="S139" s="31" t="n">
        <f aca="false">R139-S138</f>
        <v>4000</v>
      </c>
      <c r="T139" s="31" t="n">
        <f aca="false">S139-T138</f>
        <v>4000</v>
      </c>
      <c r="U139" s="31" t="n">
        <f aca="false">T139-U138</f>
        <v>3000</v>
      </c>
      <c r="V139" s="31" t="n">
        <f aca="false">U139-V138</f>
        <v>2250</v>
      </c>
      <c r="W139" s="31" t="n">
        <f aca="false">V139-W138</f>
        <v>1687.5</v>
      </c>
      <c r="X139" s="31" t="n">
        <f aca="false">W139-X138</f>
        <v>1265.625</v>
      </c>
      <c r="Y139" s="31" t="n">
        <f aca="false">X139-Y138</f>
        <v>0</v>
      </c>
    </row>
    <row r="140" customFormat="false" ht="15" hidden="false" customHeight="false" outlineLevel="0" collapsed="false">
      <c r="B140" s="9" t="s">
        <v>286</v>
      </c>
      <c r="I140" s="26" t="n">
        <f aca="false">0</f>
        <v>0</v>
      </c>
      <c r="J140" s="26" t="n">
        <f aca="false">I139*Assumptions!$C$71</f>
        <v>2250</v>
      </c>
      <c r="K140" s="26" t="n">
        <f aca="false">J139*Assumptions!$C$71</f>
        <v>2250</v>
      </c>
      <c r="L140" s="26" t="n">
        <f aca="false">K139*Assumptions!$C$71</f>
        <v>2250</v>
      </c>
      <c r="M140" s="26" t="n">
        <f aca="false">L139*Assumptions!$C$71</f>
        <v>2250</v>
      </c>
      <c r="N140" s="26" t="n">
        <f aca="false">M139*Assumptions!$C$71</f>
        <v>2250</v>
      </c>
      <c r="O140" s="26" t="n">
        <f aca="false">N139*Assumptions!$C$71</f>
        <v>2250</v>
      </c>
      <c r="P140" s="26" t="n">
        <f aca="false">O139*Assumptions!$C$71</f>
        <v>2250</v>
      </c>
      <c r="Q140" s="26" t="n">
        <f aca="false">P139*Assumptions!$C$71</f>
        <v>2250</v>
      </c>
      <c r="R140" s="26" t="n">
        <f aca="false">Q139*Assumptions!$C$71</f>
        <v>2250</v>
      </c>
      <c r="S140" s="26" t="n">
        <f aca="false">R139*Assumptions!$C$71</f>
        <v>2250</v>
      </c>
      <c r="T140" s="26" t="n">
        <f aca="false">S139*Assumptions!$C$71</f>
        <v>2250</v>
      </c>
      <c r="U140" s="26" t="n">
        <f aca="false">T139*Assumptions!$C$71</f>
        <v>2250</v>
      </c>
      <c r="V140" s="26" t="n">
        <f aca="false">U139*Assumptions!$C$71</f>
        <v>1687.5</v>
      </c>
      <c r="W140" s="26" t="n">
        <f aca="false">V139*Assumptions!$C$71</f>
        <v>1265.625</v>
      </c>
      <c r="X140" s="26" t="n">
        <f aca="false">W139*Assumptions!$C$71</f>
        <v>949.21875</v>
      </c>
      <c r="Y140" s="26" t="n">
        <f aca="false">X139*Assumptions!$C$71</f>
        <v>711.9140625</v>
      </c>
    </row>
    <row r="142" customFormat="false" ht="15" hidden="false" customHeight="false" outlineLevel="0" collapsed="false">
      <c r="B142" s="7" t="s">
        <v>128</v>
      </c>
      <c r="C142" s="8"/>
      <c r="D142" s="8"/>
      <c r="E142" s="8"/>
      <c r="F142" s="8"/>
      <c r="G142" s="8"/>
      <c r="H142" s="8"/>
      <c r="I142" s="8"/>
      <c r="J142" s="8"/>
      <c r="K142" s="8"/>
      <c r="L142" s="8"/>
      <c r="M142" s="8"/>
      <c r="N142" s="8"/>
      <c r="O142" s="8"/>
      <c r="P142" s="8"/>
      <c r="Q142" s="8"/>
      <c r="R142" s="8"/>
      <c r="S142" s="8"/>
      <c r="T142" s="8"/>
      <c r="U142" s="8"/>
      <c r="V142" s="8"/>
      <c r="W142" s="8"/>
      <c r="X142" s="8"/>
      <c r="Y142" s="8"/>
    </row>
    <row r="143" customFormat="false" ht="43.5" hidden="false" customHeight="true" outlineLevel="0" collapsed="false">
      <c r="B143" s="13" t="s">
        <v>129</v>
      </c>
      <c r="C143" s="14" t="s">
        <v>130</v>
      </c>
      <c r="D143" s="14" t="s">
        <v>46</v>
      </c>
      <c r="E143" s="14" t="s">
        <v>131</v>
      </c>
      <c r="F143" s="14" t="s">
        <v>132</v>
      </c>
      <c r="G143" s="14" t="s">
        <v>133</v>
      </c>
      <c r="H143" s="14" t="s">
        <v>134</v>
      </c>
      <c r="I143" s="33" t="n">
        <v>0</v>
      </c>
      <c r="J143" s="33" t="n">
        <v>1</v>
      </c>
      <c r="K143" s="33" t="n">
        <v>2</v>
      </c>
      <c r="L143" s="33" t="n">
        <v>3</v>
      </c>
      <c r="M143" s="33" t="n">
        <v>4</v>
      </c>
      <c r="N143" s="33" t="n">
        <v>5</v>
      </c>
      <c r="O143" s="33" t="n">
        <v>6</v>
      </c>
      <c r="P143" s="33" t="n">
        <v>7</v>
      </c>
      <c r="Q143" s="33" t="n">
        <v>8</v>
      </c>
      <c r="R143" s="33" t="n">
        <v>9</v>
      </c>
      <c r="S143" s="33" t="n">
        <v>10</v>
      </c>
      <c r="T143" s="33" t="n">
        <v>11</v>
      </c>
      <c r="U143" s="33" t="n">
        <v>12</v>
      </c>
      <c r="V143" s="33" t="n">
        <v>13</v>
      </c>
      <c r="W143" s="33" t="n">
        <v>14</v>
      </c>
      <c r="X143" s="33" t="n">
        <v>15</v>
      </c>
      <c r="Y143" s="33" t="n">
        <v>16</v>
      </c>
    </row>
    <row r="144" customFormat="false" ht="15" hidden="false" customHeight="false" outlineLevel="0" collapsed="false">
      <c r="B144" s="9" t="s">
        <v>287</v>
      </c>
      <c r="C144" s="9" t="s">
        <v>288</v>
      </c>
      <c r="D144" s="26" t="n">
        <f aca="false">Assumptions!$C$69</f>
        <v>100000</v>
      </c>
      <c r="F144" s="17" t="n">
        <f aca="false">Assumptions!$C$71*4/Assumptions!$C$70</f>
        <v>0.09</v>
      </c>
      <c r="G144" s="26" t="n">
        <f aca="false">SUM(I144:Y144)</f>
        <v>24425.1853999833</v>
      </c>
      <c r="H144" s="29" t="n">
        <f aca="false">(1+IRR(I144:Y144,IF(SUM(I144:Y144)&lt;0,-0.05,0.01)))^4-1</f>
        <v>0.07381908440334</v>
      </c>
      <c r="I144" s="35" t="n">
        <f aca="false">-$D144</f>
        <v>-100000</v>
      </c>
      <c r="J144" s="35" t="n">
        <f aca="false">$J$140+$J$138*$J$136</f>
        <v>2250</v>
      </c>
      <c r="K144" s="35" t="n">
        <f aca="false">$K$140+$K$138*$K$136</f>
        <v>2250</v>
      </c>
      <c r="L144" s="35" t="n">
        <f aca="false">$L$140+$L$138*$L$136</f>
        <v>2250</v>
      </c>
      <c r="M144" s="35" t="n">
        <f aca="false">$M$140+$M$138*$M$136</f>
        <v>2250</v>
      </c>
      <c r="N144" s="35" t="n">
        <f aca="false">$N$140+$N$138*$N$136</f>
        <v>2250</v>
      </c>
      <c r="O144" s="35" t="n">
        <f aca="false">$O$140+$O$138*$O$136</f>
        <v>2250</v>
      </c>
      <c r="P144" s="35" t="n">
        <f aca="false">$P$140+$P$138*$P$136</f>
        <v>2250</v>
      </c>
      <c r="Q144" s="35" t="n">
        <f aca="false">$Q$140+$Q$138*$Q$136</f>
        <v>2250</v>
      </c>
      <c r="R144" s="35" t="n">
        <f aca="false">$R$140+$R$138*$R$136</f>
        <v>2250</v>
      </c>
      <c r="S144" s="35" t="n">
        <f aca="false">$S$140+$S$138*$S$136</f>
        <v>2250</v>
      </c>
      <c r="T144" s="35" t="n">
        <f aca="false">$T$140+$T$138*$T$136</f>
        <v>2250</v>
      </c>
      <c r="U144" s="35" t="n">
        <f aca="false">$U$140+$U$138*$U$136</f>
        <v>25746.6370037607</v>
      </c>
      <c r="V144" s="35" t="n">
        <f aca="false">$V$140+$V$138*$V$136</f>
        <v>19204.6878121378</v>
      </c>
      <c r="W144" s="35" t="n">
        <f aca="false">$W$140+$W$138*$W$136</f>
        <v>14323.1297655917</v>
      </c>
      <c r="X144" s="35" t="n">
        <f aca="false">$X$140+$X$138*$X$136</f>
        <v>10680.9746613528</v>
      </c>
      <c r="Y144" s="35" t="n">
        <f aca="false">$Y$140+$Y$138*$Y$136</f>
        <v>29719.7561571403</v>
      </c>
    </row>
    <row r="146" customFormat="false" ht="15" hidden="false" customHeight="false" outlineLevel="0" collapsed="false">
      <c r="B146" s="30" t="s">
        <v>289</v>
      </c>
      <c r="C146" s="9" t="s">
        <v>288</v>
      </c>
      <c r="D146" s="26" t="n">
        <f aca="false">SUMIF($C$144:$C$144,"Interval fund",D$144:D$144)</f>
        <v>100000</v>
      </c>
      <c r="G146" s="36" t="n">
        <f aca="false">SUM(I146:Y146)</f>
        <v>24425.1853999833</v>
      </c>
      <c r="H146" s="29" t="n">
        <f aca="false">(1+IRR(I146:Y146,IF(SUM(I146:Y146)&lt;0,-0.05,0.01)))^4-1</f>
        <v>0.07381908440334</v>
      </c>
      <c r="I146" s="35" t="n">
        <f aca="false">SUMIF($C$144:$C$144,"Interval fund",I$144:I$144)</f>
        <v>-100000</v>
      </c>
      <c r="J146" s="35" t="n">
        <f aca="false">SUMIF($C$144:$C$144,"Interval fund",J$144:J$144)</f>
        <v>2250</v>
      </c>
      <c r="K146" s="35" t="n">
        <f aca="false">SUMIF($C$144:$C$144,"Interval fund",K$144:K$144)</f>
        <v>2250</v>
      </c>
      <c r="L146" s="35" t="n">
        <f aca="false">SUMIF($C$144:$C$144,"Interval fund",L$144:L$144)</f>
        <v>2250</v>
      </c>
      <c r="M146" s="35" t="n">
        <f aca="false">SUMIF($C$144:$C$144,"Interval fund",M$144:M$144)</f>
        <v>2250</v>
      </c>
      <c r="N146" s="35" t="n">
        <f aca="false">SUMIF($C$144:$C$144,"Interval fund",N$144:N$144)</f>
        <v>2250</v>
      </c>
      <c r="O146" s="35" t="n">
        <f aca="false">SUMIF($C$144:$C$144,"Interval fund",O$144:O$144)</f>
        <v>2250</v>
      </c>
      <c r="P146" s="35" t="n">
        <f aca="false">SUMIF($C$144:$C$144,"Interval fund",P$144:P$144)</f>
        <v>2250</v>
      </c>
      <c r="Q146" s="35" t="n">
        <f aca="false">SUMIF($C$144:$C$144,"Interval fund",Q$144:Q$144)</f>
        <v>2250</v>
      </c>
      <c r="R146" s="35" t="n">
        <f aca="false">SUMIF($C$144:$C$144,"Interval fund",R$144:R$144)</f>
        <v>2250</v>
      </c>
      <c r="S146" s="35" t="n">
        <f aca="false">SUMIF($C$144:$C$144,"Interval fund",S$144:S$144)</f>
        <v>2250</v>
      </c>
      <c r="T146" s="35" t="n">
        <f aca="false">SUMIF($C$144:$C$144,"Interval fund",T$144:T$144)</f>
        <v>2250</v>
      </c>
      <c r="U146" s="35" t="n">
        <f aca="false">SUMIF($C$144:$C$144,"Interval fund",U$144:U$144)</f>
        <v>25746.6370037607</v>
      </c>
      <c r="V146" s="35" t="n">
        <f aca="false">SUMIF($C$144:$C$144,"Interval fund",V$144:V$144)</f>
        <v>19204.6878121378</v>
      </c>
      <c r="W146" s="35" t="n">
        <f aca="false">SUMIF($C$144:$C$144,"Interval fund",W$144:W$144)</f>
        <v>14323.1297655917</v>
      </c>
      <c r="X146" s="35" t="n">
        <f aca="false">SUMIF($C$144:$C$144,"Interval fund",X$144:X$144)</f>
        <v>10680.9746613528</v>
      </c>
      <c r="Y146" s="35" t="n">
        <f aca="false">SUMIF($C$144:$C$144,"Interval fund",Y$144:Y$144)</f>
        <v>29719.7561571403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4" min="3" style="0" width="14"/>
    <col collapsed="false" customWidth="true" hidden="false" outlineLevel="0" max="6" min="5" style="0" width="18"/>
  </cols>
  <sheetData>
    <row r="1" customFormat="false" ht="6" hidden="false" customHeight="true" outlineLevel="0" collapsed="false"/>
    <row r="2" customFormat="false" ht="17.35" hidden="false" customHeight="false" outlineLevel="0" collapsed="false">
      <c r="B2" s="5" t="s">
        <v>291</v>
      </c>
    </row>
    <row r="3" customFormat="false" ht="15" hidden="false" customHeight="false" outlineLevel="0" collapsed="false">
      <c r="B3" s="6" t="s">
        <v>292</v>
      </c>
    </row>
    <row r="5" customFormat="false" ht="15" hidden="false" customHeight="false" outlineLevel="0" collapsed="false">
      <c r="B5" s="9" t="s">
        <v>94</v>
      </c>
      <c r="C5" s="22" t="n">
        <f aca="false">Assumptions!$C$83</f>
        <v>0.05</v>
      </c>
    </row>
    <row r="7" customFormat="false" ht="30" hidden="false" customHeight="true" outlineLevel="0" collapsed="false">
      <c r="B7" s="13" t="s">
        <v>293</v>
      </c>
      <c r="C7" s="14" t="s">
        <v>294</v>
      </c>
      <c r="D7" s="14" t="s">
        <v>295</v>
      </c>
      <c r="E7" s="14" t="s">
        <v>295</v>
      </c>
    </row>
    <row r="8" customFormat="false" ht="15" hidden="false" customHeight="false" outlineLevel="0" collapsed="false">
      <c r="B8" s="46" t="s">
        <v>296</v>
      </c>
      <c r="D8" s="12" t="n">
        <v>0.5</v>
      </c>
      <c r="E8" s="12" t="n">
        <v>0.9</v>
      </c>
    </row>
    <row r="9" customFormat="false" ht="15" hidden="false" customHeight="false" outlineLevel="0" collapsed="false">
      <c r="B9" s="21" t="n">
        <v>0.05</v>
      </c>
      <c r="C9" s="38" t="n">
        <f aca="false">MIN(1,$C$5/B9)</f>
        <v>1</v>
      </c>
      <c r="D9" s="28" t="n">
        <f aca="false">IF(C9&gt;=1,1,ROUNDUP(LN(1-D$8)/LN(1-C9),0))</f>
        <v>1</v>
      </c>
      <c r="E9" s="28" t="n">
        <f aca="false">IF(C9&gt;=1,1,ROUNDUP(LN(1-E$8)/LN(1-C9),0))</f>
        <v>1</v>
      </c>
    </row>
    <row r="10" customFormat="false" ht="15" hidden="false" customHeight="false" outlineLevel="0" collapsed="false">
      <c r="B10" s="21" t="n">
        <v>0.075</v>
      </c>
      <c r="C10" s="38" t="n">
        <f aca="false">MIN(1,$C$5/B10)</f>
        <v>0.666666666666667</v>
      </c>
      <c r="D10" s="28" t="n">
        <f aca="false">IF(C10&gt;=1,1,ROUNDUP(LN(1-D$8)/LN(1-C10),0))</f>
        <v>1</v>
      </c>
      <c r="E10" s="28" t="n">
        <f aca="false">IF(C10&gt;=1,1,ROUNDUP(LN(1-E$8)/LN(1-C10),0))</f>
        <v>3</v>
      </c>
    </row>
    <row r="11" customFormat="false" ht="15" hidden="false" customHeight="false" outlineLevel="0" collapsed="false">
      <c r="B11" s="21" t="n">
        <v>0.1</v>
      </c>
      <c r="C11" s="38" t="n">
        <f aca="false">MIN(1,$C$5/B11)</f>
        <v>0.5</v>
      </c>
      <c r="D11" s="28" t="n">
        <f aca="false">IF(C11&gt;=1,1,ROUNDUP(LN(1-D$8)/LN(1-C11),0))</f>
        <v>1</v>
      </c>
      <c r="E11" s="28" t="n">
        <f aca="false">IF(C11&gt;=1,1,ROUNDUP(LN(1-E$8)/LN(1-C11),0))</f>
        <v>4</v>
      </c>
    </row>
    <row r="12" customFormat="false" ht="15" hidden="false" customHeight="false" outlineLevel="0" collapsed="false">
      <c r="B12" s="21" t="n">
        <v>0.15</v>
      </c>
      <c r="C12" s="38" t="n">
        <f aca="false">MIN(1,$C$5/B12)</f>
        <v>0.333333333333333</v>
      </c>
      <c r="D12" s="28" t="n">
        <f aca="false">IF(C12&gt;=1,1,ROUNDUP(LN(1-D$8)/LN(1-C12),0))</f>
        <v>2</v>
      </c>
      <c r="E12" s="28" t="n">
        <f aca="false">IF(C12&gt;=1,1,ROUNDUP(LN(1-E$8)/LN(1-C12),0))</f>
        <v>6</v>
      </c>
    </row>
    <row r="13" customFormat="false" ht="15" hidden="false" customHeight="false" outlineLevel="0" collapsed="false">
      <c r="B13" s="21" t="n">
        <v>0.2</v>
      </c>
      <c r="C13" s="38" t="n">
        <f aca="false">MIN(1,$C$5/B13)</f>
        <v>0.25</v>
      </c>
      <c r="D13" s="28" t="n">
        <f aca="false">IF(C13&gt;=1,1,ROUNDUP(LN(1-D$8)/LN(1-C13),0))</f>
        <v>3</v>
      </c>
      <c r="E13" s="28" t="n">
        <f aca="false">IF(C13&gt;=1,1,ROUNDUP(LN(1-E$8)/LN(1-C13),0))</f>
        <v>9</v>
      </c>
    </row>
    <row r="14" customFormat="false" ht="15" hidden="false" customHeight="false" outlineLevel="0" collapsed="false">
      <c r="B14" s="21" t="n">
        <v>0.25</v>
      </c>
      <c r="C14" s="38" t="n">
        <f aca="false">MIN(1,$C$5/B14)</f>
        <v>0.2</v>
      </c>
      <c r="D14" s="28" t="n">
        <f aca="false">IF(C14&gt;=1,1,ROUNDUP(LN(1-D$8)/LN(1-C14),0))</f>
        <v>4</v>
      </c>
      <c r="E14" s="28" t="n">
        <f aca="false">IF(C14&gt;=1,1,ROUNDUP(LN(1-E$8)/LN(1-C14),0))</f>
        <v>11</v>
      </c>
    </row>
    <row r="16" customFormat="false" ht="15" hidden="false" customHeight="false" outlineLevel="0" collapsed="false">
      <c r="B16" s="7" t="s">
        <v>297</v>
      </c>
      <c r="C16" s="8"/>
      <c r="D16" s="8"/>
      <c r="E16" s="8"/>
    </row>
    <row r="17" customFormat="false" ht="15" hidden="false" customHeight="false" outlineLevel="0" collapsed="false">
      <c r="B17" s="9" t="s">
        <v>298</v>
      </c>
      <c r="C17" s="22" t="n">
        <f aca="false">Interval_Fund_Paths!$C$118</f>
        <v>0.25</v>
      </c>
    </row>
    <row r="18" customFormat="false" ht="15" hidden="false" customHeight="false" outlineLevel="0" collapsed="false">
      <c r="B18" s="9" t="s">
        <v>299</v>
      </c>
      <c r="C18" s="28" t="n">
        <f aca="false">Interval_Fund_Paths!$C$119</f>
        <v>4</v>
      </c>
    </row>
    <row r="19" customFormat="false" ht="15" hidden="false" customHeight="false" outlineLevel="0" collapsed="false">
      <c r="B19" s="9" t="s">
        <v>300</v>
      </c>
      <c r="C19" s="26" t="n">
        <f aca="false">Interval_Fund_Paths!$U$144</f>
        <v>25746.6370037607</v>
      </c>
    </row>
    <row r="20" customFormat="false" ht="15" hidden="false" customHeight="false" outlineLevel="0" collapsed="false">
      <c r="B20" s="9" t="s">
        <v>301</v>
      </c>
      <c r="C20" s="26" t="n">
        <f aca="false">Interval_Fund_Paths!$V$144</f>
        <v>19204.6878121378</v>
      </c>
    </row>
    <row r="21" customFormat="false" ht="15" hidden="false" customHeight="false" outlineLevel="0" collapsed="false">
      <c r="B21" s="9" t="s">
        <v>302</v>
      </c>
      <c r="C21" s="26" t="n">
        <f aca="false">Interval_Fund_Paths!$W$144</f>
        <v>14323.1297655917</v>
      </c>
    </row>
    <row r="22" customFormat="false" ht="15" hidden="false" customHeight="false" outlineLevel="0" collapsed="false">
      <c r="B22" s="9" t="s">
        <v>303</v>
      </c>
      <c r="C22" s="26" t="n">
        <f aca="false">Interval_Fund_Paths!$X$144</f>
        <v>10680.9746613528</v>
      </c>
    </row>
    <row r="23" customFormat="false" ht="15" hidden="false" customHeight="false" outlineLevel="0" collapsed="false">
      <c r="B23" s="9" t="s">
        <v>304</v>
      </c>
      <c r="C23" s="26" t="n">
        <f aca="false">Interval_Fund_Paths!$Y$144</f>
        <v>29719.7561571403</v>
      </c>
    </row>
    <row r="24" customFormat="false" ht="15" hidden="false" customHeight="false" outlineLevel="0" collapsed="false">
      <c r="B24" s="9" t="s">
        <v>305</v>
      </c>
      <c r="C24" s="38" t="n">
        <f aca="false">(1-$C$17)^$C$18</f>
        <v>0.31640625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5" min="3" style="0" width="14"/>
    <col collapsed="false" customWidth="true" hidden="false" outlineLevel="0" max="25" min="9" style="0" width="13"/>
  </cols>
  <sheetData>
    <row r="1" customFormat="false" ht="6" hidden="false" customHeight="true" outlineLevel="0" collapsed="false"/>
    <row r="2" customFormat="false" ht="17.35" hidden="false" customHeight="false" outlineLevel="0" collapsed="false">
      <c r="B2" s="5" t="s">
        <v>306</v>
      </c>
    </row>
    <row r="3" customFormat="false" ht="15" hidden="false" customHeight="false" outlineLevel="0" collapsed="false">
      <c r="B3" s="6" t="s">
        <v>307</v>
      </c>
    </row>
    <row r="5" customFormat="false" ht="15" hidden="false" customHeight="false" outlineLevel="0" collapsed="false">
      <c r="B5" s="7" t="s">
        <v>308</v>
      </c>
      <c r="C5" s="8"/>
      <c r="D5" s="8"/>
      <c r="E5" s="8"/>
      <c r="F5" s="8"/>
      <c r="G5" s="8"/>
      <c r="H5" s="8"/>
    </row>
    <row r="6" customFormat="false" ht="15" hidden="false" customHeight="false" outlineLevel="0" collapsed="false">
      <c r="B6" s="9" t="s">
        <v>116</v>
      </c>
      <c r="C6" s="10" t="n">
        <v>0</v>
      </c>
      <c r="D6" s="6" t="s">
        <v>117</v>
      </c>
    </row>
    <row r="7" customFormat="false" ht="15" hidden="false" customHeight="false" outlineLevel="0" collapsed="false">
      <c r="B7" s="9" t="s">
        <v>118</v>
      </c>
      <c r="C7" s="10" t="n">
        <v>0</v>
      </c>
      <c r="D7" s="6" t="s">
        <v>117</v>
      </c>
    </row>
    <row r="9" customFormat="false" ht="15" hidden="false" customHeight="false" outlineLevel="0" collapsed="false">
      <c r="B9" s="7" t="s">
        <v>126</v>
      </c>
      <c r="I9" s="33" t="n">
        <v>0</v>
      </c>
      <c r="J9" s="33" t="n">
        <v>1</v>
      </c>
      <c r="K9" s="33" t="n">
        <v>2</v>
      </c>
      <c r="L9" s="33" t="n">
        <v>3</v>
      </c>
      <c r="M9" s="33" t="n">
        <v>4</v>
      </c>
      <c r="N9" s="33" t="n">
        <v>5</v>
      </c>
      <c r="O9" s="33" t="n">
        <v>6</v>
      </c>
      <c r="P9" s="33" t="n">
        <v>7</v>
      </c>
      <c r="Q9" s="33" t="n">
        <v>8</v>
      </c>
      <c r="R9" s="33" t="n">
        <v>9</v>
      </c>
      <c r="S9" s="33" t="n">
        <v>10</v>
      </c>
      <c r="T9" s="33" t="n">
        <v>11</v>
      </c>
      <c r="U9" s="33" t="n">
        <v>12</v>
      </c>
      <c r="V9" s="33" t="n">
        <v>13</v>
      </c>
      <c r="W9" s="33" t="n">
        <v>14</v>
      </c>
      <c r="X9" s="33" t="n">
        <v>15</v>
      </c>
      <c r="Y9" s="33" t="n">
        <v>16</v>
      </c>
    </row>
    <row r="10" customFormat="false" ht="15" hidden="false" customHeight="false" outlineLevel="0" collapsed="false">
      <c r="B10" s="9" t="s">
        <v>127</v>
      </c>
      <c r="I10" s="17" t="n">
        <f aca="false">IF(I$9=0,Assumptions!$C$6,Assumptions!$C$6+$C$6+IF(I$9&gt;=5,$C$7,0))</f>
        <v>0.04</v>
      </c>
      <c r="J10" s="17" t="n">
        <f aca="false">IF(J$9=0,Assumptions!$C$6,Assumptions!$C$6+$C$6+IF(J$9&gt;=5,$C$7,0))</f>
        <v>0.04</v>
      </c>
      <c r="K10" s="17" t="n">
        <f aca="false">IF(K$9=0,Assumptions!$C$6,Assumptions!$C$6+$C$6+IF(K$9&gt;=5,$C$7,0))</f>
        <v>0.04</v>
      </c>
      <c r="L10" s="17" t="n">
        <f aca="false">IF(L$9=0,Assumptions!$C$6,Assumptions!$C$6+$C$6+IF(L$9&gt;=5,$C$7,0))</f>
        <v>0.04</v>
      </c>
      <c r="M10" s="17" t="n">
        <f aca="false">IF(M$9=0,Assumptions!$C$6,Assumptions!$C$6+$C$6+IF(M$9&gt;=5,$C$7,0))</f>
        <v>0.04</v>
      </c>
      <c r="N10" s="17" t="n">
        <f aca="false">IF(N$9=0,Assumptions!$C$6,Assumptions!$C$6+$C$6+IF(N$9&gt;=5,$C$7,0))</f>
        <v>0.04</v>
      </c>
      <c r="O10" s="17" t="n">
        <f aca="false">IF(O$9=0,Assumptions!$C$6,Assumptions!$C$6+$C$6+IF(O$9&gt;=5,$C$7,0))</f>
        <v>0.04</v>
      </c>
      <c r="P10" s="17" t="n">
        <f aca="false">IF(P$9=0,Assumptions!$C$6,Assumptions!$C$6+$C$6+IF(P$9&gt;=5,$C$7,0))</f>
        <v>0.04</v>
      </c>
      <c r="Q10" s="17" t="n">
        <f aca="false">IF(Q$9=0,Assumptions!$C$6,Assumptions!$C$6+$C$6+IF(Q$9&gt;=5,$C$7,0))</f>
        <v>0.04</v>
      </c>
      <c r="R10" s="17" t="n">
        <f aca="false">IF(R$9=0,Assumptions!$C$6,Assumptions!$C$6+$C$6+IF(R$9&gt;=5,$C$7,0))</f>
        <v>0.04</v>
      </c>
      <c r="S10" s="17" t="n">
        <f aca="false">IF(S$9=0,Assumptions!$C$6,Assumptions!$C$6+$C$6+IF(S$9&gt;=5,$C$7,0))</f>
        <v>0.04</v>
      </c>
      <c r="T10" s="17" t="n">
        <f aca="false">IF(T$9=0,Assumptions!$C$6,Assumptions!$C$6+$C$6+IF(T$9&gt;=5,$C$7,0))</f>
        <v>0.04</v>
      </c>
      <c r="U10" s="17" t="n">
        <f aca="false">IF(U$9=0,Assumptions!$C$6,Assumptions!$C$6+$C$6+IF(U$9&gt;=5,$C$7,0))</f>
        <v>0.04</v>
      </c>
      <c r="V10" s="17" t="n">
        <f aca="false">IF(V$9=0,Assumptions!$C$6,Assumptions!$C$6+$C$6+IF(V$9&gt;=5,$C$7,0))</f>
        <v>0.04</v>
      </c>
      <c r="W10" s="17" t="n">
        <f aca="false">IF(W$9=0,Assumptions!$C$6,Assumptions!$C$6+$C$6+IF(W$9&gt;=5,$C$7,0))</f>
        <v>0.04</v>
      </c>
      <c r="X10" s="17" t="n">
        <f aca="false">IF(X$9=0,Assumptions!$C$6,Assumptions!$C$6+$C$6+IF(X$9&gt;=5,$C$7,0))</f>
        <v>0.04</v>
      </c>
      <c r="Y10" s="17" t="n">
        <f aca="false">IF(Y$9=0,Assumptions!$C$6,Assumptions!$C$6+$C$6+IF(Y$9&gt;=5,$C$7,0))</f>
        <v>0.04</v>
      </c>
    </row>
    <row r="12" customFormat="false" ht="15" hidden="false" customHeight="false" outlineLevel="0" collapsed="false">
      <c r="B12" s="7" t="s">
        <v>128</v>
      </c>
      <c r="C12" s="8"/>
      <c r="D12" s="8"/>
      <c r="E12" s="8"/>
      <c r="F12" s="8"/>
      <c r="G12" s="8"/>
      <c r="H12" s="8"/>
      <c r="I12" s="8"/>
      <c r="J12" s="8"/>
      <c r="K12" s="8"/>
      <c r="L12" s="8"/>
      <c r="M12" s="8"/>
      <c r="N12" s="8"/>
      <c r="O12" s="8"/>
      <c r="P12" s="8"/>
      <c r="Q12" s="8"/>
      <c r="R12" s="8"/>
      <c r="S12" s="8"/>
      <c r="T12" s="8"/>
      <c r="U12" s="8"/>
      <c r="V12" s="8"/>
      <c r="W12" s="8"/>
      <c r="X12" s="8"/>
      <c r="Y12" s="8"/>
    </row>
    <row r="13" customFormat="false" ht="43.5" hidden="false" customHeight="true" outlineLevel="0" collapsed="false">
      <c r="B13" s="13" t="s">
        <v>129</v>
      </c>
      <c r="C13" s="14" t="s">
        <v>130</v>
      </c>
      <c r="D13" s="14" t="s">
        <v>46</v>
      </c>
      <c r="E13" s="14" t="s">
        <v>131</v>
      </c>
      <c r="F13" s="14" t="s">
        <v>132</v>
      </c>
      <c r="G13" s="14" t="s">
        <v>133</v>
      </c>
      <c r="H13" s="14" t="s">
        <v>134</v>
      </c>
      <c r="I13" s="33" t="n">
        <v>0</v>
      </c>
      <c r="J13" s="33" t="n">
        <v>1</v>
      </c>
      <c r="K13" s="33" t="n">
        <v>2</v>
      </c>
      <c r="L13" s="33" t="n">
        <v>3</v>
      </c>
      <c r="M13" s="33" t="n">
        <v>4</v>
      </c>
      <c r="N13" s="33" t="n">
        <v>5</v>
      </c>
      <c r="O13" s="33" t="n">
        <v>6</v>
      </c>
      <c r="P13" s="33" t="n">
        <v>7</v>
      </c>
      <c r="Q13" s="33" t="n">
        <v>8</v>
      </c>
      <c r="R13" s="33" t="n">
        <v>9</v>
      </c>
      <c r="S13" s="33" t="n">
        <v>10</v>
      </c>
      <c r="T13" s="33" t="n">
        <v>11</v>
      </c>
      <c r="U13" s="33" t="n">
        <v>12</v>
      </c>
      <c r="V13" s="33" t="n">
        <v>13</v>
      </c>
      <c r="W13" s="33" t="n">
        <v>14</v>
      </c>
      <c r="X13" s="33" t="n">
        <v>15</v>
      </c>
      <c r="Y13" s="33" t="n">
        <v>16</v>
      </c>
    </row>
    <row r="14" customFormat="false" ht="15" hidden="false" customHeight="false" outlineLevel="0" collapsed="false">
      <c r="B14" s="9" t="s">
        <v>309</v>
      </c>
      <c r="C14" s="9" t="s">
        <v>310</v>
      </c>
      <c r="D14" s="26" t="n">
        <f aca="false">Assumptions!$C$86</f>
        <v>52000</v>
      </c>
      <c r="F14" s="17" t="n">
        <f aca="false">Assumptions!$C$6</f>
        <v>0.04</v>
      </c>
      <c r="G14" s="26" t="n">
        <f aca="false">SUM(I14:Y14)</f>
        <v>6240</v>
      </c>
      <c r="H14" s="29" t="n">
        <f aca="false">(1+IRR(I14:Y14,IF(SUM(I14:Y14)&lt;0,-0.05,0.01)))^4-1</f>
        <v>0.04060401</v>
      </c>
      <c r="I14" s="35" t="n">
        <f aca="false">IF(I$13=0,-$D14,0)+IF(AND(I$13&gt;=1,I$13&lt;=12),$D14*I10/4,0)+IF(I$13=12,$D14,0)</f>
        <v>-52000</v>
      </c>
      <c r="J14" s="35" t="n">
        <f aca="false">IF(J$13=0,-$D14,0)+IF(AND(J$13&gt;=1,J$13&lt;=12),$D14*J10/4,0)+IF(J$13=12,$D14,0)</f>
        <v>520</v>
      </c>
      <c r="K14" s="35" t="n">
        <f aca="false">IF(K$13=0,-$D14,0)+IF(AND(K$13&gt;=1,K$13&lt;=12),$D14*K10/4,0)+IF(K$13=12,$D14,0)</f>
        <v>520</v>
      </c>
      <c r="L14" s="35" t="n">
        <f aca="false">IF(L$13=0,-$D14,0)+IF(AND(L$13&gt;=1,L$13&lt;=12),$D14*L10/4,0)+IF(L$13=12,$D14,0)</f>
        <v>520</v>
      </c>
      <c r="M14" s="35" t="n">
        <f aca="false">IF(M$13=0,-$D14,0)+IF(AND(M$13&gt;=1,M$13&lt;=12),$D14*M10/4,0)+IF(M$13=12,$D14,0)</f>
        <v>520</v>
      </c>
      <c r="N14" s="35" t="n">
        <f aca="false">IF(N$13=0,-$D14,0)+IF(AND(N$13&gt;=1,N$13&lt;=12),$D14*N10/4,0)+IF(N$13=12,$D14,0)</f>
        <v>520</v>
      </c>
      <c r="O14" s="35" t="n">
        <f aca="false">IF(O$13=0,-$D14,0)+IF(AND(O$13&gt;=1,O$13&lt;=12),$D14*O10/4,0)+IF(O$13=12,$D14,0)</f>
        <v>520</v>
      </c>
      <c r="P14" s="35" t="n">
        <f aca="false">IF(P$13=0,-$D14,0)+IF(AND(P$13&gt;=1,P$13&lt;=12),$D14*P10/4,0)+IF(P$13=12,$D14,0)</f>
        <v>520</v>
      </c>
      <c r="Q14" s="35" t="n">
        <f aca="false">IF(Q$13=0,-$D14,0)+IF(AND(Q$13&gt;=1,Q$13&lt;=12),$D14*Q10/4,0)+IF(Q$13=12,$D14,0)</f>
        <v>520</v>
      </c>
      <c r="R14" s="35" t="n">
        <f aca="false">IF(R$13=0,-$D14,0)+IF(AND(R$13&gt;=1,R$13&lt;=12),$D14*R10/4,0)+IF(R$13=12,$D14,0)</f>
        <v>520</v>
      </c>
      <c r="S14" s="35" t="n">
        <f aca="false">IF(S$13=0,-$D14,0)+IF(AND(S$13&gt;=1,S$13&lt;=12),$D14*S10/4,0)+IF(S$13=12,$D14,0)</f>
        <v>520</v>
      </c>
      <c r="T14" s="35" t="n">
        <f aca="false">IF(T$13=0,-$D14,0)+IF(AND(T$13&gt;=1,T$13&lt;=12),$D14*T10/4,0)+IF(T$13=12,$D14,0)</f>
        <v>520</v>
      </c>
      <c r="U14" s="35" t="n">
        <f aca="false">IF(U$13=0,-$D14,0)+IF(AND(U$13&gt;=1,U$13&lt;=12),$D14*U10/4,0)+IF(U$13=12,$D14,0)</f>
        <v>52520</v>
      </c>
      <c r="V14" s="35" t="n">
        <f aca="false">0</f>
        <v>0</v>
      </c>
      <c r="W14" s="35" t="n">
        <f aca="false">0</f>
        <v>0</v>
      </c>
      <c r="X14" s="35" t="n">
        <f aca="false">0</f>
        <v>0</v>
      </c>
      <c r="Y14" s="35" t="n">
        <f aca="false">0</f>
        <v>0</v>
      </c>
    </row>
    <row r="16" customFormat="false" ht="15" hidden="false" customHeight="false" outlineLevel="0" collapsed="false">
      <c r="B16" s="30" t="s">
        <v>311</v>
      </c>
      <c r="C16" s="9" t="s">
        <v>310</v>
      </c>
      <c r="D16" s="26" t="n">
        <f aca="false">SUMIF($C$14:$C$14,"Reserve",D$14:D$14)</f>
        <v>52000</v>
      </c>
      <c r="G16" s="36" t="n">
        <f aca="false">SUM(I16:Y16)</f>
        <v>6240</v>
      </c>
      <c r="H16" s="29" t="n">
        <f aca="false">(1+IRR(I16:Y16,IF(SUM(I16:Y16)&lt;0,-0.05,0.01)))^4-1</f>
        <v>0.04060401</v>
      </c>
      <c r="I16" s="35" t="n">
        <f aca="false">SUMIF($C$14:$C$14,"Reserve",I$14:I$14)</f>
        <v>-52000</v>
      </c>
      <c r="J16" s="35" t="n">
        <f aca="false">SUMIF($C$14:$C$14,"Reserve",J$14:J$14)</f>
        <v>520</v>
      </c>
      <c r="K16" s="35" t="n">
        <f aca="false">SUMIF($C$14:$C$14,"Reserve",K$14:K$14)</f>
        <v>520</v>
      </c>
      <c r="L16" s="35" t="n">
        <f aca="false">SUMIF($C$14:$C$14,"Reserve",L$14:L$14)</f>
        <v>520</v>
      </c>
      <c r="M16" s="35" t="n">
        <f aca="false">SUMIF($C$14:$C$14,"Reserve",M$14:M$14)</f>
        <v>520</v>
      </c>
      <c r="N16" s="35" t="n">
        <f aca="false">SUMIF($C$14:$C$14,"Reserve",N$14:N$14)</f>
        <v>520</v>
      </c>
      <c r="O16" s="35" t="n">
        <f aca="false">SUMIF($C$14:$C$14,"Reserve",O$14:O$14)</f>
        <v>520</v>
      </c>
      <c r="P16" s="35" t="n">
        <f aca="false">SUMIF($C$14:$C$14,"Reserve",P$14:P$14)</f>
        <v>520</v>
      </c>
      <c r="Q16" s="35" t="n">
        <f aca="false">SUMIF($C$14:$C$14,"Reserve",Q$14:Q$14)</f>
        <v>520</v>
      </c>
      <c r="R16" s="35" t="n">
        <f aca="false">SUMIF($C$14:$C$14,"Reserve",R$14:R$14)</f>
        <v>520</v>
      </c>
      <c r="S16" s="35" t="n">
        <f aca="false">SUMIF($C$14:$C$14,"Reserve",S$14:S$14)</f>
        <v>520</v>
      </c>
      <c r="T16" s="35" t="n">
        <f aca="false">SUMIF($C$14:$C$14,"Reserve",T$14:T$14)</f>
        <v>520</v>
      </c>
      <c r="U16" s="35" t="n">
        <f aca="false">SUMIF($C$14:$C$14,"Reserve",U$14:U$14)</f>
        <v>52520</v>
      </c>
      <c r="V16" s="35" t="n">
        <f aca="false">SUMIF($C$14:$C$14,"Reserve",V$14:V$14)</f>
        <v>0</v>
      </c>
      <c r="W16" s="35" t="n">
        <f aca="false">SUMIF($C$14:$C$14,"Reserve",W$14:W$14)</f>
        <v>0</v>
      </c>
      <c r="X16" s="35" t="n">
        <f aca="false">SUMIF($C$14:$C$14,"Reserve",X$14:X$14)</f>
        <v>0</v>
      </c>
      <c r="Y16" s="35" t="n">
        <f aca="false">SUMIF($C$14:$C$14,"Reserve",Y$14:Y$14)</f>
        <v>0</v>
      </c>
    </row>
    <row r="18" customFormat="false" ht="15" hidden="false" customHeight="false" outlineLevel="0" collapsed="false">
      <c r="B18" s="7" t="s">
        <v>312</v>
      </c>
      <c r="C18" s="8"/>
      <c r="D18" s="8"/>
      <c r="E18" s="8"/>
    </row>
    <row r="19" customFormat="false" ht="15" hidden="false" customHeight="false" outlineLevel="0" collapsed="false">
      <c r="B19" s="13" t="s">
        <v>129</v>
      </c>
      <c r="C19" s="14" t="s">
        <v>46</v>
      </c>
      <c r="D19" s="14" t="s">
        <v>313</v>
      </c>
    </row>
    <row r="20" customFormat="false" ht="15" hidden="false" customHeight="false" outlineLevel="0" collapsed="false">
      <c r="B20" s="9" t="s">
        <v>36</v>
      </c>
      <c r="C20" s="26" t="n">
        <f aca="false">Bond_Flows!$D$23</f>
        <v>25000</v>
      </c>
      <c r="D20" s="17" t="n">
        <f aca="false">Bond_Flows!$F$23</f>
        <v>0.048</v>
      </c>
    </row>
    <row r="21" customFormat="false" ht="15" hidden="false" customHeight="false" outlineLevel="0" collapsed="false">
      <c r="B21" s="9" t="s">
        <v>37</v>
      </c>
      <c r="C21" s="26" t="n">
        <f aca="false">Bond_Flows!$D$24</f>
        <v>25000</v>
      </c>
      <c r="D21" s="17" t="n">
        <f aca="false">Bond_Flows!$F$24</f>
        <v>0.0495</v>
      </c>
    </row>
    <row r="22" customFormat="false" ht="15" hidden="false" customHeight="false" outlineLevel="0" collapsed="false">
      <c r="B22" s="9" t="s">
        <v>38</v>
      </c>
      <c r="C22" s="26" t="n">
        <f aca="false">Bond_Flows!$D$25</f>
        <v>25000</v>
      </c>
      <c r="D22" s="17" t="n">
        <f aca="false">Bond_Flows!$F$25</f>
        <v>0.0515</v>
      </c>
    </row>
    <row r="23" customFormat="false" ht="15" hidden="false" customHeight="false" outlineLevel="0" collapsed="false">
      <c r="B23" s="9" t="s">
        <v>39</v>
      </c>
      <c r="C23" s="26" t="n">
        <f aca="false">Bond_Flows!$D$26</f>
        <v>25000</v>
      </c>
      <c r="D23" s="17" t="n">
        <f aca="false">Bond_Flows!$F$26</f>
        <v>0.053</v>
      </c>
    </row>
    <row r="24" customFormat="false" ht="15" hidden="false" customHeight="false" outlineLevel="0" collapsed="false">
      <c r="B24" s="9" t="s">
        <v>40</v>
      </c>
      <c r="C24" s="26" t="n">
        <f aca="false">Bond_Flows!$D$27</f>
        <v>25000</v>
      </c>
      <c r="D24" s="17" t="n">
        <f aca="false">Bond_Flows!$F$27</f>
        <v>0.0545</v>
      </c>
    </row>
    <row r="25" customFormat="false" ht="15" hidden="false" customHeight="false" outlineLevel="0" collapsed="false">
      <c r="B25" s="9" t="s">
        <v>47</v>
      </c>
      <c r="C25" s="26" t="n">
        <f aca="false">Bond_Flows!$D$28</f>
        <v>12375</v>
      </c>
      <c r="D25" s="17" t="n">
        <f aca="false">Bond_Flows!$F$28</f>
        <v>0.0699042470751673</v>
      </c>
    </row>
    <row r="26" customFormat="false" ht="15" hidden="false" customHeight="false" outlineLevel="0" collapsed="false">
      <c r="B26" s="9" t="s">
        <v>48</v>
      </c>
      <c r="C26" s="26" t="n">
        <f aca="false">Bond_Flows!$D$29</f>
        <v>12312.5</v>
      </c>
      <c r="D26" s="17" t="n">
        <f aca="false">Bond_Flows!$F$29</f>
        <v>0.0736404123832243</v>
      </c>
    </row>
    <row r="27" customFormat="false" ht="15" hidden="false" customHeight="false" outlineLevel="0" collapsed="false">
      <c r="B27" s="9" t="s">
        <v>49</v>
      </c>
      <c r="C27" s="26" t="n">
        <f aca="false">Bond_Flows!$D$30</f>
        <v>12250</v>
      </c>
      <c r="D27" s="17" t="n">
        <f aca="false">Bond_Flows!$F$30</f>
        <v>0.0773997713205988</v>
      </c>
    </row>
    <row r="28" customFormat="false" ht="15" hidden="false" customHeight="false" outlineLevel="0" collapsed="false">
      <c r="B28" s="9" t="s">
        <v>50</v>
      </c>
      <c r="C28" s="26" t="n">
        <f aca="false">Bond_Flows!$D$31</f>
        <v>12187.5</v>
      </c>
      <c r="D28" s="17" t="n">
        <f aca="false">Bond_Flows!$F$31</f>
        <v>0.0811827080590467</v>
      </c>
    </row>
    <row r="29" customFormat="false" ht="15" hidden="false" customHeight="false" outlineLevel="0" collapsed="false">
      <c r="B29" s="9" t="s">
        <v>51</v>
      </c>
      <c r="C29" s="26" t="n">
        <f aca="false">Bond_Flows!$D$32</f>
        <v>12125</v>
      </c>
      <c r="D29" s="17" t="n">
        <f aca="false">Bond_Flows!$F$32</f>
        <v>0.0875368825411204</v>
      </c>
    </row>
    <row r="30" customFormat="false" ht="15" hidden="false" customHeight="false" outlineLevel="0" collapsed="false">
      <c r="B30" s="9" t="s">
        <v>52</v>
      </c>
      <c r="C30" s="26" t="n">
        <f aca="false">Bond_Flows!$D$33</f>
        <v>11750</v>
      </c>
      <c r="D30" s="17" t="n">
        <f aca="false">Bond_Flows!$F$33</f>
        <v>0.100561753609911</v>
      </c>
    </row>
    <row r="31" customFormat="false" ht="15" hidden="false" customHeight="false" outlineLevel="0" collapsed="false">
      <c r="B31" s="9" t="s">
        <v>167</v>
      </c>
      <c r="C31" s="26" t="n">
        <f aca="false">Loan_Fund_Paths!$D$26</f>
        <v>75000</v>
      </c>
      <c r="D31" s="17" t="n">
        <f aca="false">Loan_Fund_Paths!$F$26</f>
        <v>0.0665</v>
      </c>
    </row>
    <row r="32" customFormat="false" ht="15" hidden="false" customHeight="false" outlineLevel="0" collapsed="false">
      <c r="B32" s="9" t="s">
        <v>64</v>
      </c>
      <c r="C32" s="26" t="n">
        <f aca="false">BDC_Paths!$D$62</f>
        <v>25000</v>
      </c>
      <c r="D32" s="17" t="n">
        <f aca="false">BDC_Paths!$F$62</f>
        <v>0.101052631578947</v>
      </c>
    </row>
    <row r="33" customFormat="false" ht="15" hidden="false" customHeight="false" outlineLevel="0" collapsed="false">
      <c r="B33" s="9" t="s">
        <v>65</v>
      </c>
      <c r="C33" s="26" t="n">
        <f aca="false">BDC_Paths!$D$63</f>
        <v>25000</v>
      </c>
      <c r="D33" s="17" t="n">
        <f aca="false">BDC_Paths!$F$63</f>
        <v>0.106666666666667</v>
      </c>
    </row>
    <row r="34" customFormat="false" ht="15" hidden="false" customHeight="false" outlineLevel="0" collapsed="false">
      <c r="B34" s="9" t="s">
        <v>66</v>
      </c>
      <c r="C34" s="26" t="n">
        <f aca="false">BDC_Paths!$D$64</f>
        <v>25000</v>
      </c>
      <c r="D34" s="17" t="n">
        <f aca="false">BDC_Paths!$F$64</f>
        <v>0.146666666666667</v>
      </c>
    </row>
    <row r="35" customFormat="false" ht="15" hidden="false" customHeight="false" outlineLevel="0" collapsed="false">
      <c r="B35" s="9" t="s">
        <v>287</v>
      </c>
      <c r="C35" s="26" t="n">
        <f aca="false">Interval_Fund_Paths!$D$36</f>
        <v>100000</v>
      </c>
      <c r="D35" s="17" t="n">
        <f aca="false">Interval_Fund_Paths!$F$36</f>
        <v>0.09</v>
      </c>
    </row>
    <row r="36" customFormat="false" ht="15" hidden="false" customHeight="false" outlineLevel="0" collapsed="false">
      <c r="B36" s="9" t="s">
        <v>309</v>
      </c>
      <c r="C36" s="26" t="n">
        <f aca="false">Fees_Tax!$D$14</f>
        <v>52000</v>
      </c>
      <c r="D36" s="17" t="n">
        <f aca="false">Fees_Tax!$F$14</f>
        <v>0.04</v>
      </c>
    </row>
    <row r="37" customFormat="false" ht="15" hidden="false" customHeight="false" outlineLevel="0" collapsed="false">
      <c r="B37" s="9" t="s">
        <v>314</v>
      </c>
      <c r="C37" s="26" t="n">
        <f aca="false">$C$35</f>
        <v>100000</v>
      </c>
    </row>
    <row r="38" customFormat="false" ht="15" hidden="false" customHeight="false" outlineLevel="0" collapsed="false">
      <c r="B38" s="9" t="s">
        <v>315</v>
      </c>
      <c r="C38" s="17" t="n">
        <f aca="false">SUMPRODUCT(C20:C36,D20:D36)/SUM(C20:C36)</f>
        <v>0.0745839170334103</v>
      </c>
    </row>
    <row r="40" customFormat="false" ht="15" hidden="false" customHeight="false" outlineLevel="0" collapsed="false">
      <c r="B40" s="7" t="s">
        <v>316</v>
      </c>
      <c r="C40" s="8"/>
      <c r="D40" s="8"/>
      <c r="E40" s="8"/>
      <c r="F40" s="8"/>
      <c r="G40" s="8"/>
      <c r="H40" s="8"/>
      <c r="I40" s="8"/>
      <c r="J40" s="8"/>
      <c r="K40" s="8"/>
      <c r="L40" s="8"/>
      <c r="M40" s="8"/>
      <c r="N40" s="8"/>
      <c r="O40" s="8"/>
      <c r="P40" s="8"/>
      <c r="Q40" s="8"/>
      <c r="R40" s="8"/>
      <c r="S40" s="8"/>
      <c r="T40" s="8"/>
      <c r="U40" s="8"/>
      <c r="V40" s="8"/>
      <c r="W40" s="8"/>
      <c r="X40" s="8"/>
      <c r="Y40" s="8"/>
    </row>
    <row r="41" customFormat="false" ht="15" hidden="false" customHeight="false" outlineLevel="0" collapsed="false">
      <c r="B41" s="7" t="s">
        <v>126</v>
      </c>
      <c r="I41" s="33" t="n">
        <v>0</v>
      </c>
      <c r="J41" s="33" t="n">
        <v>1</v>
      </c>
      <c r="K41" s="33" t="n">
        <v>2</v>
      </c>
      <c r="L41" s="33" t="n">
        <v>3</v>
      </c>
      <c r="M41" s="33" t="n">
        <v>4</v>
      </c>
      <c r="N41" s="33" t="n">
        <v>5</v>
      </c>
      <c r="O41" s="33" t="n">
        <v>6</v>
      </c>
      <c r="P41" s="33" t="n">
        <v>7</v>
      </c>
      <c r="Q41" s="33" t="n">
        <v>8</v>
      </c>
      <c r="R41" s="33" t="n">
        <v>9</v>
      </c>
      <c r="S41" s="33" t="n">
        <v>10</v>
      </c>
      <c r="T41" s="33" t="n">
        <v>11</v>
      </c>
      <c r="U41" s="33" t="n">
        <v>12</v>
      </c>
      <c r="V41" s="33" t="n">
        <v>13</v>
      </c>
      <c r="W41" s="33" t="n">
        <v>14</v>
      </c>
      <c r="X41" s="33" t="n">
        <v>15</v>
      </c>
      <c r="Y41" s="33" t="n">
        <v>16</v>
      </c>
    </row>
    <row r="42" customFormat="false" ht="15" hidden="false" customHeight="false" outlineLevel="0" collapsed="false">
      <c r="B42" s="30" t="s">
        <v>317</v>
      </c>
      <c r="C42" s="29" t="n">
        <f aca="false">(1+IRR(I42:Y42,IF(SUM(I42:Y42)&lt;0,-0.05,0.01)))^4-1</f>
        <v>0.0602132863026841</v>
      </c>
      <c r="I42" s="35" t="n">
        <f aca="false">Bond_Flows!$I$35+Bond_Flows!$I$36+Loan_Fund_Paths!$I$28+BDC_Paths!$I$66+Interval_Fund_Paths!$I$38+Fees_Tax!$I$16</f>
        <v>-500000</v>
      </c>
      <c r="J42" s="35" t="n">
        <f aca="false">Bond_Flows!$J$35+Bond_Flows!$J$36+Loan_Fund_Paths!$J$28+BDC_Paths!$J$66+Interval_Fund_Paths!$J$38+Fees_Tax!$J$16</f>
        <v>6231.78728070176</v>
      </c>
      <c r="K42" s="35" t="n">
        <f aca="false">Bond_Flows!$K$35+Bond_Flows!$K$36+Loan_Fund_Paths!$K$28+BDC_Paths!$K$66+Interval_Fund_Paths!$K$38+Fees_Tax!$K$16</f>
        <v>12247.2642338268</v>
      </c>
      <c r="L42" s="35" t="n">
        <f aca="false">Bond_Flows!$L$35+Bond_Flows!$L$36+Loan_Fund_Paths!$L$28+BDC_Paths!$L$66+Interval_Fund_Paths!$L$38+Fees_Tax!$L$16</f>
        <v>6225.2497786998</v>
      </c>
      <c r="M42" s="35" t="n">
        <f aca="false">Bond_Flows!$M$35+Bond_Flows!$M$36+Loan_Fund_Paths!$M$28+BDC_Paths!$M$66+Interval_Fund_Paths!$M$38+Fees_Tax!$M$16</f>
        <v>12240.7438927676</v>
      </c>
      <c r="N42" s="35" t="n">
        <f aca="false">Bond_Flows!$N$35+Bond_Flows!$N$36+Loan_Fund_Paths!$N$28+BDC_Paths!$N$66+Interval_Fund_Paths!$N$38+Fees_Tax!$N$16</f>
        <v>6218.74655353588</v>
      </c>
      <c r="O42" s="35" t="n">
        <f aca="false">Bond_Flows!$O$35+Bond_Flows!$O$36+Loan_Fund_Paths!$O$28+BDC_Paths!$O$66+Interval_Fund_Paths!$O$38+Fees_Tax!$O$16</f>
        <v>11480.7855163475</v>
      </c>
      <c r="P42" s="35" t="n">
        <f aca="false">Bond_Flows!$P$35+Bond_Flows!$P$36+Loan_Fund_Paths!$P$28+BDC_Paths!$P$66+Interval_Fund_Paths!$P$38+Fees_Tax!$P$16</f>
        <v>5990.05520327057</v>
      </c>
      <c r="Q42" s="35" t="n">
        <f aca="false">Bond_Flows!$Q$35+Bond_Flows!$Q$36+Loan_Fund_Paths!$Q$28+BDC_Paths!$Q$66+Interval_Fund_Paths!$Q$38+Fees_Tax!$Q$16</f>
        <v>36474.3333697655</v>
      </c>
      <c r="R42" s="35" t="n">
        <f aca="false">Bond_Flows!$R$35+Bond_Flows!$R$36+Loan_Fund_Paths!$R$28+BDC_Paths!$R$66+Interval_Fund_Paths!$R$38+Fees_Tax!$R$16</f>
        <v>5983.61999357337</v>
      </c>
      <c r="S42" s="35" t="n">
        <f aca="false">Bond_Flows!$S$35+Bond_Flows!$S$36+Loan_Fund_Paths!$S$28+BDC_Paths!$S$66+Interval_Fund_Paths!$S$38+Fees_Tax!$S$16</f>
        <v>15867.9150524937</v>
      </c>
      <c r="T42" s="35" t="n">
        <f aca="false">Bond_Flows!$T$35+Bond_Flows!$T$36+Loan_Fund_Paths!$T$28+BDC_Paths!$T$66+Interval_Fund_Paths!$T$38+Fees_Tax!$T$16</f>
        <v>5977.21852438446</v>
      </c>
      <c r="U42" s="35" t="n">
        <f aca="false">Bond_Flows!$U$35+Bond_Flows!$U$36+Loan_Fund_Paths!$U$28+BDC_Paths!$U$66+Interval_Fund_Paths!$U$38+Fees_Tax!$U$16</f>
        <v>460321.407164778</v>
      </c>
      <c r="V42" s="35" t="n">
        <f aca="false">Bond_Flows!$V$35+Bond_Flows!$V$36+Loan_Fund_Paths!$V$28+BDC_Paths!$V$66+Interval_Fund_Paths!$V$38+Fees_Tax!$V$16</f>
        <v>0</v>
      </c>
      <c r="W42" s="35" t="n">
        <f aca="false">Bond_Flows!$W$35+Bond_Flows!$W$36+Loan_Fund_Paths!$W$28+BDC_Paths!$W$66+Interval_Fund_Paths!$W$38+Fees_Tax!$W$16</f>
        <v>0</v>
      </c>
      <c r="X42" s="35" t="n">
        <f aca="false">Bond_Flows!$X$35+Bond_Flows!$X$36+Loan_Fund_Paths!$X$28+BDC_Paths!$X$66+Interval_Fund_Paths!$X$38+Fees_Tax!$X$16</f>
        <v>0</v>
      </c>
      <c r="Y42" s="35" t="n">
        <f aca="false">Bond_Flows!$Y$35+Bond_Flows!$Y$36+Loan_Fund_Paths!$Y$28+BDC_Paths!$Y$66+Interval_Fund_Paths!$Y$38+Fees_Tax!$Y$16</f>
        <v>0</v>
      </c>
    </row>
    <row r="43" customFormat="false" ht="15" hidden="false" customHeight="false" outlineLevel="0" collapsed="false">
      <c r="B43" s="30" t="s">
        <v>318</v>
      </c>
      <c r="C43" s="29" t="n">
        <f aca="false">(1+IRR(I43:Y43,IF(SUM(I43:Y43)&lt;0,-0.05,0.01)))^4-1</f>
        <v>0.0606008106787772</v>
      </c>
      <c r="I43" s="35" t="n">
        <f aca="false">Bond_Flows!$I$35+Bond_Flows!$I$36+Loan_Fund_Paths!$I$28+BDC_Paths!$I$66+Interval_Fund_Paths!$I$146+Fees_Tax!$I$16</f>
        <v>-500000</v>
      </c>
      <c r="J43" s="35" t="n">
        <f aca="false">Bond_Flows!$J$35+Bond_Flows!$J$36+Loan_Fund_Paths!$J$28+BDC_Paths!$J$66+Interval_Fund_Paths!$J$146+Fees_Tax!$J$16</f>
        <v>6231.78728070176</v>
      </c>
      <c r="K43" s="35" t="n">
        <f aca="false">Bond_Flows!$K$35+Bond_Flows!$K$36+Loan_Fund_Paths!$K$28+BDC_Paths!$K$66+Interval_Fund_Paths!$K$146+Fees_Tax!$K$16</f>
        <v>12247.2642338268</v>
      </c>
      <c r="L43" s="35" t="n">
        <f aca="false">Bond_Flows!$L$35+Bond_Flows!$L$36+Loan_Fund_Paths!$L$28+BDC_Paths!$L$66+Interval_Fund_Paths!$L$146+Fees_Tax!$L$16</f>
        <v>6225.2497786998</v>
      </c>
      <c r="M43" s="35" t="n">
        <f aca="false">Bond_Flows!$M$35+Bond_Flows!$M$36+Loan_Fund_Paths!$M$28+BDC_Paths!$M$66+Interval_Fund_Paths!$M$146+Fees_Tax!$M$16</f>
        <v>12240.7438927676</v>
      </c>
      <c r="N43" s="35" t="n">
        <f aca="false">Bond_Flows!$N$35+Bond_Flows!$N$36+Loan_Fund_Paths!$N$28+BDC_Paths!$N$66+Interval_Fund_Paths!$N$146+Fees_Tax!$N$16</f>
        <v>6218.74655353588</v>
      </c>
      <c r="O43" s="35" t="n">
        <f aca="false">Bond_Flows!$O$35+Bond_Flows!$O$36+Loan_Fund_Paths!$O$28+BDC_Paths!$O$66+Interval_Fund_Paths!$O$146+Fees_Tax!$O$16</f>
        <v>11480.7855163475</v>
      </c>
      <c r="P43" s="35" t="n">
        <f aca="false">Bond_Flows!$P$35+Bond_Flows!$P$36+Loan_Fund_Paths!$P$28+BDC_Paths!$P$66+Interval_Fund_Paths!$P$146+Fees_Tax!$P$16</f>
        <v>5990.05520327057</v>
      </c>
      <c r="Q43" s="35" t="n">
        <f aca="false">Bond_Flows!$Q$35+Bond_Flows!$Q$36+Loan_Fund_Paths!$Q$28+BDC_Paths!$Q$66+Interval_Fund_Paths!$Q$146+Fees_Tax!$Q$16</f>
        <v>36474.3333697655</v>
      </c>
      <c r="R43" s="35" t="n">
        <f aca="false">Bond_Flows!$R$35+Bond_Flows!$R$36+Loan_Fund_Paths!$R$28+BDC_Paths!$R$66+Interval_Fund_Paths!$R$146+Fees_Tax!$R$16</f>
        <v>5983.61999357337</v>
      </c>
      <c r="S43" s="35" t="n">
        <f aca="false">Bond_Flows!$S$35+Bond_Flows!$S$36+Loan_Fund_Paths!$S$28+BDC_Paths!$S$66+Interval_Fund_Paths!$S$146+Fees_Tax!$S$16</f>
        <v>15867.9150524937</v>
      </c>
      <c r="T43" s="35" t="n">
        <f aca="false">Bond_Flows!$T$35+Bond_Flows!$T$36+Loan_Fund_Paths!$T$28+BDC_Paths!$T$66+Interval_Fund_Paths!$T$146+Fees_Tax!$T$16</f>
        <v>5977.21852438446</v>
      </c>
      <c r="U43" s="35" t="n">
        <f aca="false">Bond_Flows!$U$35+Bond_Flows!$U$36+Loan_Fund_Paths!$U$28+BDC_Paths!$U$66+Interval_Fund_Paths!$U$146+Fees_Tax!$U$16</f>
        <v>389831.496153495</v>
      </c>
      <c r="V43" s="35" t="n">
        <f aca="false">Bond_Flows!$V$35+Bond_Flows!$V$36+Loan_Fund_Paths!$V$28+BDC_Paths!$V$66+Interval_Fund_Paths!$V$146+Fees_Tax!$V$16</f>
        <v>19204.6878121378</v>
      </c>
      <c r="W43" s="35" t="n">
        <f aca="false">Bond_Flows!$W$35+Bond_Flows!$W$36+Loan_Fund_Paths!$W$28+BDC_Paths!$W$66+Interval_Fund_Paths!$W$146+Fees_Tax!$W$16</f>
        <v>14323.1297655917</v>
      </c>
      <c r="X43" s="35" t="n">
        <f aca="false">Bond_Flows!$X$35+Bond_Flows!$X$36+Loan_Fund_Paths!$X$28+BDC_Paths!$X$66+Interval_Fund_Paths!$X$146+Fees_Tax!$X$16</f>
        <v>10680.9746613528</v>
      </c>
      <c r="Y43" s="35" t="n">
        <f aca="false">Bond_Flows!$Y$35+Bond_Flows!$Y$36+Loan_Fund_Paths!$Y$28+BDC_Paths!$Y$66+Interval_Fund_Paths!$Y$146+Fees_Tax!$Y$16</f>
        <v>29719.7561571403</v>
      </c>
    </row>
    <row r="44" customFormat="false" ht="15" hidden="false" customHeight="false" outlineLevel="0" collapsed="false">
      <c r="B44" s="6" t="s">
        <v>319</v>
      </c>
    </row>
    <row r="46" customFormat="false" ht="15" hidden="false" customHeight="false" outlineLevel="0" collapsed="false">
      <c r="B46" s="7" t="s">
        <v>320</v>
      </c>
      <c r="C46" s="8"/>
      <c r="D46" s="8"/>
    </row>
    <row r="47" customFormat="false" ht="15" hidden="false" customHeight="false" outlineLevel="0" collapsed="false">
      <c r="B47" s="9" t="s">
        <v>321</v>
      </c>
      <c r="C47" s="17" t="n">
        <f aca="false">Assumptions!$C$43</f>
        <v>0.0095</v>
      </c>
    </row>
    <row r="48" customFormat="false" ht="15" hidden="false" customHeight="false" outlineLevel="0" collapsed="false">
      <c r="B48" s="9" t="s">
        <v>322</v>
      </c>
      <c r="C48" s="17" t="n">
        <f aca="false">Interval_Fund!$C$31</f>
        <v>0.043140625</v>
      </c>
    </row>
    <row r="49" customFormat="false" ht="15" hidden="false" customHeight="false" outlineLevel="0" collapsed="false">
      <c r="B49" s="9" t="s">
        <v>323</v>
      </c>
      <c r="C49" s="17" t="n">
        <f aca="false">BDCs!$C$62</f>
        <v>0.061519425</v>
      </c>
    </row>
    <row r="51" customFormat="false" ht="15" hidden="false" customHeight="false" outlineLevel="0" collapsed="false">
      <c r="B51" s="7" t="s">
        <v>324</v>
      </c>
      <c r="C51" s="8"/>
      <c r="D51" s="8"/>
    </row>
    <row r="52" customFormat="false" ht="15" hidden="false" customHeight="false" outlineLevel="0" collapsed="false">
      <c r="B52" s="9" t="s">
        <v>325</v>
      </c>
      <c r="C52" s="12" t="n">
        <v>0.35</v>
      </c>
    </row>
    <row r="53" customFormat="false" ht="15" hidden="false" customHeight="false" outlineLevel="0" collapsed="false">
      <c r="B53" s="9" t="s">
        <v>326</v>
      </c>
      <c r="C53" s="17" t="n">
        <f aca="false">Assumptions!$C$6</f>
        <v>0.04</v>
      </c>
    </row>
    <row r="54" customFormat="false" ht="15" hidden="false" customHeight="false" outlineLevel="0" collapsed="false">
      <c r="B54" s="9" t="s">
        <v>327</v>
      </c>
      <c r="C54" s="17" t="n">
        <f aca="false">$C$53*(1-$C$52)</f>
        <v>0.026</v>
      </c>
    </row>
    <row r="55" customFormat="false" ht="15" hidden="false" customHeight="false" outlineLevel="0" collapsed="false">
      <c r="B55" s="9" t="s">
        <v>328</v>
      </c>
      <c r="C55" s="17" t="n">
        <f aca="false">$C$38*(1-$C$52)</f>
        <v>0.0484795460717167</v>
      </c>
    </row>
    <row r="56" customFormat="false" ht="15" hidden="false" customHeight="false" outlineLevel="0" collapsed="false">
      <c r="B56" s="9" t="s">
        <v>329</v>
      </c>
      <c r="C56" s="17" t="n">
        <f aca="false">$C$42*(1-$C$52)</f>
        <v>0.0391386360967447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330</v>
      </c>
    </row>
    <row r="3" customFormat="false" ht="15" hidden="false" customHeight="false" outlineLevel="0" collapsed="false">
      <c r="B3" s="6" t="s">
        <v>331</v>
      </c>
    </row>
    <row r="5" customFormat="false" ht="21.75" hidden="false" customHeight="true" outlineLevel="0" collapsed="false">
      <c r="B5" s="13" t="s">
        <v>332</v>
      </c>
      <c r="C5" s="14" t="s">
        <v>333</v>
      </c>
      <c r="D5" s="14" t="s">
        <v>334</v>
      </c>
      <c r="E5" s="14" t="s">
        <v>335</v>
      </c>
    </row>
    <row r="6" customFormat="false" ht="15" hidden="false" customHeight="false" outlineLevel="0" collapsed="false">
      <c r="B6" s="9" t="s">
        <v>336</v>
      </c>
      <c r="C6" s="9" t="s">
        <v>337</v>
      </c>
      <c r="D6" s="47" t="n">
        <f aca="false">(ROUND((Bonds!$C$27*100),2)-ROUND((Bonds!$C$26*100),2))</f>
        <v>4.1</v>
      </c>
      <c r="E6" s="48" t="s">
        <v>338</v>
      </c>
    </row>
    <row r="7" customFormat="false" ht="15" hidden="false" customHeight="false" outlineLevel="0" collapsed="false">
      <c r="B7" s="9" t="s">
        <v>339</v>
      </c>
      <c r="C7" s="9" t="s">
        <v>340</v>
      </c>
      <c r="D7" s="47" t="n">
        <f aca="false">(ROUND((Bonds!$C$26*100),2)-(Assumptions!$C$6*100))</f>
        <v>0.22</v>
      </c>
      <c r="E7" s="48" t="s">
        <v>341</v>
      </c>
    </row>
    <row r="8" customFormat="false" ht="15" hidden="false" customHeight="false" outlineLevel="0" collapsed="false">
      <c r="B8" s="9" t="s">
        <v>342</v>
      </c>
      <c r="C8" s="9" t="s">
        <v>343</v>
      </c>
      <c r="D8" s="47" t="n">
        <f aca="false">(Loan_Fund!$C$6*Assumptions!$C$41)</f>
        <v>75000</v>
      </c>
      <c r="E8" s="48" t="s">
        <v>344</v>
      </c>
    </row>
    <row r="9" customFormat="false" ht="15" hidden="false" customHeight="false" outlineLevel="0" collapsed="false">
      <c r="B9" s="9" t="s">
        <v>345</v>
      </c>
      <c r="C9" s="9" t="s">
        <v>346</v>
      </c>
      <c r="D9" s="47" t="n">
        <f aca="false">(Loan_Fund!$C$6*ROUND(Loan_Fund!$C$11,3))</f>
        <v>74212.5</v>
      </c>
      <c r="E9" s="48" t="s">
        <v>347</v>
      </c>
    </row>
    <row r="10" customFormat="false" ht="15" hidden="false" customHeight="false" outlineLevel="0" collapsed="false">
      <c r="B10" s="9" t="s">
        <v>348</v>
      </c>
      <c r="C10" s="9" t="s">
        <v>349</v>
      </c>
      <c r="D10" s="47" t="n">
        <f aca="false">(Loan_Fund!$C$6*ROUND(Loan_Fund!$C$12,3))</f>
        <v>73440</v>
      </c>
      <c r="E10" s="48" t="s">
        <v>350</v>
      </c>
    </row>
    <row r="11" customFormat="false" ht="15" hidden="false" customHeight="false" outlineLevel="0" collapsed="false">
      <c r="B11" s="9" t="s">
        <v>351</v>
      </c>
      <c r="C11" s="9" t="s">
        <v>352</v>
      </c>
      <c r="D11" s="47" t="n">
        <f aca="false">(Loan_Fund!$C$6*ROUND(Loan_Fund!$C$13,3))</f>
        <v>72675</v>
      </c>
      <c r="E11" s="48" t="s">
        <v>353</v>
      </c>
    </row>
    <row r="12" customFormat="false" ht="15" hidden="false" customHeight="false" outlineLevel="0" collapsed="false">
      <c r="B12" s="9" t="s">
        <v>354</v>
      </c>
      <c r="C12" s="9" t="s">
        <v>355</v>
      </c>
      <c r="D12" s="49" t="n">
        <f aca="false">((ROUND(Loan_Fund!$C$12,3)-ROUND(Loan_Fund!$C$13,3))*100)</f>
        <v>10.2</v>
      </c>
      <c r="E12" s="48" t="s">
        <v>356</v>
      </c>
    </row>
    <row r="13" customFormat="false" ht="15" hidden="false" customHeight="false" outlineLevel="0" collapsed="false">
      <c r="B13" s="9" t="s">
        <v>357</v>
      </c>
      <c r="C13" s="9" t="s">
        <v>358</v>
      </c>
      <c r="D13" s="31" t="n">
        <f aca="false">((Assumptions!$C$41-ROUND(Loan_Fund!$C$13,3))*100)</f>
        <v>31.0000000000001</v>
      </c>
      <c r="E13" s="48" t="s">
        <v>359</v>
      </c>
    </row>
    <row r="14" customFormat="false" ht="15" hidden="false" customHeight="false" outlineLevel="0" collapsed="false">
      <c r="B14" s="9" t="s">
        <v>360</v>
      </c>
      <c r="C14" s="9" t="s">
        <v>361</v>
      </c>
      <c r="D14" s="31" t="n">
        <f aca="false">((Loan_Fund!$C$6*Derived!$D$13)/100)</f>
        <v>2325</v>
      </c>
      <c r="E14" s="48" t="s">
        <v>362</v>
      </c>
    </row>
    <row r="15" customFormat="false" ht="15" hidden="false" customHeight="false" outlineLevel="0" collapsed="false">
      <c r="B15" s="9" t="s">
        <v>363</v>
      </c>
      <c r="C15" s="9" t="s">
        <v>364</v>
      </c>
      <c r="D15" s="47" t="n">
        <f aca="false">(ROUND((Fees_Tax!$D$33*100),2)-ROUND((BDCs!$D$33*100),2))</f>
        <v>1.58</v>
      </c>
      <c r="E15" s="48" t="s">
        <v>365</v>
      </c>
    </row>
    <row r="16" customFormat="false" ht="15" hidden="false" customHeight="false" outlineLevel="0" collapsed="false">
      <c r="B16" s="9" t="s">
        <v>366</v>
      </c>
      <c r="C16" s="9" t="s">
        <v>367</v>
      </c>
      <c r="D16" s="47" t="n">
        <f aca="false">((5*Assumptions!$E$52)+(7*Assumptions!$E$64))</f>
        <v>3.4</v>
      </c>
      <c r="E16" s="48" t="s">
        <v>368</v>
      </c>
    </row>
    <row r="17" customFormat="false" ht="15" hidden="false" customHeight="false" outlineLevel="0" collapsed="false">
      <c r="B17" s="9" t="s">
        <v>369</v>
      </c>
      <c r="C17" s="9" t="s">
        <v>370</v>
      </c>
      <c r="D17" s="49" t="n">
        <f aca="false">((1-(BDCs!$E$25/Assumptions!$E$51))*100)</f>
        <v>11.6160847804512</v>
      </c>
      <c r="E17" s="48" t="s">
        <v>371</v>
      </c>
    </row>
    <row r="18" customFormat="false" ht="15" hidden="false" customHeight="false" outlineLevel="0" collapsed="false">
      <c r="B18" s="9" t="s">
        <v>372</v>
      </c>
      <c r="C18" s="9" t="s">
        <v>373</v>
      </c>
      <c r="D18" s="50" t="n">
        <f aca="false">(Assumptions!$E$50-ROUND(BDCs!$E$27,3))</f>
        <v>1.543</v>
      </c>
      <c r="E18" s="48" t="s">
        <v>374</v>
      </c>
    </row>
    <row r="19" customFormat="false" ht="15" hidden="false" customHeight="false" outlineLevel="0" collapsed="false">
      <c r="B19" s="9" t="s">
        <v>375</v>
      </c>
      <c r="C19" s="9" t="s">
        <v>376</v>
      </c>
      <c r="D19" s="31" t="n">
        <f aca="false">(-(ROUND(BDCs!$E$30,0)+ROUND(BDCs!$E$31,0)))</f>
        <v>4285</v>
      </c>
      <c r="E19" s="48" t="s">
        <v>377</v>
      </c>
    </row>
    <row r="20" customFormat="false" ht="15" hidden="false" customHeight="false" outlineLevel="0" collapsed="false">
      <c r="B20" s="9" t="s">
        <v>378</v>
      </c>
      <c r="C20" s="9" t="s">
        <v>379</v>
      </c>
      <c r="D20" s="47" t="n">
        <f aca="false">((1+Assumptions!$C$54)*(BDCs!$C$12*100))</f>
        <v>22.89</v>
      </c>
      <c r="E20" s="48" t="s">
        <v>380</v>
      </c>
    </row>
    <row r="21" customFormat="false" ht="15" hidden="false" customHeight="false" outlineLevel="0" collapsed="false">
      <c r="B21" s="9" t="s">
        <v>381</v>
      </c>
      <c r="C21" s="9" t="s">
        <v>382</v>
      </c>
      <c r="D21" s="47" t="n">
        <f aca="false">(Derived!$D$20*(1-((BDCs!$C$13*100)/100)))</f>
        <v>22.6611</v>
      </c>
      <c r="E21" s="48" t="s">
        <v>383</v>
      </c>
    </row>
    <row r="22" customFormat="false" ht="15" hidden="false" customHeight="false" outlineLevel="0" collapsed="false">
      <c r="B22" s="9" t="s">
        <v>384</v>
      </c>
      <c r="C22" s="9" t="s">
        <v>385</v>
      </c>
      <c r="D22" s="47" t="n">
        <f aca="false">((1+Assumptions!$E$54)*(BDCs!$E$12*100))</f>
        <v>28.905</v>
      </c>
      <c r="E22" s="48" t="s">
        <v>386</v>
      </c>
    </row>
    <row r="23" customFormat="false" ht="15" hidden="false" customHeight="false" outlineLevel="0" collapsed="false">
      <c r="B23" s="9" t="s">
        <v>387</v>
      </c>
      <c r="C23" s="9" t="s">
        <v>388</v>
      </c>
      <c r="D23" s="47" t="n">
        <f aca="false">(ROUND((BDCs!$E$18*100),2)-ROUND((BDCs!$E$19*100),2))</f>
        <v>2.67</v>
      </c>
      <c r="E23" s="48" t="s">
        <v>389</v>
      </c>
    </row>
    <row r="24" customFormat="false" ht="15" hidden="false" customHeight="false" outlineLevel="0" collapsed="false">
      <c r="B24" s="9" t="s">
        <v>390</v>
      </c>
      <c r="C24" s="9" t="s">
        <v>391</v>
      </c>
      <c r="D24" s="47" t="n">
        <f aca="false">((1+Assumptions!$E$54)*(Assumptions!$E$56*100))</f>
        <v>4.1125</v>
      </c>
      <c r="E24" s="48" t="s">
        <v>392</v>
      </c>
    </row>
    <row r="25" customFormat="false" ht="15" hidden="false" customHeight="false" outlineLevel="0" collapsed="false">
      <c r="B25" s="9" t="s">
        <v>393</v>
      </c>
      <c r="C25" s="9" t="s">
        <v>394</v>
      </c>
      <c r="D25" s="47" t="n">
        <f aca="false">((ROUND(Derived!$D$24,2)+(Assumptions!$E$57*100))+Derived!$D$23)</f>
        <v>7.88</v>
      </c>
      <c r="E25" s="48" t="s">
        <v>395</v>
      </c>
    </row>
    <row r="26" customFormat="false" ht="15" hidden="false" customHeight="false" outlineLevel="0" collapsed="false">
      <c r="B26" s="9" t="s">
        <v>396</v>
      </c>
      <c r="C26" s="9" t="s">
        <v>397</v>
      </c>
      <c r="D26" s="47" t="n">
        <f aca="false">(((4*Assumptions!$E$64)/Assumptions!$E$50)*100)</f>
        <v>11.1111111111111</v>
      </c>
      <c r="E26" s="48" t="s">
        <v>398</v>
      </c>
    </row>
    <row r="27" customFormat="false" ht="15" hidden="false" customHeight="false" outlineLevel="0" collapsed="false">
      <c r="B27" s="9" t="s">
        <v>399</v>
      </c>
      <c r="C27" s="9" t="s">
        <v>400</v>
      </c>
      <c r="D27" s="49" t="n">
        <f aca="false">((1-(ROUND(BDCs!$E$27,3)/Assumptions!$E$50))*100)</f>
        <v>17.1444444444445</v>
      </c>
      <c r="E27" s="48" t="s">
        <v>401</v>
      </c>
    </row>
    <row r="28" customFormat="false" ht="15" hidden="false" customHeight="false" outlineLevel="0" collapsed="false">
      <c r="B28" s="9" t="s">
        <v>402</v>
      </c>
      <c r="C28" s="9" t="s">
        <v>403</v>
      </c>
      <c r="D28" s="47" t="n">
        <f aca="false">(((4*Assumptions!$C$71)/ROUND(Interval_Fund!$C$42,3))*100)</f>
        <v>9.17094644167278</v>
      </c>
      <c r="E28" s="48" t="s">
        <v>404</v>
      </c>
    </row>
    <row r="29" customFormat="false" ht="15" hidden="false" customHeight="false" outlineLevel="0" collapsed="false">
      <c r="B29" s="9" t="s">
        <v>405</v>
      </c>
      <c r="C29" s="9" t="s">
        <v>406</v>
      </c>
      <c r="D29" s="47" t="n">
        <f aca="false">(((4*Assumptions!$C$71)/ROUND(Interval_Fund!$C$43,3))*100)</f>
        <v>9.36173753848714</v>
      </c>
      <c r="E29" s="48" t="s">
        <v>407</v>
      </c>
    </row>
    <row r="30" customFormat="false" ht="15" hidden="false" customHeight="false" outlineLevel="0" collapsed="false">
      <c r="B30" s="9" t="s">
        <v>408</v>
      </c>
      <c r="C30" s="9" t="s">
        <v>409</v>
      </c>
      <c r="D30" s="47" t="n">
        <f aca="false">(((4*Assumptions!$C$71)/ROUND(Interval_Fund!$C$44,3))*100)</f>
        <v>9.5756905136826</v>
      </c>
      <c r="E30" s="48" t="s">
        <v>410</v>
      </c>
    </row>
    <row r="31" customFormat="false" ht="15" hidden="false" customHeight="false" outlineLevel="0" collapsed="false">
      <c r="B31" s="9" t="s">
        <v>411</v>
      </c>
      <c r="C31" s="9" t="s">
        <v>403</v>
      </c>
      <c r="D31" s="47" t="n">
        <f aca="false">(((4*Assumptions!$C$71)/ROUND(Interval_Fund!$C$42,3))*100)</f>
        <v>9.17094644167278</v>
      </c>
      <c r="E31" s="48" t="s">
        <v>412</v>
      </c>
    </row>
    <row r="32" customFormat="false" ht="15" hidden="false" customHeight="false" outlineLevel="0" collapsed="false">
      <c r="B32" s="9" t="s">
        <v>413</v>
      </c>
      <c r="C32" s="9" t="s">
        <v>406</v>
      </c>
      <c r="D32" s="47" t="n">
        <f aca="false">(((4*Assumptions!$C$71)/ROUND(Interval_Fund!$C$43,3))*100)</f>
        <v>9.36173753848714</v>
      </c>
      <c r="E32" s="48" t="s">
        <v>414</v>
      </c>
    </row>
    <row r="33" customFormat="false" ht="15" hidden="false" customHeight="false" outlineLevel="0" collapsed="false">
      <c r="B33" s="9" t="s">
        <v>415</v>
      </c>
      <c r="C33" s="9" t="s">
        <v>409</v>
      </c>
      <c r="D33" s="47" t="n">
        <f aca="false">(((4*Assumptions!$C$71)/ROUND(Interval_Fund!$C$44,3))*100)</f>
        <v>9.5756905136826</v>
      </c>
      <c r="E33" s="48" t="s">
        <v>416</v>
      </c>
    </row>
    <row r="34" customFormat="false" ht="15" hidden="false" customHeight="false" outlineLevel="0" collapsed="false">
      <c r="B34" s="9" t="s">
        <v>417</v>
      </c>
      <c r="C34" s="9" t="s">
        <v>418</v>
      </c>
      <c r="D34" s="31" t="n">
        <f aca="false">(Fees_Tax!$C$37-ROUND(Interval_Fund!$C$49,0))</f>
        <v>6013</v>
      </c>
      <c r="E34" s="48" t="s">
        <v>419</v>
      </c>
    </row>
    <row r="35" customFormat="false" ht="15" hidden="false" customHeight="false" outlineLevel="0" collapsed="false">
      <c r="B35" s="9" t="s">
        <v>420</v>
      </c>
      <c r="C35" s="9" t="s">
        <v>421</v>
      </c>
      <c r="D35" s="50" t="n">
        <f aca="false">(ROUND(Interval_Fund!$C$44,3)+(12*Assumptions!$C$71))</f>
        <v>30.247</v>
      </c>
      <c r="E35" s="48" t="s">
        <v>422</v>
      </c>
    </row>
    <row r="36" customFormat="false" ht="15" hidden="false" customHeight="false" outlineLevel="0" collapsed="false">
      <c r="B36" s="9" t="s">
        <v>423</v>
      </c>
      <c r="C36" s="9" t="s">
        <v>424</v>
      </c>
      <c r="D36" s="49" t="n">
        <f aca="false">((((Interval_Fund!$C$53*100)+2)/7.5)*100)</f>
        <v>93.3333333333333</v>
      </c>
      <c r="E36" s="48" t="s">
        <v>425</v>
      </c>
    </row>
    <row r="37" customFormat="false" ht="15" hidden="false" customHeight="false" outlineLevel="0" collapsed="false">
      <c r="B37" s="9" t="s">
        <v>426</v>
      </c>
      <c r="C37" s="9" t="s">
        <v>427</v>
      </c>
      <c r="D37" s="31" t="n">
        <f aca="false">(100-(Liquidity!$C$14*100))</f>
        <v>80</v>
      </c>
      <c r="E37" s="48" t="s">
        <v>428</v>
      </c>
    </row>
    <row r="38" customFormat="false" ht="15" hidden="false" customHeight="false" outlineLevel="0" collapsed="false">
      <c r="B38" s="9" t="s">
        <v>429</v>
      </c>
      <c r="C38" s="9" t="s">
        <v>430</v>
      </c>
      <c r="D38" s="31" t="n">
        <f aca="false">((Interval_Fund!$C$6*(Liquidity!$C$17*100))/100)</f>
        <v>1000</v>
      </c>
      <c r="E38" s="48" t="s">
        <v>431</v>
      </c>
    </row>
    <row r="39" customFormat="false" ht="15" hidden="false" customHeight="false" outlineLevel="0" collapsed="false">
      <c r="B39" s="9" t="s">
        <v>432</v>
      </c>
      <c r="C39" s="9" t="s">
        <v>433</v>
      </c>
      <c r="D39" s="31" t="n">
        <f aca="false">(Interval_Fund!$C$6-Derived!$D$38)</f>
        <v>3000</v>
      </c>
      <c r="E39" s="48" t="s">
        <v>434</v>
      </c>
    </row>
    <row r="40" customFormat="false" ht="15" hidden="false" customHeight="false" outlineLevel="0" collapsed="false">
      <c r="B40" s="9" t="s">
        <v>435</v>
      </c>
      <c r="C40" s="9" t="s">
        <v>436</v>
      </c>
      <c r="D40" s="31" t="n">
        <f aca="false">((Derived!$D$39*(Liquidity!$C$17*100))/100)</f>
        <v>750</v>
      </c>
      <c r="E40" s="48" t="s">
        <v>437</v>
      </c>
    </row>
    <row r="41" customFormat="false" ht="15" hidden="false" customHeight="false" outlineLevel="0" collapsed="false">
      <c r="B41" s="9" t="s">
        <v>438</v>
      </c>
      <c r="C41" s="9" t="s">
        <v>439</v>
      </c>
      <c r="D41" s="31" t="n">
        <f aca="false">(Derived!$D$39-Derived!$D$40)</f>
        <v>2250</v>
      </c>
      <c r="E41" s="48" t="s">
        <v>440</v>
      </c>
    </row>
    <row r="42" customFormat="false" ht="15" hidden="false" customHeight="false" outlineLevel="0" collapsed="false">
      <c r="B42" s="9" t="s">
        <v>441</v>
      </c>
      <c r="C42" s="9" t="s">
        <v>442</v>
      </c>
      <c r="D42" s="49" t="n">
        <f aca="false">((Derived!$D$41*(Liquidity!$C$17*100))/100)</f>
        <v>562.5</v>
      </c>
      <c r="E42" s="48" t="s">
        <v>443</v>
      </c>
    </row>
    <row r="43" customFormat="false" ht="15" hidden="false" customHeight="false" outlineLevel="0" collapsed="false">
      <c r="B43" s="9" t="s">
        <v>444</v>
      </c>
      <c r="C43" s="9" t="s">
        <v>445</v>
      </c>
      <c r="D43" s="47" t="n">
        <f aca="false">(((1-((Liquidity!$C$17*100)/100))^2)*100)</f>
        <v>56.25</v>
      </c>
      <c r="E43" s="48" t="s">
        <v>446</v>
      </c>
    </row>
    <row r="44" customFormat="false" ht="15" hidden="false" customHeight="false" outlineLevel="0" collapsed="false">
      <c r="B44" s="9" t="s">
        <v>447</v>
      </c>
      <c r="C44" s="9" t="s">
        <v>448</v>
      </c>
      <c r="D44" s="49" t="n">
        <f aca="false">(((1-((Liquidity!$C$17*100)/100))^3)*100)</f>
        <v>42.1875</v>
      </c>
      <c r="E44" s="48" t="s">
        <v>449</v>
      </c>
    </row>
    <row r="45" customFormat="false" ht="15" hidden="false" customHeight="false" outlineLevel="0" collapsed="false">
      <c r="B45" s="9" t="s">
        <v>450</v>
      </c>
      <c r="C45" s="9" t="s">
        <v>451</v>
      </c>
      <c r="D45" s="31" t="n">
        <f aca="false">(Derived!$D$38*ROUND(Interval_Fund!$C$44,3))</f>
        <v>23497</v>
      </c>
      <c r="E45" s="48" t="s">
        <v>452</v>
      </c>
    </row>
    <row r="46" customFormat="false" ht="15" hidden="false" customHeight="false" outlineLevel="0" collapsed="false">
      <c r="B46" s="9" t="s">
        <v>453</v>
      </c>
      <c r="C46" s="9" t="s">
        <v>454</v>
      </c>
      <c r="D46" s="31" t="n">
        <f aca="false">(Interval_Fund!$C$6*Assumptions!$C$71)</f>
        <v>2250</v>
      </c>
      <c r="E46" s="48" t="s">
        <v>455</v>
      </c>
    </row>
    <row r="47" customFormat="false" ht="15" hidden="false" customHeight="false" outlineLevel="0" collapsed="false">
      <c r="B47" s="9" t="s">
        <v>456</v>
      </c>
      <c r="C47" s="9" t="s">
        <v>457</v>
      </c>
      <c r="D47" s="31" t="n">
        <f aca="false">((((ROUND(Liquidity!$C$19,0)+ROUND(Liquidity!$C$20,0))+ROUND(Liquidity!$C$21,0))+ROUND(Liquidity!$C$22,0))+ROUND(Liquidity!$C$23,0))</f>
        <v>99676</v>
      </c>
      <c r="E47" s="48" t="s">
        <v>458</v>
      </c>
    </row>
    <row r="48" customFormat="false" ht="15" hidden="false" customHeight="false" outlineLevel="0" collapsed="false">
      <c r="B48" s="9" t="s">
        <v>459</v>
      </c>
      <c r="C48" s="9" t="s">
        <v>460</v>
      </c>
      <c r="D48" s="31" t="n">
        <f aca="false">(ROUND(Interval_Fund!$C$49,0)+Derived!$D$46)</f>
        <v>96237</v>
      </c>
      <c r="E48" s="48" t="s">
        <v>461</v>
      </c>
    </row>
    <row r="49" customFormat="false" ht="15" hidden="false" customHeight="false" outlineLevel="0" collapsed="false">
      <c r="B49" s="9" t="s">
        <v>462</v>
      </c>
      <c r="C49" s="9" t="s">
        <v>463</v>
      </c>
      <c r="D49" s="31" t="n">
        <f aca="false">(Derived!$D$47-Derived!$D$48)</f>
        <v>3439</v>
      </c>
      <c r="E49" s="48" t="s">
        <v>464</v>
      </c>
    </row>
    <row r="50" customFormat="false" ht="15" hidden="false" customHeight="false" outlineLevel="0" collapsed="false">
      <c r="B50" s="9" t="s">
        <v>465</v>
      </c>
      <c r="C50" s="9" t="s">
        <v>466</v>
      </c>
      <c r="D50" s="47" t="n">
        <f aca="false">(Interval_Fund!$C$24*100)</f>
        <v>5</v>
      </c>
      <c r="E50" s="48" t="s">
        <v>467</v>
      </c>
    </row>
    <row r="51" customFormat="false" ht="15" hidden="false" customHeight="false" outlineLevel="0" collapsed="false">
      <c r="B51" s="9" t="s">
        <v>468</v>
      </c>
      <c r="C51" s="9" t="s">
        <v>469</v>
      </c>
      <c r="D51" s="47" t="n">
        <f aca="false">(ROUND((Interval_Fund!$C$22*100),2)-(Interval_Fund!$C$24*100))</f>
        <v>5.21</v>
      </c>
      <c r="E51" s="48" t="s">
        <v>470</v>
      </c>
    </row>
    <row r="52" customFormat="false" ht="15" hidden="false" customHeight="false" outlineLevel="0" collapsed="false">
      <c r="B52" s="9" t="s">
        <v>471</v>
      </c>
      <c r="C52" s="9" t="s">
        <v>472</v>
      </c>
      <c r="D52" s="47" t="n">
        <f aca="false">(((Interval_Fund!$C$23*100)/100)*Derived!$D$51)</f>
        <v>0.65125</v>
      </c>
      <c r="E52" s="48" t="s">
        <v>473</v>
      </c>
    </row>
    <row r="53" customFormat="false" ht="15" hidden="false" customHeight="false" outlineLevel="0" collapsed="false">
      <c r="B53" s="9" t="s">
        <v>474</v>
      </c>
      <c r="C53" s="9" t="s">
        <v>475</v>
      </c>
      <c r="D53" s="31" t="n">
        <f aca="false">(ROUND(Interval_Fund!$C$38,0)+ROUND(Interval_Fund!$C$39,0))</f>
        <v>9002</v>
      </c>
      <c r="E53" s="48" t="s">
        <v>476</v>
      </c>
    </row>
    <row r="54" customFormat="false" ht="15" hidden="false" customHeight="false" outlineLevel="0" collapsed="false">
      <c r="B54" s="9" t="s">
        <v>477</v>
      </c>
      <c r="C54" s="9" t="s">
        <v>478</v>
      </c>
      <c r="D54" s="31" t="n">
        <f aca="false">Derived!$D$46</f>
        <v>2250</v>
      </c>
      <c r="E54" s="48" t="s">
        <v>455</v>
      </c>
    </row>
    <row r="55" customFormat="false" ht="15" hidden="false" customHeight="false" outlineLevel="0" collapsed="false">
      <c r="B55" s="9" t="s">
        <v>479</v>
      </c>
      <c r="C55" s="9" t="s">
        <v>480</v>
      </c>
      <c r="D55" s="31" t="n">
        <f aca="false">(4*Derived!$D$46)</f>
        <v>9000</v>
      </c>
      <c r="E55" s="48" t="s">
        <v>481</v>
      </c>
    </row>
    <row r="56" customFormat="false" ht="15" hidden="false" customHeight="false" outlineLevel="0" collapsed="false">
      <c r="B56" s="9" t="s">
        <v>482</v>
      </c>
      <c r="C56" s="9" t="s">
        <v>483</v>
      </c>
      <c r="D56" s="47" t="n">
        <f aca="false">(1-((Fees_Tax!$C$52*100)/100))</f>
        <v>0.65</v>
      </c>
      <c r="E56" s="48" t="s">
        <v>473</v>
      </c>
    </row>
    <row r="57" customFormat="false" ht="15" hidden="false" customHeight="false" outlineLevel="0" collapsed="false">
      <c r="B57" s="9" t="s">
        <v>484</v>
      </c>
      <c r="C57" s="9" t="s">
        <v>485</v>
      </c>
      <c r="D57" s="47" t="n">
        <f aca="false">(ROUND((Fees_Tax!$C$56*100),2)-ROUND((Fees_Tax!$C$54*100),2))</f>
        <v>1.31</v>
      </c>
      <c r="E57" s="48" t="s">
        <v>486</v>
      </c>
    </row>
    <row r="58" customFormat="false" ht="15" hidden="false" customHeight="false" outlineLevel="0" collapsed="false">
      <c r="B58" s="9" t="s">
        <v>487</v>
      </c>
      <c r="C58" s="9" t="s">
        <v>488</v>
      </c>
      <c r="D58" s="31" t="n">
        <f aca="false">((Interval_Fund!$C$48*(Fees_Tax!$C$52*100))/100)</f>
        <v>9450</v>
      </c>
      <c r="E58" s="48" t="s">
        <v>489</v>
      </c>
    </row>
    <row r="59" customFormat="false" ht="15" hidden="false" customHeight="false" outlineLevel="0" collapsed="false">
      <c r="B59" s="9" t="s">
        <v>490</v>
      </c>
      <c r="C59" s="9" t="s">
        <v>491</v>
      </c>
      <c r="D59" s="31" t="n">
        <f aca="false">Derived!$D$34</f>
        <v>6013</v>
      </c>
      <c r="E59" s="48" t="s">
        <v>419</v>
      </c>
    </row>
    <row r="60" customFormat="false" ht="15" hidden="false" customHeight="false" outlineLevel="0" collapsed="false">
      <c r="B60" s="9" t="s">
        <v>492</v>
      </c>
      <c r="C60" s="9" t="s">
        <v>493</v>
      </c>
      <c r="D60" s="31" t="n">
        <f aca="false">((ROUND(BDCs!$E$29,0)*(Fees_Tax!$C$52*100))/100)</f>
        <v>3305.4</v>
      </c>
      <c r="E60" s="48" t="s">
        <v>494</v>
      </c>
    </row>
    <row r="61" customFormat="false" ht="15" hidden="false" customHeight="false" outlineLevel="0" collapsed="false">
      <c r="B61" s="9" t="s">
        <v>495</v>
      </c>
      <c r="C61" s="9" t="s">
        <v>496</v>
      </c>
      <c r="D61" s="31" t="n">
        <f aca="false">((Assumptions!$E$52-Assumptions!$E$64)*BDCs!$E$28)</f>
        <v>222.222222222222</v>
      </c>
      <c r="E61" s="48" t="s">
        <v>497</v>
      </c>
    </row>
    <row r="62" customFormat="false" ht="15" hidden="false" customHeight="false" outlineLevel="0" collapsed="false">
      <c r="B62" s="9" t="s">
        <v>498</v>
      </c>
      <c r="C62" s="9" t="s">
        <v>499</v>
      </c>
      <c r="D62" s="47" t="n">
        <f aca="false">((Assumptions!$C$29*(Assumptions!$D$37*100))/100)</f>
        <v>1062.5</v>
      </c>
      <c r="E62" s="48" t="s">
        <v>500</v>
      </c>
    </row>
    <row r="63" customFormat="false" ht="15" hidden="false" customHeight="false" outlineLevel="0" collapsed="false">
      <c r="B63" s="9" t="s">
        <v>501</v>
      </c>
      <c r="C63" s="9" t="s">
        <v>502</v>
      </c>
      <c r="D63" s="47" t="n">
        <f aca="false">(Derived!$D$62/2)</f>
        <v>531.25</v>
      </c>
      <c r="E63" s="48" t="s">
        <v>503</v>
      </c>
    </row>
    <row r="64" customFormat="false" ht="15" hidden="false" customHeight="false" outlineLevel="0" collapsed="false">
      <c r="B64" s="9" t="s">
        <v>504</v>
      </c>
      <c r="C64" s="9" t="s">
        <v>505</v>
      </c>
      <c r="D64" s="31" t="n">
        <f aca="false">(Derived!$D$63+Derived!$D$61)</f>
        <v>753.472222222222</v>
      </c>
      <c r="E64" s="48" t="s">
        <v>506</v>
      </c>
    </row>
    <row r="65" customFormat="false" ht="15" hidden="false" customHeight="false" outlineLevel="0" collapsed="false">
      <c r="B65" s="9" t="s">
        <v>507</v>
      </c>
      <c r="C65" s="9" t="s">
        <v>508</v>
      </c>
      <c r="D65" s="47" t="n">
        <f aca="false">(ROUND((Fees_Tax!$D$31*100),2)-ROUND((Loan_Fund!$C$15*100),2))</f>
        <v>0.930000000000001</v>
      </c>
      <c r="E65" s="48" t="s">
        <v>509</v>
      </c>
    </row>
    <row r="66" customFormat="false" ht="15" hidden="false" customHeight="false" outlineLevel="0" collapsed="false">
      <c r="B66" s="9" t="s">
        <v>510</v>
      </c>
      <c r="C66" s="9" t="s">
        <v>511</v>
      </c>
      <c r="D66" s="47" t="n">
        <f aca="false">(ROUND((Fees_Tax!$D$34*100),2)-ROUND((Fees_Tax!$D$32*100),2))</f>
        <v>4.56</v>
      </c>
      <c r="E66" s="48" t="s">
        <v>512</v>
      </c>
    </row>
    <row r="67" customFormat="false" ht="15" hidden="false" customHeight="false" outlineLevel="0" collapsed="false">
      <c r="B67" s="9" t="s">
        <v>513</v>
      </c>
      <c r="C67" s="9" t="s">
        <v>514</v>
      </c>
      <c r="D67" s="49" t="n">
        <f aca="false">((BDCs!$C$32/Fees_Tax!$C$32)*100)</f>
        <v>29.2409632155823</v>
      </c>
      <c r="E67" s="48" t="s">
        <v>515</v>
      </c>
    </row>
    <row r="68" customFormat="false" ht="15" hidden="false" customHeight="false" outlineLevel="0" collapsed="false">
      <c r="B68" s="9" t="s">
        <v>516</v>
      </c>
      <c r="C68" s="9" t="s">
        <v>517</v>
      </c>
      <c r="D68" s="49" t="n">
        <f aca="false">((BDCs!$E$32/Fees_Tax!$C$34)*100)</f>
        <v>20.6376982961047</v>
      </c>
      <c r="E68" s="48" t="s">
        <v>518</v>
      </c>
    </row>
    <row r="69" customFormat="false" ht="15" hidden="false" customHeight="false" outlineLevel="0" collapsed="false">
      <c r="B69" s="9" t="s">
        <v>519</v>
      </c>
      <c r="C69" s="9" t="s">
        <v>520</v>
      </c>
      <c r="D69" s="47" t="n">
        <f aca="false">Derived!$D$7</f>
        <v>0.22</v>
      </c>
      <c r="E69" s="48" t="s">
        <v>341</v>
      </c>
    </row>
    <row r="70" customFormat="false" ht="15" hidden="false" customHeight="false" outlineLevel="0" collapsed="false">
      <c r="B70" s="9" t="s">
        <v>521</v>
      </c>
      <c r="C70" s="9" t="s">
        <v>522</v>
      </c>
      <c r="D70" s="50" t="n">
        <f aca="false">(ROUND(BDCs!$E$23,3)-ROUND(BDCs!$E$24,3))</f>
        <v>0.395</v>
      </c>
      <c r="E70" s="48" t="s">
        <v>523</v>
      </c>
    </row>
    <row r="71" customFormat="false" ht="15" hidden="false" customHeight="false" outlineLevel="0" collapsed="false">
      <c r="B71" s="9" t="s">
        <v>524</v>
      </c>
      <c r="C71" s="9" t="s">
        <v>525</v>
      </c>
      <c r="D71" s="49" t="n">
        <f aca="false">((Derived!$D$70/ROUND(BDCs!$E$23,3))*100)</f>
        <v>3.68332711674748</v>
      </c>
      <c r="E71" s="48" t="s">
        <v>526</v>
      </c>
    </row>
    <row r="72" customFormat="false" ht="15" hidden="false" customHeight="false" outlineLevel="0" collapsed="false">
      <c r="B72" s="9" t="s">
        <v>527</v>
      </c>
      <c r="C72" s="9" t="s">
        <v>528</v>
      </c>
      <c r="D72" s="50" t="n">
        <f aca="false">(Assumptions!$C$70-ROUND(Interval_Fund!$C$42,3))</f>
        <v>0.466000000000001</v>
      </c>
      <c r="E72" s="48" t="s">
        <v>529</v>
      </c>
    </row>
    <row r="73" customFormat="false" ht="15" hidden="false" customHeight="false" outlineLevel="0" collapsed="false">
      <c r="B73" s="9" t="s">
        <v>530</v>
      </c>
      <c r="C73" s="9" t="s">
        <v>531</v>
      </c>
      <c r="D73" s="49" t="n">
        <f aca="false">((Derived!$D$72/Assumptions!$C$70)*100)</f>
        <v>1.864</v>
      </c>
      <c r="E73" s="48" t="s">
        <v>532</v>
      </c>
    </row>
    <row r="74" customFormat="false" ht="15" hidden="false" customHeight="false" outlineLevel="0" collapsed="false">
      <c r="B74" s="9" t="s">
        <v>533</v>
      </c>
      <c r="C74" s="9" t="s">
        <v>534</v>
      </c>
      <c r="D74" s="31" t="n">
        <f aca="false">(Interval_Fund!$C$6*Derived!$D$72)</f>
        <v>1864</v>
      </c>
      <c r="E74" s="48" t="s">
        <v>535</v>
      </c>
    </row>
    <row r="75" customFormat="false" ht="15" hidden="false" customHeight="false" outlineLevel="0" collapsed="false">
      <c r="B75" s="9" t="s">
        <v>536</v>
      </c>
      <c r="C75" s="9" t="s">
        <v>537</v>
      </c>
      <c r="D75" s="31" t="n">
        <f aca="false">((4*Interval_Fund!$C$6)*Assumptions!$C$71)</f>
        <v>9000</v>
      </c>
      <c r="E75" s="48" t="s">
        <v>481</v>
      </c>
    </row>
    <row r="76" customFormat="false" ht="15" hidden="false" customHeight="false" outlineLevel="0" collapsed="false">
      <c r="B76" s="9" t="s">
        <v>538</v>
      </c>
      <c r="C76" s="9" t="s">
        <v>539</v>
      </c>
      <c r="D76" s="47" t="n">
        <f aca="false">(ROUND((Fees_Tax!$D$34*100),2)-ROUND((BDCs!$E$33*100),2))</f>
        <v>6.91</v>
      </c>
      <c r="E76" s="48" t="s">
        <v>540</v>
      </c>
    </row>
    <row r="77" customFormat="false" ht="15" hidden="false" customHeight="false" outlineLevel="0" collapsed="false">
      <c r="B77" s="9" t="s">
        <v>541</v>
      </c>
      <c r="C77" s="9" t="s">
        <v>542</v>
      </c>
      <c r="D77" s="50" t="n">
        <f aca="false">(ROUND(BDCs!$E$24,3)-ROUND(BDCs!$E$25,3))</f>
        <v>0.386000000000001</v>
      </c>
      <c r="E77" s="48" t="s">
        <v>543</v>
      </c>
    </row>
    <row r="78" customFormat="false" ht="15" hidden="false" customHeight="false" outlineLevel="0" collapsed="false">
      <c r="B78" s="9" t="s">
        <v>544</v>
      </c>
      <c r="C78" s="9" t="s">
        <v>545</v>
      </c>
      <c r="D78" s="50" t="n">
        <f aca="false">(Assumptions!$E$51-ROUND(BDCs!$E$25,3))</f>
        <v>1.307</v>
      </c>
      <c r="E78" s="48" t="s">
        <v>546</v>
      </c>
    </row>
    <row r="79" customFormat="false" ht="15" hidden="false" customHeight="false" outlineLevel="0" collapsed="false">
      <c r="B79" s="9" t="s">
        <v>547</v>
      </c>
      <c r="C79" s="9" t="s">
        <v>548</v>
      </c>
      <c r="D79" s="49" t="n">
        <f aca="false">Derived!$D$17</f>
        <v>11.6160847804512</v>
      </c>
      <c r="E79" s="48" t="s">
        <v>371</v>
      </c>
    </row>
    <row r="80" customFormat="false" ht="15" hidden="false" customHeight="false" outlineLevel="0" collapsed="false">
      <c r="B80" s="9" t="s">
        <v>549</v>
      </c>
      <c r="C80" s="9" t="s">
        <v>550</v>
      </c>
      <c r="D80" s="50" t="n">
        <f aca="false">(Assumptions!$C$51-ROUND(BDCs!$C$25,3))</f>
        <v>0.215</v>
      </c>
      <c r="E80" s="48" t="s">
        <v>551</v>
      </c>
    </row>
    <row r="81" customFormat="false" ht="15" hidden="false" customHeight="false" outlineLevel="0" collapsed="false">
      <c r="B81" s="9" t="s">
        <v>552</v>
      </c>
      <c r="C81" s="9" t="s">
        <v>553</v>
      </c>
      <c r="D81" s="49" t="n">
        <f aca="false">(((Assumptions!$C$51-ROUND(BDCs!$C$25,3))/Assumptions!$C$51)*100)</f>
        <v>1.075</v>
      </c>
      <c r="E81" s="48" t="s">
        <v>554</v>
      </c>
    </row>
    <row r="82" customFormat="false" ht="15" hidden="false" customHeight="false" outlineLevel="0" collapsed="false">
      <c r="B82" s="9" t="s">
        <v>555</v>
      </c>
      <c r="C82" s="9" t="s">
        <v>556</v>
      </c>
      <c r="D82" s="47" t="n">
        <f aca="false">Derived!$D$23</f>
        <v>2.67</v>
      </c>
      <c r="E82" s="48" t="s">
        <v>389</v>
      </c>
    </row>
    <row r="83" customFormat="false" ht="15" hidden="false" customHeight="false" outlineLevel="0" collapsed="false">
      <c r="B83" s="9" t="s">
        <v>557</v>
      </c>
      <c r="C83" s="9" t="s">
        <v>558</v>
      </c>
      <c r="D83" s="47" t="n">
        <f aca="false">Derived!$D$25</f>
        <v>7.88</v>
      </c>
      <c r="E83" s="48" t="s">
        <v>395</v>
      </c>
    </row>
    <row r="84" customFormat="false" ht="15" hidden="false" customHeight="false" outlineLevel="0" collapsed="false">
      <c r="B84" s="9" t="s">
        <v>559</v>
      </c>
      <c r="C84" s="9" t="s">
        <v>560</v>
      </c>
      <c r="D84" s="47" t="n">
        <f aca="false">(((Loan_Fund!$C$18*100)*(100-(Assumptions!$C$9*100)))/100)</f>
        <v>1.4</v>
      </c>
      <c r="E84" s="48" t="s">
        <v>561</v>
      </c>
    </row>
    <row r="85" customFormat="false" ht="15" hidden="false" customHeight="false" outlineLevel="0" collapsed="false">
      <c r="B85" s="9" t="s">
        <v>562</v>
      </c>
      <c r="C85" s="9" t="s">
        <v>563</v>
      </c>
      <c r="D85" s="47" t="n">
        <f aca="false">(((((Assumptions!$C$6*100)+2)+(Assumptions!$C$42*100))-(Assumptions!$C$43*100))-(((Loan_Fund!$C$18*100)*(100-(Assumptions!$C$9*100)))/100))</f>
        <v>7.25</v>
      </c>
      <c r="E85" s="48" t="s">
        <v>564</v>
      </c>
    </row>
    <row r="86" customFormat="false" ht="15" hidden="false" customHeight="false" outlineLevel="0" collapsed="false">
      <c r="B86" s="9" t="s">
        <v>565</v>
      </c>
      <c r="C86" s="9" t="s">
        <v>566</v>
      </c>
      <c r="D86" s="47" t="n">
        <f aca="false">(4*Assumptions!$E$64)</f>
        <v>1</v>
      </c>
      <c r="E86" s="48" t="s">
        <v>567</v>
      </c>
    </row>
    <row r="87" customFormat="false" ht="15" hidden="false" customHeight="false" outlineLevel="0" collapsed="false">
      <c r="B87" s="9" t="s">
        <v>568</v>
      </c>
      <c r="C87" s="9" t="s">
        <v>569</v>
      </c>
      <c r="D87" s="47" t="n">
        <f aca="false">(1+Interval_Fund!$C$12)</f>
        <v>1.75</v>
      </c>
      <c r="E87" s="48" t="s">
        <v>570</v>
      </c>
    </row>
    <row r="88" customFormat="false" ht="15" hidden="false" customHeight="false" outlineLevel="0" collapsed="false">
      <c r="B88" s="9" t="s">
        <v>571</v>
      </c>
      <c r="C88" s="9" t="s">
        <v>572</v>
      </c>
      <c r="D88" s="47" t="n">
        <f aca="false">(ROUND((Fees_Tax!$C$55*100),2)-ROUND((Fees_Tax!$C$54*100),2))</f>
        <v>2.25</v>
      </c>
      <c r="E88" s="48" t="s">
        <v>573</v>
      </c>
    </row>
    <row r="89" customFormat="false" ht="15" hidden="false" customHeight="false" outlineLevel="0" collapsed="false">
      <c r="B89" s="9" t="s">
        <v>574</v>
      </c>
      <c r="C89" s="9" t="s">
        <v>575</v>
      </c>
      <c r="D89" s="49" t="n">
        <f aca="false">((Derived!$D$77/ROUND(BDCs!$E$24,3))*100)</f>
        <v>3.73705102139608</v>
      </c>
      <c r="E89" s="48" t="s">
        <v>526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4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576</v>
      </c>
    </row>
    <row r="3" customFormat="false" ht="15" hidden="false" customHeight="false" outlineLevel="0" collapsed="false">
      <c r="B3" s="6" t="s">
        <v>577</v>
      </c>
    </row>
    <row r="4" customFormat="false" ht="15" hidden="false" customHeight="false" outlineLevel="0" collapsed="false">
      <c r="C4" s="30" t="s">
        <v>578</v>
      </c>
      <c r="E4" s="51" t="n">
        <f aca="false">ROWS(I10:I459)</f>
        <v>450</v>
      </c>
    </row>
    <row r="5" customFormat="false" ht="15" hidden="false" customHeight="false" outlineLevel="0" collapsed="false">
      <c r="C5" s="30" t="s">
        <v>579</v>
      </c>
      <c r="E5" s="51" t="n">
        <f aca="false">COUNTIF(I10:I459,"PASS")</f>
        <v>450</v>
      </c>
    </row>
    <row r="6" customFormat="false" ht="15" hidden="false" customHeight="false" outlineLevel="0" collapsed="false">
      <c r="C6" s="30" t="s">
        <v>580</v>
      </c>
      <c r="E6" s="51" t="n">
        <f aca="false">COUNTIF(I10:I459,"FAIL")</f>
        <v>0</v>
      </c>
    </row>
    <row r="7" customFormat="false" ht="15" hidden="false" customHeight="false" outlineLevel="0" collapsed="false">
      <c r="C7" s="30" t="s">
        <v>581</v>
      </c>
      <c r="D7" s="30"/>
      <c r="E7" s="52" t="str">
        <f aca="false">IFERROR(IF(AND(E5=E4,E6=0,SUMPRODUCT(--ISERROR(F10:F459))=0),"PASS","FAIL"),"FAIL")</f>
        <v>PASS</v>
      </c>
    </row>
    <row r="9" customFormat="false" ht="21.75" hidden="false" customHeight="true" outlineLevel="0" collapsed="false">
      <c r="B9" s="13" t="s">
        <v>582</v>
      </c>
      <c r="C9" s="14" t="s">
        <v>583</v>
      </c>
      <c r="D9" s="14" t="s">
        <v>584</v>
      </c>
      <c r="E9" s="14" t="s">
        <v>585</v>
      </c>
      <c r="F9" s="14" t="s">
        <v>586</v>
      </c>
      <c r="G9" s="14" t="s">
        <v>587</v>
      </c>
      <c r="H9" s="14" t="s">
        <v>588</v>
      </c>
      <c r="I9" s="14" t="s">
        <v>589</v>
      </c>
    </row>
    <row r="10" customFormat="false" ht="15" hidden="false" customHeight="false" outlineLevel="0" collapsed="false">
      <c r="B10" s="53" t="n">
        <v>1</v>
      </c>
      <c r="C10" s="9" t="s">
        <v>590</v>
      </c>
      <c r="D10" s="9" t="s">
        <v>591</v>
      </c>
      <c r="E10" s="10" t="n">
        <v>0.04</v>
      </c>
      <c r="F10" s="54" t="n">
        <f aca="false">Assumptions!$C$6</f>
        <v>0.04</v>
      </c>
      <c r="G10" s="34" t="n">
        <f aca="false">IFERROR(IF(ISNUMBER(F10),F10-E10,"n/a"),"n/a")</f>
        <v>0</v>
      </c>
      <c r="H10" s="55" t="n">
        <v>5.0001E-005</v>
      </c>
      <c r="I10" s="52" t="str">
        <f aca="false">IFERROR(IF(ISNUMBER(F10),IF(ABS(F10-E10)&lt;=H10,"PASS","FAIL"),"FAIL"),"FAIL")</f>
        <v>PASS</v>
      </c>
    </row>
    <row r="11" customFormat="false" ht="15" hidden="false" customHeight="false" outlineLevel="0" collapsed="false">
      <c r="B11" s="53" t="n">
        <v>2</v>
      </c>
      <c r="C11" s="9" t="s">
        <v>590</v>
      </c>
      <c r="D11" s="9" t="s">
        <v>592</v>
      </c>
      <c r="E11" s="56" t="n">
        <v>12500</v>
      </c>
      <c r="F11" s="31" t="n">
        <f aca="false">Assumptions!$C$29</f>
        <v>12500</v>
      </c>
      <c r="G11" s="34" t="n">
        <f aca="false">IFERROR(IF(ISNUMBER(F11),F11-E11,"n/a"),"n/a")</f>
        <v>0</v>
      </c>
      <c r="H11" s="55" t="n">
        <v>0.500000001</v>
      </c>
      <c r="I11" s="52" t="str">
        <f aca="false">IFERROR(IF(ISNUMBER(F11),IF(ABS(F11-E11)&lt;=H11,"PASS","FAIL"),"FAIL"),"FAIL")</f>
        <v>PASS</v>
      </c>
    </row>
    <row r="12" customFormat="false" ht="15" hidden="false" customHeight="false" outlineLevel="0" collapsed="false">
      <c r="B12" s="53" t="n">
        <v>3</v>
      </c>
      <c r="C12" s="9" t="s">
        <v>590</v>
      </c>
      <c r="D12" s="9" t="s">
        <v>593</v>
      </c>
      <c r="E12" s="12" t="n">
        <v>0.4</v>
      </c>
      <c r="F12" s="17" t="n">
        <f aca="false">Assumptions!$C$8</f>
        <v>0.4</v>
      </c>
      <c r="G12" s="34" t="n">
        <f aca="false">IFERROR(IF(ISNUMBER(F12),F12-E12,"n/a"),"n/a")</f>
        <v>0</v>
      </c>
      <c r="H12" s="55" t="n">
        <v>0.005000001</v>
      </c>
      <c r="I12" s="52" t="str">
        <f aca="false">IFERROR(IF(ISNUMBER(F12),IF(ABS(F12-E12)&lt;=H12,"PASS","FAIL"),"FAIL"),"FAIL")</f>
        <v>PASS</v>
      </c>
    </row>
    <row r="13" customFormat="false" ht="15" hidden="false" customHeight="false" outlineLevel="0" collapsed="false">
      <c r="B13" s="53" t="n">
        <v>4</v>
      </c>
      <c r="C13" s="9" t="s">
        <v>590</v>
      </c>
      <c r="D13" s="9" t="s">
        <v>594</v>
      </c>
      <c r="E13" s="12" t="n">
        <v>0.65</v>
      </c>
      <c r="F13" s="17" t="n">
        <f aca="false">Assumptions!$C$9</f>
        <v>0.65</v>
      </c>
      <c r="G13" s="34" t="n">
        <f aca="false">IFERROR(IF(ISNUMBER(F13),F13-E13,"n/a"),"n/a")</f>
        <v>0</v>
      </c>
      <c r="H13" s="55" t="n">
        <v>0.005000001</v>
      </c>
      <c r="I13" s="52" t="str">
        <f aca="false">IFERROR(IF(ISNUMBER(F13),IF(ABS(F13-E13)&lt;=H13,"PASS","FAIL"),"FAIL"),"FAIL")</f>
        <v>PASS</v>
      </c>
    </row>
    <row r="14" customFormat="false" ht="15" hidden="false" customHeight="false" outlineLevel="0" collapsed="false">
      <c r="B14" s="53" t="n">
        <v>5</v>
      </c>
      <c r="C14" s="9" t="s">
        <v>590</v>
      </c>
      <c r="D14" s="9" t="s">
        <v>595</v>
      </c>
      <c r="E14" s="10" t="n">
        <v>0.036</v>
      </c>
      <c r="F14" s="54" t="n">
        <f aca="false">Assumptions!$C$42</f>
        <v>0.036</v>
      </c>
      <c r="G14" s="34" t="n">
        <f aca="false">IFERROR(IF(ISNUMBER(F14),F14-E14,"n/a"),"n/a")</f>
        <v>0</v>
      </c>
      <c r="H14" s="55" t="n">
        <v>5.0001E-005</v>
      </c>
      <c r="I14" s="52" t="str">
        <f aca="false">IFERROR(IF(ISNUMBER(F14),IF(ABS(F14-E14)&lt;=H14,"PASS","FAIL"),"FAIL"),"FAIL")</f>
        <v>PASS</v>
      </c>
    </row>
    <row r="15" customFormat="false" ht="15" hidden="false" customHeight="false" outlineLevel="0" collapsed="false">
      <c r="B15" s="53" t="n">
        <v>6</v>
      </c>
      <c r="C15" s="9" t="s">
        <v>590</v>
      </c>
      <c r="D15" s="9" t="s">
        <v>596</v>
      </c>
      <c r="E15" s="10" t="n">
        <v>0.0095</v>
      </c>
      <c r="F15" s="54" t="n">
        <f aca="false">Assumptions!$C$43</f>
        <v>0.0095</v>
      </c>
      <c r="G15" s="34" t="n">
        <f aca="false">IFERROR(IF(ISNUMBER(F15),F15-E15,"n/a"),"n/a")</f>
        <v>0</v>
      </c>
      <c r="H15" s="55" t="n">
        <v>5.0001E-005</v>
      </c>
      <c r="I15" s="52" t="str">
        <f aca="false">IFERROR(IF(ISNUMBER(F15),IF(ABS(F15-E15)&lt;=H15,"PASS","FAIL"),"FAIL"),"FAIL")</f>
        <v>PASS</v>
      </c>
    </row>
    <row r="16" customFormat="false" ht="15" hidden="false" customHeight="false" outlineLevel="0" collapsed="false">
      <c r="B16" s="53" t="n">
        <v>7</v>
      </c>
      <c r="C16" s="9" t="s">
        <v>590</v>
      </c>
      <c r="D16" s="9" t="s">
        <v>597</v>
      </c>
      <c r="E16" s="18" t="n">
        <v>10</v>
      </c>
      <c r="F16" s="47" t="n">
        <f aca="false">Assumptions!$C$41</f>
        <v>10</v>
      </c>
      <c r="G16" s="34" t="n">
        <f aca="false">IFERROR(IF(ISNUMBER(F16),F16-E16,"n/a"),"n/a")</f>
        <v>0</v>
      </c>
      <c r="H16" s="55" t="n">
        <v>0.005000001</v>
      </c>
      <c r="I16" s="52" t="str">
        <f aca="false">IFERROR(IF(ISNUMBER(F16),IF(ABS(F16-E16)&lt;=H16,"PASS","FAIL"),"FAIL"),"FAIL")</f>
        <v>PASS</v>
      </c>
    </row>
    <row r="17" customFormat="false" ht="15" hidden="false" customHeight="false" outlineLevel="0" collapsed="false">
      <c r="B17" s="53" t="n">
        <v>8</v>
      </c>
      <c r="C17" s="9" t="s">
        <v>590</v>
      </c>
      <c r="D17" s="9" t="s">
        <v>598</v>
      </c>
      <c r="E17" s="18" t="n">
        <v>25</v>
      </c>
      <c r="F17" s="47" t="n">
        <f aca="false">Assumptions!$C$70</f>
        <v>25</v>
      </c>
      <c r="G17" s="34" t="n">
        <f aca="false">IFERROR(IF(ISNUMBER(F17),F17-E17,"n/a"),"n/a")</f>
        <v>0</v>
      </c>
      <c r="H17" s="55" t="n">
        <v>0.005000001</v>
      </c>
      <c r="I17" s="52" t="str">
        <f aca="false">IFERROR(IF(ISNUMBER(F17),IF(ABS(F17-E17)&lt;=H17,"PASS","FAIL"),"FAIL"),"FAIL")</f>
        <v>PASS</v>
      </c>
    </row>
    <row r="18" customFormat="false" ht="15" hidden="false" customHeight="false" outlineLevel="0" collapsed="false">
      <c r="B18" s="53" t="n">
        <v>9</v>
      </c>
      <c r="C18" s="9" t="s">
        <v>590</v>
      </c>
      <c r="D18" s="9" t="s">
        <v>599</v>
      </c>
      <c r="E18" s="10" t="n">
        <v>0.0225</v>
      </c>
      <c r="F18" s="54" t="n">
        <f aca="false">Assumptions!$C$75</f>
        <v>0.0225</v>
      </c>
      <c r="G18" s="34" t="n">
        <f aca="false">IFERROR(IF(ISNUMBER(F18),F18-E18,"n/a"),"n/a")</f>
        <v>0</v>
      </c>
      <c r="H18" s="55" t="n">
        <v>5.0001E-005</v>
      </c>
      <c r="I18" s="52" t="str">
        <f aca="false">IFERROR(IF(ISNUMBER(F18),IF(ABS(F18-E18)&lt;=H18,"PASS","FAIL"),"FAIL"),"FAIL")</f>
        <v>PASS</v>
      </c>
    </row>
    <row r="19" customFormat="false" ht="15" hidden="false" customHeight="false" outlineLevel="0" collapsed="false">
      <c r="B19" s="53" t="n">
        <v>10</v>
      </c>
      <c r="C19" s="9" t="s">
        <v>590</v>
      </c>
      <c r="D19" s="9" t="s">
        <v>600</v>
      </c>
      <c r="E19" s="57" t="n">
        <v>0.5625</v>
      </c>
      <c r="F19" s="58" t="n">
        <f aca="false">Assumptions!$C$71</f>
        <v>0.5625</v>
      </c>
      <c r="G19" s="34" t="n">
        <f aca="false">IFERROR(IF(ISNUMBER(F19),F19-E19,"n/a"),"n/a")</f>
        <v>0</v>
      </c>
      <c r="H19" s="55" t="n">
        <v>5.0001E-005</v>
      </c>
      <c r="I19" s="52" t="str">
        <f aca="false">IFERROR(IF(ISNUMBER(F19),IF(ABS(F19-E19)&lt;=H19,"PASS","FAIL"),"FAIL"),"FAIL")</f>
        <v>PASS</v>
      </c>
    </row>
    <row r="20" customFormat="false" ht="15" hidden="false" customHeight="false" outlineLevel="0" collapsed="false">
      <c r="B20" s="53" t="n">
        <v>11</v>
      </c>
      <c r="C20" s="9" t="s">
        <v>590</v>
      </c>
      <c r="D20" s="9" t="s">
        <v>601</v>
      </c>
      <c r="E20" s="10" t="n">
        <v>0.085</v>
      </c>
      <c r="F20" s="54" t="n">
        <f aca="false">Assumptions!$D$37</f>
        <v>0.085</v>
      </c>
      <c r="G20" s="34" t="n">
        <f aca="false">IFERROR(IF(ISNUMBER(F20),F20-E20,"n/a"),"n/a")</f>
        <v>0</v>
      </c>
      <c r="H20" s="55" t="n">
        <v>5.0001E-005</v>
      </c>
      <c r="I20" s="52" t="str">
        <f aca="false">IFERROR(IF(ISNUMBER(F20),IF(ABS(F20-E20)&lt;=H20,"PASS","FAIL"),"FAIL"),"FAIL")</f>
        <v>PASS</v>
      </c>
    </row>
    <row r="21" customFormat="false" ht="15" hidden="false" customHeight="false" outlineLevel="0" collapsed="false">
      <c r="B21" s="53" t="n">
        <v>12</v>
      </c>
      <c r="C21" s="9" t="s">
        <v>590</v>
      </c>
      <c r="D21" s="9" t="s">
        <v>602</v>
      </c>
      <c r="E21" s="18" t="n">
        <v>94</v>
      </c>
      <c r="F21" s="47" t="n">
        <f aca="false">Assumptions!$E$37</f>
        <v>94</v>
      </c>
      <c r="G21" s="34" t="n">
        <f aca="false">IFERROR(IF(ISNUMBER(F21),F21-E21,"n/a"),"n/a")</f>
        <v>0</v>
      </c>
      <c r="H21" s="55" t="n">
        <v>0.005000001</v>
      </c>
      <c r="I21" s="52" t="str">
        <f aca="false">IFERROR(IF(ISNUMBER(F21),IF(ABS(F21-E21)&lt;=H21,"PASS","FAIL"),"FAIL"),"FAIL")</f>
        <v>PASS</v>
      </c>
    </row>
    <row r="22" customFormat="false" ht="15" hidden="false" customHeight="false" outlineLevel="0" collapsed="false">
      <c r="B22" s="53" t="n">
        <v>13</v>
      </c>
      <c r="C22" s="9" t="s">
        <v>590</v>
      </c>
      <c r="D22" s="9" t="s">
        <v>603</v>
      </c>
      <c r="E22" s="18" t="n">
        <v>19</v>
      </c>
      <c r="F22" s="47" t="n">
        <f aca="false">Assumptions!$C$50</f>
        <v>19</v>
      </c>
      <c r="G22" s="34" t="n">
        <f aca="false">IFERROR(IF(ISNUMBER(F22),F22-E22,"n/a"),"n/a")</f>
        <v>0</v>
      </c>
      <c r="H22" s="55" t="n">
        <v>0.005000001</v>
      </c>
      <c r="I22" s="52" t="str">
        <f aca="false">IFERROR(IF(ISNUMBER(F22),IF(ABS(F22-E22)&lt;=H22,"PASS","FAIL"),"FAIL"),"FAIL")</f>
        <v>PASS</v>
      </c>
    </row>
    <row r="23" customFormat="false" ht="15" hidden="false" customHeight="false" outlineLevel="0" collapsed="false">
      <c r="B23" s="53" t="n">
        <v>14</v>
      </c>
      <c r="C23" s="9" t="s">
        <v>590</v>
      </c>
      <c r="D23" s="9" t="s">
        <v>604</v>
      </c>
      <c r="E23" s="18" t="n">
        <v>1.1</v>
      </c>
      <c r="F23" s="47" t="n">
        <f aca="false">Assumptions!$C$54</f>
        <v>1.1</v>
      </c>
      <c r="G23" s="34" t="n">
        <f aca="false">IFERROR(IF(ISNUMBER(F23),F23-E23,"n/a"),"n/a")</f>
        <v>0</v>
      </c>
      <c r="H23" s="55" t="n">
        <v>0.005000001</v>
      </c>
      <c r="I23" s="52" t="str">
        <f aca="false">IFERROR(IF(ISNUMBER(F23),IF(ABS(F23-E23)&lt;=H23,"PASS","FAIL"),"FAIL"),"FAIL")</f>
        <v>PASS</v>
      </c>
    </row>
    <row r="24" customFormat="false" ht="15" hidden="false" customHeight="false" outlineLevel="0" collapsed="false">
      <c r="B24" s="53" t="n">
        <v>15</v>
      </c>
      <c r="C24" s="9" t="s">
        <v>590</v>
      </c>
      <c r="D24" s="9" t="s">
        <v>605</v>
      </c>
      <c r="E24" s="10" t="n">
        <v>0.06</v>
      </c>
      <c r="F24" s="54" t="n">
        <f aca="false">Assumptions!$C$55</f>
        <v>0.06</v>
      </c>
      <c r="G24" s="34" t="n">
        <f aca="false">IFERROR(IF(ISNUMBER(F24),F24-E24,"n/a"),"n/a")</f>
        <v>0</v>
      </c>
      <c r="H24" s="55" t="n">
        <v>5.0001E-005</v>
      </c>
      <c r="I24" s="52" t="str">
        <f aca="false">IFERROR(IF(ISNUMBER(F24),IF(ABS(F24-E24)&lt;=H24,"PASS","FAIL"),"FAIL"),"FAIL")</f>
        <v>PASS</v>
      </c>
    </row>
    <row r="25" customFormat="false" ht="15" hidden="false" customHeight="false" outlineLevel="0" collapsed="false">
      <c r="B25" s="53" t="n">
        <v>16</v>
      </c>
      <c r="C25" s="9" t="s">
        <v>590</v>
      </c>
      <c r="D25" s="9" t="s">
        <v>606</v>
      </c>
      <c r="E25" s="10" t="n">
        <v>0.015</v>
      </c>
      <c r="F25" s="54" t="n">
        <f aca="false">Assumptions!$C$56</f>
        <v>0.015</v>
      </c>
      <c r="G25" s="34" t="n">
        <f aca="false">IFERROR(IF(ISNUMBER(F25),F25-E25,"n/a"),"n/a")</f>
        <v>0</v>
      </c>
      <c r="H25" s="55" t="n">
        <v>5.0001E-005</v>
      </c>
      <c r="I25" s="52" t="str">
        <f aca="false">IFERROR(IF(ISNUMBER(F25),IF(ABS(F25-E25)&lt;=H25,"PASS","FAIL"),"FAIL"),"FAIL")</f>
        <v>PASS</v>
      </c>
    </row>
    <row r="26" customFormat="false" ht="15" hidden="false" customHeight="false" outlineLevel="0" collapsed="false">
      <c r="B26" s="53" t="n">
        <v>17</v>
      </c>
      <c r="C26" s="9" t="s">
        <v>590</v>
      </c>
      <c r="D26" s="9" t="s">
        <v>607</v>
      </c>
      <c r="E26" s="10" t="n">
        <v>0.009</v>
      </c>
      <c r="F26" s="54" t="n">
        <f aca="false">Assumptions!$C$57</f>
        <v>0.009</v>
      </c>
      <c r="G26" s="34" t="n">
        <f aca="false">IFERROR(IF(ISNUMBER(F26),F26-E26,"n/a"),"n/a")</f>
        <v>0</v>
      </c>
      <c r="H26" s="55" t="n">
        <v>5.0001E-005</v>
      </c>
      <c r="I26" s="52" t="str">
        <f aca="false">IFERROR(IF(ISNUMBER(F26),IF(ABS(F26-E26)&lt;=H26,"PASS","FAIL"),"FAIL"),"FAIL")</f>
        <v>PASS</v>
      </c>
    </row>
    <row r="27" customFormat="false" ht="15" hidden="false" customHeight="false" outlineLevel="0" collapsed="false">
      <c r="B27" s="53" t="n">
        <v>18</v>
      </c>
      <c r="C27" s="9" t="s">
        <v>590</v>
      </c>
      <c r="D27" s="9" t="s">
        <v>608</v>
      </c>
      <c r="E27" s="21" t="n">
        <v>0.175</v>
      </c>
      <c r="F27" s="59" t="n">
        <f aca="false">Assumptions!$C$58</f>
        <v>0.175</v>
      </c>
      <c r="G27" s="34" t="n">
        <f aca="false">IFERROR(IF(ISNUMBER(F27),F27-E27,"n/a"),"n/a")</f>
        <v>0</v>
      </c>
      <c r="H27" s="55" t="n">
        <v>0.000500001</v>
      </c>
      <c r="I27" s="52" t="str">
        <f aca="false">IFERROR(IF(ISNUMBER(F27),IF(ABS(F27-E27)&lt;=H27,"PASS","FAIL"),"FAIL"),"FAIL")</f>
        <v>PASS</v>
      </c>
    </row>
    <row r="28" customFormat="false" ht="15" hidden="false" customHeight="false" outlineLevel="0" collapsed="false">
      <c r="B28" s="53" t="n">
        <v>19</v>
      </c>
      <c r="C28" s="9" t="s">
        <v>590</v>
      </c>
      <c r="D28" s="9" t="s">
        <v>609</v>
      </c>
      <c r="E28" s="10" t="n">
        <v>0.006</v>
      </c>
      <c r="F28" s="54" t="n">
        <f aca="false">Assumptions!$C$59</f>
        <v>0.006</v>
      </c>
      <c r="G28" s="34" t="n">
        <f aca="false">IFERROR(IF(ISNUMBER(F28),F28-E28,"n/a"),"n/a")</f>
        <v>0</v>
      </c>
      <c r="H28" s="55" t="n">
        <v>5.0001E-005</v>
      </c>
      <c r="I28" s="52" t="str">
        <f aca="false">IFERROR(IF(ISNUMBER(F28),IF(ABS(F28-E28)&lt;=H28,"PASS","FAIL"),"FAIL"),"FAIL")</f>
        <v>PASS</v>
      </c>
    </row>
    <row r="29" customFormat="false" ht="15" hidden="false" customHeight="false" outlineLevel="0" collapsed="false">
      <c r="B29" s="53" t="n">
        <v>20</v>
      </c>
      <c r="C29" s="9" t="s">
        <v>590</v>
      </c>
      <c r="D29" s="9" t="s">
        <v>610</v>
      </c>
      <c r="E29" s="18" t="n">
        <v>0.48</v>
      </c>
      <c r="F29" s="47" t="n">
        <f aca="false">Assumptions!$C$52</f>
        <v>0.48</v>
      </c>
      <c r="G29" s="34" t="n">
        <f aca="false">IFERROR(IF(ISNUMBER(F29),F29-E29,"n/a"),"n/a")</f>
        <v>0</v>
      </c>
      <c r="H29" s="55" t="n">
        <v>0.005000001</v>
      </c>
      <c r="I29" s="52" t="str">
        <f aca="false">IFERROR(IF(ISNUMBER(F29),IF(ABS(F29-E29)&lt;=H29,"PASS","FAIL"),"FAIL"),"FAIL")</f>
        <v>PASS</v>
      </c>
    </row>
    <row r="30" customFormat="false" ht="15" hidden="false" customHeight="false" outlineLevel="0" collapsed="false">
      <c r="B30" s="53" t="n">
        <v>21</v>
      </c>
      <c r="C30" s="9" t="s">
        <v>590</v>
      </c>
      <c r="D30" s="9" t="s">
        <v>611</v>
      </c>
      <c r="E30" s="18" t="n">
        <v>20</v>
      </c>
      <c r="F30" s="47" t="n">
        <f aca="false">Assumptions!$C$51</f>
        <v>20</v>
      </c>
      <c r="G30" s="34" t="n">
        <f aca="false">IFERROR(IF(ISNUMBER(F30),F30-E30,"n/a"),"n/a")</f>
        <v>0</v>
      </c>
      <c r="H30" s="55" t="n">
        <v>0.005000001</v>
      </c>
      <c r="I30" s="52" t="str">
        <f aca="false">IFERROR(IF(ISNUMBER(F30),IF(ABS(F30-E30)&lt;=H30,"PASS","FAIL"),"FAIL"),"FAIL")</f>
        <v>PASS</v>
      </c>
    </row>
    <row r="31" customFormat="false" ht="15" hidden="false" customHeight="false" outlineLevel="0" collapsed="false">
      <c r="B31" s="53" t="n">
        <v>22</v>
      </c>
      <c r="C31" s="9" t="s">
        <v>590</v>
      </c>
      <c r="D31" s="9" t="s">
        <v>612</v>
      </c>
      <c r="E31" s="18" t="n">
        <v>15</v>
      </c>
      <c r="F31" s="47" t="n">
        <f aca="false">Assumptions!$D$50</f>
        <v>15</v>
      </c>
      <c r="G31" s="34" t="n">
        <f aca="false">IFERROR(IF(ISNUMBER(F31),F31-E31,"n/a"),"n/a")</f>
        <v>0</v>
      </c>
      <c r="H31" s="55" t="n">
        <v>0.005000001</v>
      </c>
      <c r="I31" s="52" t="str">
        <f aca="false">IFERROR(IF(ISNUMBER(F31),IF(ABS(F31-E31)&lt;=H31,"PASS","FAIL"),"FAIL"),"FAIL")</f>
        <v>PASS</v>
      </c>
    </row>
    <row r="32" customFormat="false" ht="15" hidden="false" customHeight="false" outlineLevel="0" collapsed="false">
      <c r="B32" s="53" t="n">
        <v>23</v>
      </c>
      <c r="C32" s="9" t="s">
        <v>590</v>
      </c>
      <c r="D32" s="9" t="s">
        <v>613</v>
      </c>
      <c r="E32" s="18" t="n">
        <v>1</v>
      </c>
      <c r="F32" s="47" t="n">
        <f aca="false">Assumptions!$D$54</f>
        <v>1</v>
      </c>
      <c r="G32" s="34" t="n">
        <f aca="false">IFERROR(IF(ISNUMBER(F32),F32-E32,"n/a"),"n/a")</f>
        <v>0</v>
      </c>
      <c r="H32" s="55" t="n">
        <v>0.005000001</v>
      </c>
      <c r="I32" s="52" t="str">
        <f aca="false">IFERROR(IF(ISNUMBER(F32),IF(ABS(F32-E32)&lt;=H32,"PASS","FAIL"),"FAIL"),"FAIL")</f>
        <v>PASS</v>
      </c>
    </row>
    <row r="33" customFormat="false" ht="15" hidden="false" customHeight="false" outlineLevel="0" collapsed="false">
      <c r="B33" s="53" t="n">
        <v>24</v>
      </c>
      <c r="C33" s="9" t="s">
        <v>590</v>
      </c>
      <c r="D33" s="9" t="s">
        <v>614</v>
      </c>
      <c r="E33" s="10" t="n">
        <v>0.058</v>
      </c>
      <c r="F33" s="54" t="n">
        <f aca="false">Assumptions!$D$55</f>
        <v>0.058</v>
      </c>
      <c r="G33" s="34" t="n">
        <f aca="false">IFERROR(IF(ISNUMBER(F33),F33-E33,"n/a"),"n/a")</f>
        <v>0</v>
      </c>
      <c r="H33" s="55" t="n">
        <v>5.0001E-005</v>
      </c>
      <c r="I33" s="52" t="str">
        <f aca="false">IFERROR(IF(ISNUMBER(F33),IF(ABS(F33-E33)&lt;=H33,"PASS","FAIL"),"FAIL"),"FAIL")</f>
        <v>PASS</v>
      </c>
    </row>
    <row r="34" customFormat="false" ht="15" hidden="false" customHeight="false" outlineLevel="0" collapsed="false">
      <c r="B34" s="53" t="n">
        <v>25</v>
      </c>
      <c r="C34" s="9" t="s">
        <v>590</v>
      </c>
      <c r="D34" s="9" t="s">
        <v>615</v>
      </c>
      <c r="E34" s="10" t="n">
        <v>0</v>
      </c>
      <c r="F34" s="54" t="n">
        <f aca="false">Assumptions!$D$56</f>
        <v>0</v>
      </c>
      <c r="G34" s="34" t="n">
        <f aca="false">IFERROR(IF(ISNUMBER(F34),F34-E34,"n/a"),"n/a")</f>
        <v>0</v>
      </c>
      <c r="H34" s="55" t="n">
        <v>5.0001E-005</v>
      </c>
      <c r="I34" s="52" t="str">
        <f aca="false">IFERROR(IF(ISNUMBER(F34),IF(ABS(F34-E34)&lt;=H34,"PASS","FAIL"),"FAIL"),"FAIL")</f>
        <v>PASS</v>
      </c>
    </row>
    <row r="35" customFormat="false" ht="15" hidden="false" customHeight="false" outlineLevel="0" collapsed="false">
      <c r="B35" s="53" t="n">
        <v>26</v>
      </c>
      <c r="C35" s="9" t="s">
        <v>590</v>
      </c>
      <c r="D35" s="9" t="s">
        <v>616</v>
      </c>
      <c r="E35" s="10" t="n">
        <v>0.02</v>
      </c>
      <c r="F35" s="54" t="n">
        <f aca="false">Assumptions!$D$57</f>
        <v>0.02</v>
      </c>
      <c r="G35" s="34" t="n">
        <f aca="false">IFERROR(IF(ISNUMBER(F35),F35-E35,"n/a"),"n/a")</f>
        <v>0</v>
      </c>
      <c r="H35" s="55" t="n">
        <v>5.0001E-005</v>
      </c>
      <c r="I35" s="52" t="str">
        <f aca="false">IFERROR(IF(ISNUMBER(F35),IF(ABS(F35-E35)&lt;=H35,"PASS","FAIL"),"FAIL"),"FAIL")</f>
        <v>PASS</v>
      </c>
    </row>
    <row r="36" customFormat="false" ht="15" hidden="false" customHeight="false" outlineLevel="0" collapsed="false">
      <c r="B36" s="53" t="n">
        <v>27</v>
      </c>
      <c r="C36" s="9" t="s">
        <v>590</v>
      </c>
      <c r="D36" s="9" t="s">
        <v>617</v>
      </c>
      <c r="E36" s="21" t="n">
        <v>0</v>
      </c>
      <c r="F36" s="59" t="n">
        <f aca="false">Assumptions!$D$58</f>
        <v>0</v>
      </c>
      <c r="G36" s="34" t="n">
        <f aca="false">IFERROR(IF(ISNUMBER(F36),F36-E36,"n/a"),"n/a")</f>
        <v>0</v>
      </c>
      <c r="H36" s="55" t="n">
        <v>0.000500001</v>
      </c>
      <c r="I36" s="52" t="str">
        <f aca="false">IFERROR(IF(ISNUMBER(F36),IF(ABS(F36-E36)&lt;=H36,"PASS","FAIL"),"FAIL"),"FAIL")</f>
        <v>PASS</v>
      </c>
    </row>
    <row r="37" customFormat="false" ht="15" hidden="false" customHeight="false" outlineLevel="0" collapsed="false">
      <c r="B37" s="53" t="n">
        <v>28</v>
      </c>
      <c r="C37" s="9" t="s">
        <v>590</v>
      </c>
      <c r="D37" s="9" t="s">
        <v>618</v>
      </c>
      <c r="E37" s="10" t="n">
        <v>0.005</v>
      </c>
      <c r="F37" s="54" t="n">
        <f aca="false">Assumptions!$D$59</f>
        <v>0.005</v>
      </c>
      <c r="G37" s="34" t="n">
        <f aca="false">IFERROR(IF(ISNUMBER(F37),F37-E37,"n/a"),"n/a")</f>
        <v>0</v>
      </c>
      <c r="H37" s="55" t="n">
        <v>5.0001E-005</v>
      </c>
      <c r="I37" s="52" t="str">
        <f aca="false">IFERROR(IF(ISNUMBER(F37),IF(ABS(F37-E37)&lt;=H37,"PASS","FAIL"),"FAIL"),"FAIL")</f>
        <v>PASS</v>
      </c>
    </row>
    <row r="38" customFormat="false" ht="15" hidden="false" customHeight="false" outlineLevel="0" collapsed="false">
      <c r="B38" s="53" t="n">
        <v>29</v>
      </c>
      <c r="C38" s="9" t="s">
        <v>590</v>
      </c>
      <c r="D38" s="9" t="s">
        <v>619</v>
      </c>
      <c r="E38" s="18" t="n">
        <v>0.4</v>
      </c>
      <c r="F38" s="47" t="n">
        <f aca="false">Assumptions!$D$52</f>
        <v>0.4</v>
      </c>
      <c r="G38" s="34" t="n">
        <f aca="false">IFERROR(IF(ISNUMBER(F38),F38-E38,"n/a"),"n/a")</f>
        <v>0</v>
      </c>
      <c r="H38" s="55" t="n">
        <v>0.005000001</v>
      </c>
      <c r="I38" s="52" t="str">
        <f aca="false">IFERROR(IF(ISNUMBER(F38),IF(ABS(F38-E38)&lt;=H38,"PASS","FAIL"),"FAIL"),"FAIL")</f>
        <v>PASS</v>
      </c>
    </row>
    <row r="39" customFormat="false" ht="15" hidden="false" customHeight="false" outlineLevel="0" collapsed="false">
      <c r="B39" s="53" t="n">
        <v>30</v>
      </c>
      <c r="C39" s="9" t="s">
        <v>590</v>
      </c>
      <c r="D39" s="9" t="s">
        <v>620</v>
      </c>
      <c r="E39" s="18" t="n">
        <v>14</v>
      </c>
      <c r="F39" s="47" t="n">
        <f aca="false">Assumptions!$D$51</f>
        <v>14</v>
      </c>
      <c r="G39" s="34" t="n">
        <f aca="false">IFERROR(IF(ISNUMBER(F39),F39-E39,"n/a"),"n/a")</f>
        <v>0</v>
      </c>
      <c r="H39" s="55" t="n">
        <v>0.005000001</v>
      </c>
      <c r="I39" s="52" t="str">
        <f aca="false">IFERROR(IF(ISNUMBER(F39),IF(ABS(F39-E39)&lt;=H39,"PASS","FAIL"),"FAIL"),"FAIL")</f>
        <v>PASS</v>
      </c>
    </row>
    <row r="40" customFormat="false" ht="15" hidden="false" customHeight="false" outlineLevel="0" collapsed="false">
      <c r="B40" s="53" t="n">
        <v>31</v>
      </c>
      <c r="C40" s="9" t="s">
        <v>590</v>
      </c>
      <c r="D40" s="9" t="s">
        <v>621</v>
      </c>
      <c r="E40" s="18" t="n">
        <v>9</v>
      </c>
      <c r="F40" s="47" t="n">
        <f aca="false">Assumptions!$E$50</f>
        <v>9</v>
      </c>
      <c r="G40" s="34" t="n">
        <f aca="false">IFERROR(IF(ISNUMBER(F40),F40-E40,"n/a"),"n/a")</f>
        <v>0</v>
      </c>
      <c r="H40" s="55" t="n">
        <v>0.005000001</v>
      </c>
      <c r="I40" s="52" t="str">
        <f aca="false">IFERROR(IF(ISNUMBER(F40),IF(ABS(F40-E40)&lt;=H40,"PASS","FAIL"),"FAIL"),"FAIL")</f>
        <v>PASS</v>
      </c>
    </row>
    <row r="41" customFormat="false" ht="15" hidden="false" customHeight="false" outlineLevel="0" collapsed="false">
      <c r="B41" s="53" t="n">
        <v>32</v>
      </c>
      <c r="C41" s="9" t="s">
        <v>590</v>
      </c>
      <c r="D41" s="9" t="s">
        <v>622</v>
      </c>
      <c r="E41" s="18" t="n">
        <v>1.35</v>
      </c>
      <c r="F41" s="47" t="n">
        <f aca="false">Assumptions!$E$54</f>
        <v>1.35</v>
      </c>
      <c r="G41" s="34" t="n">
        <f aca="false">IFERROR(IF(ISNUMBER(F41),F41-E41,"n/a"),"n/a")</f>
        <v>0</v>
      </c>
      <c r="H41" s="55" t="n">
        <v>0.005000001</v>
      </c>
      <c r="I41" s="52" t="str">
        <f aca="false">IFERROR(IF(ISNUMBER(F41),IF(ABS(F41-E41)&lt;=H41,"PASS","FAIL"),"FAIL"),"FAIL")</f>
        <v>PASS</v>
      </c>
    </row>
    <row r="42" customFormat="false" ht="15" hidden="false" customHeight="false" outlineLevel="0" collapsed="false">
      <c r="B42" s="53" t="n">
        <v>33</v>
      </c>
      <c r="C42" s="9" t="s">
        <v>590</v>
      </c>
      <c r="D42" s="9" t="s">
        <v>623</v>
      </c>
      <c r="E42" s="10" t="n">
        <v>0.068</v>
      </c>
      <c r="F42" s="54" t="n">
        <f aca="false">Assumptions!$E$55</f>
        <v>0.068</v>
      </c>
      <c r="G42" s="34" t="n">
        <f aca="false">IFERROR(IF(ISNUMBER(F42),F42-E42,"n/a"),"n/a")</f>
        <v>0</v>
      </c>
      <c r="H42" s="55" t="n">
        <v>5.0001E-005</v>
      </c>
      <c r="I42" s="52" t="str">
        <f aca="false">IFERROR(IF(ISNUMBER(F42),IF(ABS(F42-E42)&lt;=H42,"PASS","FAIL"),"FAIL"),"FAIL")</f>
        <v>PASS</v>
      </c>
    </row>
    <row r="43" customFormat="false" ht="15" hidden="false" customHeight="false" outlineLevel="0" collapsed="false">
      <c r="B43" s="53" t="n">
        <v>34</v>
      </c>
      <c r="C43" s="9" t="s">
        <v>590</v>
      </c>
      <c r="D43" s="9" t="s">
        <v>624</v>
      </c>
      <c r="E43" s="10" t="n">
        <v>0.0175</v>
      </c>
      <c r="F43" s="54" t="n">
        <f aca="false">Assumptions!$E$56</f>
        <v>0.0175</v>
      </c>
      <c r="G43" s="34" t="n">
        <f aca="false">IFERROR(IF(ISNUMBER(F43),F43-E43,"n/a"),"n/a")</f>
        <v>0</v>
      </c>
      <c r="H43" s="55" t="n">
        <v>5.0001E-005</v>
      </c>
      <c r="I43" s="52" t="str">
        <f aca="false">IFERROR(IF(ISNUMBER(F43),IF(ABS(F43-E43)&lt;=H43,"PASS","FAIL"),"FAIL"),"FAIL")</f>
        <v>PASS</v>
      </c>
    </row>
    <row r="44" customFormat="false" ht="15" hidden="false" customHeight="false" outlineLevel="0" collapsed="false">
      <c r="B44" s="53" t="n">
        <v>35</v>
      </c>
      <c r="C44" s="9" t="s">
        <v>590</v>
      </c>
      <c r="D44" s="9" t="s">
        <v>625</v>
      </c>
      <c r="E44" s="10" t="n">
        <v>0.011</v>
      </c>
      <c r="F44" s="54" t="n">
        <f aca="false">Assumptions!$E$57</f>
        <v>0.011</v>
      </c>
      <c r="G44" s="34" t="n">
        <f aca="false">IFERROR(IF(ISNUMBER(F44),F44-E44,"n/a"),"n/a")</f>
        <v>0</v>
      </c>
      <c r="H44" s="55" t="n">
        <v>5.0001E-005</v>
      </c>
      <c r="I44" s="52" t="str">
        <f aca="false">IFERROR(IF(ISNUMBER(F44),IF(ABS(F44-E44)&lt;=H44,"PASS","FAIL"),"FAIL"),"FAIL")</f>
        <v>PASS</v>
      </c>
    </row>
    <row r="45" customFormat="false" ht="15" hidden="false" customHeight="false" outlineLevel="0" collapsed="false">
      <c r="B45" s="53" t="n">
        <v>36</v>
      </c>
      <c r="C45" s="9" t="s">
        <v>590</v>
      </c>
      <c r="D45" s="9" t="s">
        <v>626</v>
      </c>
      <c r="E45" s="21" t="n">
        <v>0.2</v>
      </c>
      <c r="F45" s="59" t="n">
        <f aca="false">Assumptions!$E$58</f>
        <v>0.2</v>
      </c>
      <c r="G45" s="34" t="n">
        <f aca="false">IFERROR(IF(ISNUMBER(F45),F45-E45,"n/a"),"n/a")</f>
        <v>0</v>
      </c>
      <c r="H45" s="55" t="n">
        <v>0.000500001</v>
      </c>
      <c r="I45" s="52" t="str">
        <f aca="false">IFERROR(IF(ISNUMBER(F45),IF(ABS(F45-E45)&lt;=H45,"PASS","FAIL"),"FAIL"),"FAIL")</f>
        <v>PASS</v>
      </c>
    </row>
    <row r="46" customFormat="false" ht="15" hidden="false" customHeight="false" outlineLevel="0" collapsed="false">
      <c r="B46" s="53" t="n">
        <v>37</v>
      </c>
      <c r="C46" s="9" t="s">
        <v>590</v>
      </c>
      <c r="D46" s="9" t="s">
        <v>627</v>
      </c>
      <c r="E46" s="10" t="n">
        <v>0.035</v>
      </c>
      <c r="F46" s="54" t="n">
        <f aca="false">Assumptions!$E$59</f>
        <v>0.035</v>
      </c>
      <c r="G46" s="34" t="n">
        <f aca="false">IFERROR(IF(ISNUMBER(F46),F46-E46,"n/a"),"n/a")</f>
        <v>0</v>
      </c>
      <c r="H46" s="55" t="n">
        <v>5.0001E-005</v>
      </c>
      <c r="I46" s="52" t="str">
        <f aca="false">IFERROR(IF(ISNUMBER(F46),IF(ABS(F46-E46)&lt;=H46,"PASS","FAIL"),"FAIL"),"FAIL")</f>
        <v>PASS</v>
      </c>
    </row>
    <row r="47" customFormat="false" ht="15" hidden="false" customHeight="false" outlineLevel="0" collapsed="false">
      <c r="B47" s="53" t="n">
        <v>38</v>
      </c>
      <c r="C47" s="9" t="s">
        <v>590</v>
      </c>
      <c r="D47" s="9" t="s">
        <v>628</v>
      </c>
      <c r="E47" s="18" t="n">
        <v>0.33</v>
      </c>
      <c r="F47" s="47" t="n">
        <f aca="false">Assumptions!$E$52</f>
        <v>0.33</v>
      </c>
      <c r="G47" s="34" t="n">
        <f aca="false">IFERROR(IF(ISNUMBER(F47),F47-E47,"n/a"),"n/a")</f>
        <v>0</v>
      </c>
      <c r="H47" s="55" t="n">
        <v>0.005000001</v>
      </c>
      <c r="I47" s="52" t="str">
        <f aca="false">IFERROR(IF(ISNUMBER(F47),IF(ABS(F47-E47)&lt;=H47,"PASS","FAIL"),"FAIL"),"FAIL")</f>
        <v>PASS</v>
      </c>
    </row>
    <row r="48" customFormat="false" ht="15" hidden="false" customHeight="false" outlineLevel="0" collapsed="false">
      <c r="B48" s="53" t="n">
        <v>39</v>
      </c>
      <c r="C48" s="9" t="s">
        <v>590</v>
      </c>
      <c r="D48" s="9" t="s">
        <v>629</v>
      </c>
      <c r="E48" s="18" t="n">
        <v>11.25</v>
      </c>
      <c r="F48" s="47" t="n">
        <f aca="false">Assumptions!$E$51</f>
        <v>11.25</v>
      </c>
      <c r="G48" s="34" t="n">
        <f aca="false">IFERROR(IF(ISNUMBER(F48),F48-E48,"n/a"),"n/a")</f>
        <v>0</v>
      </c>
      <c r="H48" s="55" t="n">
        <v>0.005000001</v>
      </c>
      <c r="I48" s="52" t="str">
        <f aca="false">IFERROR(IF(ISNUMBER(F48),IF(ABS(F48-E48)&lt;=H48,"PASS","FAIL"),"FAIL"),"FAIL")</f>
        <v>PASS</v>
      </c>
    </row>
    <row r="49" customFormat="false" ht="15" hidden="false" customHeight="true" outlineLevel="0" collapsed="false">
      <c r="B49" s="53" t="n">
        <v>40</v>
      </c>
      <c r="C49" s="9" t="s">
        <v>630</v>
      </c>
      <c r="D49" s="60" t="s">
        <v>631</v>
      </c>
      <c r="E49" s="48" t="s">
        <v>632</v>
      </c>
      <c r="F49" s="61" t="str">
        <f aca="false">IFERROR(IF(SUMPRODUCT(--ISNUMBER(Bond_Flows!$H$23:$H$33))=11,"holds","does not hold"),"error")</f>
        <v>holds</v>
      </c>
      <c r="G49" s="9"/>
      <c r="H49" s="9"/>
      <c r="I49" s="52" t="str">
        <f aca="false">IFERROR(IF(SUMPRODUCT(--ISNUMBER(Bond_Flows!$H$23:$H$33))=11,"PASS","FAIL"),"FAIL")</f>
        <v>PASS</v>
      </c>
    </row>
    <row r="50" customFormat="false" ht="15" hidden="false" customHeight="true" outlineLevel="0" collapsed="false">
      <c r="B50" s="53" t="n">
        <v>41</v>
      </c>
      <c r="C50" s="9" t="s">
        <v>630</v>
      </c>
      <c r="D50" s="60" t="s">
        <v>633</v>
      </c>
      <c r="E50" s="48" t="s">
        <v>632</v>
      </c>
      <c r="F50" s="61" t="str">
        <f aca="false">IFERROR(IF(SUMPRODUCT(--ISNUMBER(Bond_Flows!$H$49:$H$53))=5,"holds","does not hold"),"error")</f>
        <v>holds</v>
      </c>
      <c r="G50" s="9"/>
      <c r="H50" s="9"/>
      <c r="I50" s="52" t="str">
        <f aca="false">IFERROR(IF(SUMPRODUCT(--ISNUMBER(Bond_Flows!$H$49:$H$53))=5,"PASS","FAIL"),"FAIL")</f>
        <v>PASS</v>
      </c>
    </row>
    <row r="51" customFormat="false" ht="15" hidden="false" customHeight="true" outlineLevel="0" collapsed="false">
      <c r="B51" s="53" t="n">
        <v>42</v>
      </c>
      <c r="C51" s="9" t="s">
        <v>630</v>
      </c>
      <c r="D51" s="60" t="s">
        <v>634</v>
      </c>
      <c r="E51" s="48" t="s">
        <v>632</v>
      </c>
      <c r="F51" s="61" t="str">
        <f aca="false">IFERROR(IF(SUMPRODUCT(--ISNUMBER(Bond_Flows!$H$75:$H$80))=6,"holds","does not hold"),"error")</f>
        <v>holds</v>
      </c>
      <c r="G51" s="9"/>
      <c r="H51" s="9"/>
      <c r="I51" s="52" t="str">
        <f aca="false">IFERROR(IF(SUMPRODUCT(--ISNUMBER(Bond_Flows!$H$75:$H$80))=6,"PASS","FAIL"),"FAIL")</f>
        <v>PASS</v>
      </c>
    </row>
    <row r="52" customFormat="false" ht="15" hidden="false" customHeight="true" outlineLevel="0" collapsed="false">
      <c r="B52" s="53" t="n">
        <v>43</v>
      </c>
      <c r="C52" s="9" t="s">
        <v>635</v>
      </c>
      <c r="D52" s="60" t="s">
        <v>631</v>
      </c>
      <c r="E52" s="48" t="s">
        <v>632</v>
      </c>
      <c r="F52" s="61" t="str">
        <f aca="false">IFERROR(IF(SUMPRODUCT(--ISNUMBER(Loan_Fund_Paths!$H$26:$H$26))=1,"holds","does not hold"),"error")</f>
        <v>holds</v>
      </c>
      <c r="G52" s="9"/>
      <c r="H52" s="9"/>
      <c r="I52" s="52" t="str">
        <f aca="false">IFERROR(IF(SUMPRODUCT(--ISNUMBER(Loan_Fund_Paths!$H$26:$H$26))=1,"PASS","FAIL"),"FAIL")</f>
        <v>PASS</v>
      </c>
    </row>
    <row r="53" customFormat="false" ht="15" hidden="false" customHeight="true" outlineLevel="0" collapsed="false">
      <c r="B53" s="53" t="n">
        <v>44</v>
      </c>
      <c r="C53" s="9" t="s">
        <v>635</v>
      </c>
      <c r="D53" s="60" t="s">
        <v>633</v>
      </c>
      <c r="E53" s="48" t="s">
        <v>632</v>
      </c>
      <c r="F53" s="61" t="str">
        <f aca="false">IFERROR(IF(SUMPRODUCT(--ISNUMBER(Loan_Fund_Paths!$H$52:$H$52))=1,"holds","does not hold"),"error")</f>
        <v>holds</v>
      </c>
      <c r="G53" s="9"/>
      <c r="H53" s="9"/>
      <c r="I53" s="52" t="str">
        <f aca="false">IFERROR(IF(SUMPRODUCT(--ISNUMBER(Loan_Fund_Paths!$H$52:$H$52))=1,"PASS","FAIL"),"FAIL")</f>
        <v>PASS</v>
      </c>
    </row>
    <row r="54" customFormat="false" ht="15" hidden="false" customHeight="true" outlineLevel="0" collapsed="false">
      <c r="B54" s="53" t="n">
        <v>45</v>
      </c>
      <c r="C54" s="9" t="s">
        <v>635</v>
      </c>
      <c r="D54" s="60" t="s">
        <v>636</v>
      </c>
      <c r="E54" s="48" t="s">
        <v>632</v>
      </c>
      <c r="F54" s="61" t="str">
        <f aca="false">IFERROR(IF(SUMPRODUCT(--ISNUMBER(Loan_Fund_Paths!$H$78:$H$78))=1,"holds","does not hold"),"error")</f>
        <v>holds</v>
      </c>
      <c r="G54" s="9"/>
      <c r="H54" s="9"/>
      <c r="I54" s="52" t="str">
        <f aca="false">IFERROR(IF(SUMPRODUCT(--ISNUMBER(Loan_Fund_Paths!$H$78:$H$78))=1,"PASS","FAIL"),"FAIL")</f>
        <v>PASS</v>
      </c>
    </row>
    <row r="55" customFormat="false" ht="15" hidden="false" customHeight="true" outlineLevel="0" collapsed="false">
      <c r="B55" s="53" t="n">
        <v>46</v>
      </c>
      <c r="C55" s="9" t="s">
        <v>637</v>
      </c>
      <c r="D55" s="60" t="s">
        <v>631</v>
      </c>
      <c r="E55" s="48" t="s">
        <v>632</v>
      </c>
      <c r="F55" s="61" t="str">
        <f aca="false">IFERROR(IF(SUMPRODUCT(--ISNUMBER(BDC_Paths!$H$62:$H$64))=3,"holds","does not hold"),"error")</f>
        <v>holds</v>
      </c>
      <c r="G55" s="9"/>
      <c r="H55" s="9"/>
      <c r="I55" s="52" t="str">
        <f aca="false">IFERROR(IF(SUMPRODUCT(--ISNUMBER(BDC_Paths!$H$62:$H$64))=3,"PASS","FAIL"),"FAIL")</f>
        <v>PASS</v>
      </c>
    </row>
    <row r="56" customFormat="false" ht="15" hidden="false" customHeight="true" outlineLevel="0" collapsed="false">
      <c r="B56" s="53" t="n">
        <v>47</v>
      </c>
      <c r="C56" s="9" t="s">
        <v>638</v>
      </c>
      <c r="D56" s="60" t="s">
        <v>631</v>
      </c>
      <c r="E56" s="48" t="s">
        <v>632</v>
      </c>
      <c r="F56" s="61" t="str">
        <f aca="false">IFERROR(IF(SUMPRODUCT(--ISNUMBER(Interval_Fund_Paths!$H$36:$H$36))=1,"holds","does not hold"),"error")</f>
        <v>holds</v>
      </c>
      <c r="G56" s="9"/>
      <c r="H56" s="9"/>
      <c r="I56" s="52" t="str">
        <f aca="false">IFERROR(IF(SUMPRODUCT(--ISNUMBER(Interval_Fund_Paths!$H$36:$H$36))=1,"PASS","FAIL"),"FAIL")</f>
        <v>PASS</v>
      </c>
    </row>
    <row r="57" customFormat="false" ht="15" hidden="false" customHeight="true" outlineLevel="0" collapsed="false">
      <c r="B57" s="53" t="n">
        <v>48</v>
      </c>
      <c r="C57" s="9" t="s">
        <v>638</v>
      </c>
      <c r="D57" s="60" t="s">
        <v>633</v>
      </c>
      <c r="E57" s="48" t="s">
        <v>632</v>
      </c>
      <c r="F57" s="61" t="str">
        <f aca="false">IFERROR(IF(SUMPRODUCT(--ISNUMBER(Interval_Fund_Paths!$H$72:$H$72))=1,"holds","does not hold"),"error")</f>
        <v>holds</v>
      </c>
      <c r="G57" s="9"/>
      <c r="H57" s="9"/>
      <c r="I57" s="52" t="str">
        <f aca="false">IFERROR(IF(SUMPRODUCT(--ISNUMBER(Interval_Fund_Paths!$H$72:$H$72))=1,"PASS","FAIL"),"FAIL")</f>
        <v>PASS</v>
      </c>
    </row>
    <row r="58" customFormat="false" ht="15" hidden="false" customHeight="true" outlineLevel="0" collapsed="false">
      <c r="B58" s="53" t="n">
        <v>49</v>
      </c>
      <c r="C58" s="9" t="s">
        <v>638</v>
      </c>
      <c r="D58" s="60" t="s">
        <v>636</v>
      </c>
      <c r="E58" s="48" t="s">
        <v>632</v>
      </c>
      <c r="F58" s="61" t="str">
        <f aca="false">IFERROR(IF(SUMPRODUCT(--ISNUMBER(Interval_Fund_Paths!$H$108:$H$108))=1,"holds","does not hold"),"error")</f>
        <v>holds</v>
      </c>
      <c r="G58" s="9"/>
      <c r="H58" s="9"/>
      <c r="I58" s="52" t="str">
        <f aca="false">IFERROR(IF(SUMPRODUCT(--ISNUMBER(Interval_Fund_Paths!$H$108:$H$108))=1,"PASS","FAIL"),"FAIL")</f>
        <v>PASS</v>
      </c>
    </row>
    <row r="59" customFormat="false" ht="15" hidden="false" customHeight="true" outlineLevel="0" collapsed="false">
      <c r="B59" s="53" t="n">
        <v>50</v>
      </c>
      <c r="C59" s="9" t="s">
        <v>638</v>
      </c>
      <c r="D59" s="60" t="s">
        <v>639</v>
      </c>
      <c r="E59" s="48" t="s">
        <v>632</v>
      </c>
      <c r="F59" s="61" t="str">
        <f aca="false">IFERROR(IF(SUMPRODUCT(--ISNUMBER(Interval_Fund_Paths!$H$144:$H$144))=1,"holds","does not hold"),"error")</f>
        <v>holds</v>
      </c>
      <c r="G59" s="9"/>
      <c r="H59" s="9"/>
      <c r="I59" s="52" t="str">
        <f aca="false">IFERROR(IF(SUMPRODUCT(--ISNUMBER(Interval_Fund_Paths!$H$144:$H$144))=1,"PASS","FAIL"),"FAIL")</f>
        <v>PASS</v>
      </c>
    </row>
    <row r="60" customFormat="false" ht="15" hidden="false" customHeight="false" outlineLevel="0" collapsed="false">
      <c r="B60" s="53" t="n">
        <v>51</v>
      </c>
      <c r="C60" s="9" t="s">
        <v>640</v>
      </c>
      <c r="D60" s="9" t="s">
        <v>641</v>
      </c>
      <c r="E60" s="10" t="n">
        <v>0.008</v>
      </c>
      <c r="F60" s="54" t="n">
        <f aca="false">Bonds!$D$7</f>
        <v>0.008</v>
      </c>
      <c r="G60" s="34" t="n">
        <f aca="false">IFERROR(IF(ISNUMBER(F60),F60-E60,"n/a"),"n/a")</f>
        <v>0</v>
      </c>
      <c r="H60" s="55" t="n">
        <v>5.0001E-005</v>
      </c>
      <c r="I60" s="52" t="str">
        <f aca="false">IFERROR(IF(ISNUMBER(F60),IF(ABS(F60-E60)&lt;=H60,"PASS","FAIL"),"FAIL"),"FAIL")</f>
        <v>PASS</v>
      </c>
    </row>
    <row r="61" customFormat="false" ht="15" hidden="false" customHeight="false" outlineLevel="0" collapsed="false">
      <c r="B61" s="53" t="n">
        <v>52</v>
      </c>
      <c r="C61" s="9" t="s">
        <v>640</v>
      </c>
      <c r="D61" s="9" t="s">
        <v>642</v>
      </c>
      <c r="E61" s="10" t="n">
        <v>0.048</v>
      </c>
      <c r="F61" s="54" t="n">
        <f aca="false">Bonds!$E$7</f>
        <v>0.048</v>
      </c>
      <c r="G61" s="34" t="n">
        <f aca="false">IFERROR(IF(ISNUMBER(F61),F61-E61,"n/a"),"n/a")</f>
        <v>0</v>
      </c>
      <c r="H61" s="55" t="n">
        <v>5.0001E-005</v>
      </c>
      <c r="I61" s="52" t="str">
        <f aca="false">IFERROR(IF(ISNUMBER(F61),IF(ABS(F61-E61)&lt;=H61,"PASS","FAIL"),"FAIL"),"FAIL")</f>
        <v>PASS</v>
      </c>
    </row>
    <row r="62" customFormat="false" ht="15" hidden="false" customHeight="false" outlineLevel="0" collapsed="false">
      <c r="B62" s="53" t="n">
        <v>53</v>
      </c>
      <c r="C62" s="9" t="s">
        <v>640</v>
      </c>
      <c r="D62" s="9" t="s">
        <v>643</v>
      </c>
      <c r="E62" s="10" t="n">
        <v>0.0486</v>
      </c>
      <c r="F62" s="54" t="n">
        <f aca="false">Bonds!$G$7</f>
        <v>0.0485759999999997</v>
      </c>
      <c r="G62" s="34" t="n">
        <f aca="false">IFERROR(IF(ISNUMBER(F62),F62-E62,"n/a"),"n/a")</f>
        <v>-2.40000000002669E-005</v>
      </c>
      <c r="H62" s="55" t="n">
        <v>5.0001E-005</v>
      </c>
      <c r="I62" s="52" t="str">
        <f aca="false">IFERROR(IF(ISNUMBER(F62),IF(ABS(F62-E62)&lt;=H62,"PASS","FAIL"),"FAIL"),"FAIL")</f>
        <v>PASS</v>
      </c>
    </row>
    <row r="63" customFormat="false" ht="15" hidden="false" customHeight="false" outlineLevel="0" collapsed="false">
      <c r="B63" s="53" t="n">
        <v>54</v>
      </c>
      <c r="C63" s="9" t="s">
        <v>640</v>
      </c>
      <c r="D63" s="9" t="s">
        <v>644</v>
      </c>
      <c r="E63" s="10" t="n">
        <v>0.0095</v>
      </c>
      <c r="F63" s="54" t="n">
        <f aca="false">Bonds!$D$8</f>
        <v>0.0095</v>
      </c>
      <c r="G63" s="34" t="n">
        <f aca="false">IFERROR(IF(ISNUMBER(F63),F63-E63,"n/a"),"n/a")</f>
        <v>0</v>
      </c>
      <c r="H63" s="55" t="n">
        <v>5.0001E-005</v>
      </c>
      <c r="I63" s="52" t="str">
        <f aca="false">IFERROR(IF(ISNUMBER(F63),IF(ABS(F63-E63)&lt;=H63,"PASS","FAIL"),"FAIL"),"FAIL")</f>
        <v>PASS</v>
      </c>
    </row>
    <row r="64" customFormat="false" ht="15" hidden="false" customHeight="false" outlineLevel="0" collapsed="false">
      <c r="B64" s="53" t="n">
        <v>55</v>
      </c>
      <c r="C64" s="9" t="s">
        <v>640</v>
      </c>
      <c r="D64" s="9" t="s">
        <v>645</v>
      </c>
      <c r="E64" s="10" t="n">
        <v>0.0495</v>
      </c>
      <c r="F64" s="54" t="n">
        <f aca="false">Bonds!$E$8</f>
        <v>0.0495</v>
      </c>
      <c r="G64" s="34" t="n">
        <f aca="false">IFERROR(IF(ISNUMBER(F64),F64-E64,"n/a"),"n/a")</f>
        <v>0</v>
      </c>
      <c r="H64" s="55" t="n">
        <v>5.0001E-005</v>
      </c>
      <c r="I64" s="52" t="str">
        <f aca="false">IFERROR(IF(ISNUMBER(F64),IF(ABS(F64-E64)&lt;=H64,"PASS","FAIL"),"FAIL"),"FAIL")</f>
        <v>PASS</v>
      </c>
    </row>
    <row r="65" customFormat="false" ht="15" hidden="false" customHeight="false" outlineLevel="0" collapsed="false">
      <c r="B65" s="53" t="n">
        <v>56</v>
      </c>
      <c r="C65" s="9" t="s">
        <v>640</v>
      </c>
      <c r="D65" s="9" t="s">
        <v>646</v>
      </c>
      <c r="E65" s="10" t="n">
        <v>0.0501</v>
      </c>
      <c r="F65" s="54" t="n">
        <f aca="false">Bonds!$G$8</f>
        <v>0.0501125624999987</v>
      </c>
      <c r="G65" s="34" t="n">
        <f aca="false">IFERROR(IF(ISNUMBER(F65),F65-E65,"n/a"),"n/a")</f>
        <v>1.25624999987375E-005</v>
      </c>
      <c r="H65" s="55" t="n">
        <v>5.0001E-005</v>
      </c>
      <c r="I65" s="52" t="str">
        <f aca="false">IFERROR(IF(ISNUMBER(F65),IF(ABS(F65-E65)&lt;=H65,"PASS","FAIL"),"FAIL"),"FAIL")</f>
        <v>PASS</v>
      </c>
    </row>
    <row r="66" customFormat="false" ht="15" hidden="false" customHeight="false" outlineLevel="0" collapsed="false">
      <c r="B66" s="53" t="n">
        <v>57</v>
      </c>
      <c r="C66" s="9" t="s">
        <v>640</v>
      </c>
      <c r="D66" s="9" t="s">
        <v>647</v>
      </c>
      <c r="E66" s="10" t="n">
        <v>0.0115</v>
      </c>
      <c r="F66" s="54" t="n">
        <f aca="false">Bonds!$D$9</f>
        <v>0.0115</v>
      </c>
      <c r="G66" s="34" t="n">
        <f aca="false">IFERROR(IF(ISNUMBER(F66),F66-E66,"n/a"),"n/a")</f>
        <v>0</v>
      </c>
      <c r="H66" s="55" t="n">
        <v>5.0001E-005</v>
      </c>
      <c r="I66" s="52" t="str">
        <f aca="false">IFERROR(IF(ISNUMBER(F66),IF(ABS(F66-E66)&lt;=H66,"PASS","FAIL"),"FAIL"),"FAIL")</f>
        <v>PASS</v>
      </c>
    </row>
    <row r="67" customFormat="false" ht="15" hidden="false" customHeight="false" outlineLevel="0" collapsed="false">
      <c r="B67" s="53" t="n">
        <v>58</v>
      </c>
      <c r="C67" s="9" t="s">
        <v>640</v>
      </c>
      <c r="D67" s="9" t="s">
        <v>648</v>
      </c>
      <c r="E67" s="10" t="n">
        <v>0.0515</v>
      </c>
      <c r="F67" s="54" t="n">
        <f aca="false">Bonds!$E$9</f>
        <v>0.0515</v>
      </c>
      <c r="G67" s="34" t="n">
        <f aca="false">IFERROR(IF(ISNUMBER(F67),F67-E67,"n/a"),"n/a")</f>
        <v>0</v>
      </c>
      <c r="H67" s="55" t="n">
        <v>5.0001E-005</v>
      </c>
      <c r="I67" s="52" t="str">
        <f aca="false">IFERROR(IF(ISNUMBER(F67),IF(ABS(F67-E67)&lt;=H67,"PASS","FAIL"),"FAIL"),"FAIL")</f>
        <v>PASS</v>
      </c>
    </row>
    <row r="68" customFormat="false" ht="15" hidden="false" customHeight="false" outlineLevel="0" collapsed="false">
      <c r="B68" s="53" t="n">
        <v>59</v>
      </c>
      <c r="C68" s="9" t="s">
        <v>640</v>
      </c>
      <c r="D68" s="9" t="s">
        <v>649</v>
      </c>
      <c r="E68" s="10" t="n">
        <v>0.0522</v>
      </c>
      <c r="F68" s="54" t="n">
        <f aca="false">Bonds!$G$9</f>
        <v>0.0521630624999945</v>
      </c>
      <c r="G68" s="34" t="n">
        <f aca="false">IFERROR(IF(ISNUMBER(F68),F68-E68,"n/a"),"n/a")</f>
        <v>-3.69375000055308E-005</v>
      </c>
      <c r="H68" s="55" t="n">
        <v>5.0001E-005</v>
      </c>
      <c r="I68" s="52" t="str">
        <f aca="false">IFERROR(IF(ISNUMBER(F68),IF(ABS(F68-E68)&lt;=H68,"PASS","FAIL"),"FAIL"),"FAIL")</f>
        <v>PASS</v>
      </c>
    </row>
    <row r="69" customFormat="false" ht="15" hidden="false" customHeight="false" outlineLevel="0" collapsed="false">
      <c r="B69" s="53" t="n">
        <v>60</v>
      </c>
      <c r="C69" s="9" t="s">
        <v>640</v>
      </c>
      <c r="D69" s="9" t="s">
        <v>650</v>
      </c>
      <c r="E69" s="10" t="n">
        <v>0.013</v>
      </c>
      <c r="F69" s="54" t="n">
        <f aca="false">Bonds!$D$10</f>
        <v>0.013</v>
      </c>
      <c r="G69" s="34" t="n">
        <f aca="false">IFERROR(IF(ISNUMBER(F69),F69-E69,"n/a"),"n/a")</f>
        <v>0</v>
      </c>
      <c r="H69" s="55" t="n">
        <v>5.0001E-005</v>
      </c>
      <c r="I69" s="52" t="str">
        <f aca="false">IFERROR(IF(ISNUMBER(F69),IF(ABS(F69-E69)&lt;=H69,"PASS","FAIL"),"FAIL"),"FAIL")</f>
        <v>PASS</v>
      </c>
    </row>
    <row r="70" customFormat="false" ht="15" hidden="false" customHeight="false" outlineLevel="0" collapsed="false">
      <c r="B70" s="53" t="n">
        <v>61</v>
      </c>
      <c r="C70" s="9" t="s">
        <v>640</v>
      </c>
      <c r="D70" s="9" t="s">
        <v>651</v>
      </c>
      <c r="E70" s="10" t="n">
        <v>0.053</v>
      </c>
      <c r="F70" s="54" t="n">
        <f aca="false">Bonds!$E$10</f>
        <v>0.053</v>
      </c>
      <c r="G70" s="34" t="n">
        <f aca="false">IFERROR(IF(ISNUMBER(F70),F70-E70,"n/a"),"n/a")</f>
        <v>0</v>
      </c>
      <c r="H70" s="55" t="n">
        <v>5.0001E-005</v>
      </c>
      <c r="I70" s="52" t="str">
        <f aca="false">IFERROR(IF(ISNUMBER(F70),IF(ABS(F70-E70)&lt;=H70,"PASS","FAIL"),"FAIL"),"FAIL")</f>
        <v>PASS</v>
      </c>
    </row>
    <row r="71" customFormat="false" ht="15" hidden="false" customHeight="false" outlineLevel="0" collapsed="false">
      <c r="B71" s="53" t="n">
        <v>62</v>
      </c>
      <c r="C71" s="9" t="s">
        <v>640</v>
      </c>
      <c r="D71" s="9" t="s">
        <v>652</v>
      </c>
      <c r="E71" s="10" t="n">
        <v>0.0537</v>
      </c>
      <c r="F71" s="54" t="n">
        <f aca="false">Bonds!$G$10</f>
        <v>0.0537022499999846</v>
      </c>
      <c r="G71" s="34" t="n">
        <f aca="false">IFERROR(IF(ISNUMBER(F71),F71-E71,"n/a"),"n/a")</f>
        <v>2.2499999846326E-006</v>
      </c>
      <c r="H71" s="55" t="n">
        <v>5.0001E-005</v>
      </c>
      <c r="I71" s="52" t="str">
        <f aca="false">IFERROR(IF(ISNUMBER(F71),IF(ABS(F71-E71)&lt;=H71,"PASS","FAIL"),"FAIL"),"FAIL")</f>
        <v>PASS</v>
      </c>
    </row>
    <row r="72" customFormat="false" ht="15" hidden="false" customHeight="false" outlineLevel="0" collapsed="false">
      <c r="B72" s="53" t="n">
        <v>63</v>
      </c>
      <c r="C72" s="9" t="s">
        <v>640</v>
      </c>
      <c r="D72" s="9" t="s">
        <v>653</v>
      </c>
      <c r="E72" s="10" t="n">
        <v>0.0145</v>
      </c>
      <c r="F72" s="54" t="n">
        <f aca="false">Bonds!$D$11</f>
        <v>0.0145</v>
      </c>
      <c r="G72" s="34" t="n">
        <f aca="false">IFERROR(IF(ISNUMBER(F72),F72-E72,"n/a"),"n/a")</f>
        <v>0</v>
      </c>
      <c r="H72" s="55" t="n">
        <v>5.0001E-005</v>
      </c>
      <c r="I72" s="52" t="str">
        <f aca="false">IFERROR(IF(ISNUMBER(F72),IF(ABS(F72-E72)&lt;=H72,"PASS","FAIL"),"FAIL"),"FAIL")</f>
        <v>PASS</v>
      </c>
    </row>
    <row r="73" customFormat="false" ht="15" hidden="false" customHeight="false" outlineLevel="0" collapsed="false">
      <c r="B73" s="53" t="n">
        <v>64</v>
      </c>
      <c r="C73" s="9" t="s">
        <v>640</v>
      </c>
      <c r="D73" s="9" t="s">
        <v>654</v>
      </c>
      <c r="E73" s="10" t="n">
        <v>0.0545</v>
      </c>
      <c r="F73" s="54" t="n">
        <f aca="false">Bonds!$E$11</f>
        <v>0.0545</v>
      </c>
      <c r="G73" s="34" t="n">
        <f aca="false">IFERROR(IF(ISNUMBER(F73),F73-E73,"n/a"),"n/a")</f>
        <v>0</v>
      </c>
      <c r="H73" s="55" t="n">
        <v>5.0001E-005</v>
      </c>
      <c r="I73" s="52" t="str">
        <f aca="false">IFERROR(IF(ISNUMBER(F73),IF(ABS(F73-E73)&lt;=H73,"PASS","FAIL"),"FAIL"),"FAIL")</f>
        <v>PASS</v>
      </c>
    </row>
    <row r="74" customFormat="false" ht="15" hidden="false" customHeight="false" outlineLevel="0" collapsed="false">
      <c r="B74" s="53" t="n">
        <v>65</v>
      </c>
      <c r="C74" s="9" t="s">
        <v>640</v>
      </c>
      <c r="D74" s="9" t="s">
        <v>655</v>
      </c>
      <c r="E74" s="10" t="n">
        <v>0.0552</v>
      </c>
      <c r="F74" s="54" t="n">
        <f aca="false">Bonds!$G$11</f>
        <v>0.0552425624999637</v>
      </c>
      <c r="G74" s="34" t="n">
        <f aca="false">IFERROR(IF(ISNUMBER(F74),F74-E74,"n/a"),"n/a")</f>
        <v>4.25624999637331E-005</v>
      </c>
      <c r="H74" s="55" t="n">
        <v>5.0001E-005</v>
      </c>
      <c r="I74" s="52" t="str">
        <f aca="false">IFERROR(IF(ISNUMBER(F74),IF(ABS(F74-E74)&lt;=H74,"PASS","FAIL"),"FAIL"),"FAIL")</f>
        <v>PASS</v>
      </c>
    </row>
    <row r="75" customFormat="false" ht="15" hidden="false" customHeight="false" outlineLevel="0" collapsed="false">
      <c r="B75" s="53" t="n">
        <v>66</v>
      </c>
      <c r="C75" s="9" t="s">
        <v>640</v>
      </c>
      <c r="D75" s="9" t="s">
        <v>656</v>
      </c>
      <c r="E75" s="10" t="n">
        <v>0.0522</v>
      </c>
      <c r="F75" s="54" t="n">
        <f aca="false">Bonds!$C$12</f>
        <v>0.0521866825360082</v>
      </c>
      <c r="G75" s="34" t="n">
        <f aca="false">IFERROR(IF(ISNUMBER(F75),F75-E75,"n/a"),"n/a")</f>
        <v>-1.33174639917813E-005</v>
      </c>
      <c r="H75" s="55" t="n">
        <v>5.0001E-005</v>
      </c>
      <c r="I75" s="52" t="str">
        <f aca="false">IFERROR(IF(ISNUMBER(F75),IF(ABS(F75-E75)&lt;=H75,"PASS","FAIL"),"FAIL"),"FAIL")</f>
        <v>PASS</v>
      </c>
    </row>
    <row r="76" customFormat="false" ht="15" hidden="false" customHeight="false" outlineLevel="0" collapsed="false">
      <c r="B76" s="53" t="n">
        <v>67</v>
      </c>
      <c r="C76" s="9" t="s">
        <v>640</v>
      </c>
      <c r="D76" s="9" t="s">
        <v>657</v>
      </c>
      <c r="E76" s="10" t="n">
        <v>0.0447</v>
      </c>
      <c r="F76" s="54" t="n">
        <f aca="false">Bonds!$C$13</f>
        <v>0.0447056272742963</v>
      </c>
      <c r="G76" s="34" t="n">
        <f aca="false">IFERROR(IF(ISNUMBER(F76),F76-E76,"n/a"),"n/a")</f>
        <v>5.62727429628124E-006</v>
      </c>
      <c r="H76" s="55" t="n">
        <v>5.0001E-005</v>
      </c>
      <c r="I76" s="52" t="str">
        <f aca="false">IFERROR(IF(ISNUMBER(F76),IF(ABS(F76-E76)&lt;=H76,"PASS","FAIL"),"FAIL"),"FAIL")</f>
        <v>PASS</v>
      </c>
    </row>
    <row r="77" customFormat="false" ht="15" hidden="false" customHeight="false" outlineLevel="0" collapsed="false">
      <c r="B77" s="53" t="n">
        <v>68</v>
      </c>
      <c r="C77" s="9" t="s">
        <v>640</v>
      </c>
      <c r="D77" s="9" t="s">
        <v>658</v>
      </c>
      <c r="E77" s="56" t="n">
        <v>18038</v>
      </c>
      <c r="F77" s="31" t="n">
        <f aca="false">Bonds!$C$14</f>
        <v>18037.5</v>
      </c>
      <c r="G77" s="34" t="n">
        <f aca="false">IFERROR(IF(ISNUMBER(F77),F77-E77,"n/a"),"n/a")</f>
        <v>-0.5</v>
      </c>
      <c r="H77" s="55" t="n">
        <v>0.500000001</v>
      </c>
      <c r="I77" s="52" t="str">
        <f aca="false">IFERROR(IF(ISNUMBER(F77),IF(ABS(F77-E77)&lt;=H77,"PASS","FAIL"),"FAIL"),"FAIL")</f>
        <v>PASS</v>
      </c>
    </row>
    <row r="78" customFormat="false" ht="30" hidden="false" customHeight="true" outlineLevel="0" collapsed="false">
      <c r="B78" s="53" t="n">
        <v>69</v>
      </c>
      <c r="C78" s="9" t="s">
        <v>640</v>
      </c>
      <c r="D78" s="60" t="s">
        <v>659</v>
      </c>
      <c r="E78" s="48" t="s">
        <v>632</v>
      </c>
      <c r="F78" s="61" t="str">
        <f aca="false">IFERROR(IF(ABS(Bonds!$C$14-(SUM(Bond_Flows!$J$35:$U$35)-5*Assumptions!$C$20-IF(Assumptions!$E$22*4&gt;12,Assumptions!$C$20*Bond_Flows!$E$23/100,0)+IF(Assumptions!$E$22*4&gt;12,Assumptions!$C$20,0)-IF(Assumptions!$E$23*4&gt;12,Assumptions!$C$20*Bond_Flows!$E$24/100,0)+IF(Assumptions!$E$23*4&gt;12,Assumptions!$C$20,0)-IF(Assumptions!$E$24*4&gt;12,Assumptions!$C$20*Bond_Flows!$E$25/100,0)+IF(Assumptions!$E$24*4&gt;12,Assumptions!$C$20,0)-IF(Assumptions!$E$25*4&gt;12,Assumptions!$C$20*Bond_Flows!$E$26/100,0)+IF(Assumptions!$E$25*4&gt;12,Assumptions!$C$20,0)-IF(Assumptions!$E$26*4&gt;12,Assumptions!$C$20*Bond_Flows!$E$27/100,0)+IF(Assumptions!$E$26*4&gt;12,Assumptions!$C$20,0)))&lt;0.000001,"holds","does not hold"),"error")</f>
        <v>holds</v>
      </c>
      <c r="G78" s="9"/>
      <c r="H78" s="9"/>
      <c r="I78" s="52" t="str">
        <f aca="false">IFERROR(IF(ABS(Bonds!$C$14-(SUM(Bond_Flows!$J$35:$U$35)-5*Assumptions!$C$20-IF(Assumptions!$E$22*4&gt;12,Assumptions!$C$20*Bond_Flows!$E$23/100,0)+IF(Assumptions!$E$22*4&gt;12,Assumptions!$C$20,0)-IF(Assumptions!$E$23*4&gt;12,Assumptions!$C$20*Bond_Flows!$E$24/100,0)+IF(Assumptions!$E$23*4&gt;12,Assumptions!$C$20,0)-IF(Assumptions!$E$24*4&gt;12,Assumptions!$C$20*Bond_Flows!$E$25/100,0)+IF(Assumptions!$E$24*4&gt;12,Assumptions!$C$20,0)-IF(Assumptions!$E$25*4&gt;12,Assumptions!$C$20*Bond_Flows!$E$26/100,0)+IF(Assumptions!$E$25*4&gt;12,Assumptions!$C$20,0)-IF(Assumptions!$E$26*4&gt;12,Assumptions!$C$20*Bond_Flows!$E$27/100,0)+IF(Assumptions!$E$26*4&gt;12,Assumptions!$C$20,0)))&lt;0.000001,"PASS","FAIL"),"FAIL")</f>
        <v>PASS</v>
      </c>
    </row>
    <row r="79" customFormat="false" ht="15" hidden="false" customHeight="false" outlineLevel="0" collapsed="false">
      <c r="B79" s="53" t="n">
        <v>70</v>
      </c>
      <c r="C79" s="9" t="s">
        <v>640</v>
      </c>
      <c r="D79" s="9" t="s">
        <v>660</v>
      </c>
      <c r="E79" s="10" t="n">
        <v>0.0675</v>
      </c>
      <c r="F79" s="54" t="n">
        <f aca="false">Bonds!$D$18</f>
        <v>0.0675</v>
      </c>
      <c r="G79" s="34" t="n">
        <f aca="false">IFERROR(IF(ISNUMBER(F79),F79-E79,"n/a"),"n/a")</f>
        <v>0</v>
      </c>
      <c r="H79" s="55" t="n">
        <v>5.0001E-005</v>
      </c>
      <c r="I79" s="52" t="str">
        <f aca="false">IFERROR(IF(ISNUMBER(F79),IF(ABS(F79-E79)&lt;=H79,"PASS","FAIL"),"FAIL"),"FAIL")</f>
        <v>PASS</v>
      </c>
    </row>
    <row r="80" customFormat="false" ht="15" hidden="false" customHeight="false" outlineLevel="0" collapsed="false">
      <c r="B80" s="53" t="n">
        <v>71</v>
      </c>
      <c r="C80" s="9" t="s">
        <v>640</v>
      </c>
      <c r="D80" s="9" t="s">
        <v>661</v>
      </c>
      <c r="E80" s="18" t="n">
        <v>99</v>
      </c>
      <c r="F80" s="47" t="n">
        <f aca="false">Bonds!$E$18</f>
        <v>99</v>
      </c>
      <c r="G80" s="34" t="n">
        <f aca="false">IFERROR(IF(ISNUMBER(F80),F80-E80,"n/a"),"n/a")</f>
        <v>0</v>
      </c>
      <c r="H80" s="55" t="n">
        <v>0.005000001</v>
      </c>
      <c r="I80" s="52" t="str">
        <f aca="false">IFERROR(IF(ISNUMBER(F80),IF(ABS(F80-E80)&lt;=H80,"PASS","FAIL"),"FAIL"),"FAIL")</f>
        <v>PASS</v>
      </c>
    </row>
    <row r="81" customFormat="false" ht="15" hidden="false" customHeight="false" outlineLevel="0" collapsed="false">
      <c r="B81" s="53" t="n">
        <v>72</v>
      </c>
      <c r="C81" s="9" t="s">
        <v>640</v>
      </c>
      <c r="D81" s="9" t="s">
        <v>662</v>
      </c>
      <c r="E81" s="10" t="n">
        <v>0.0699</v>
      </c>
      <c r="F81" s="54" t="n">
        <f aca="false">Bonds!$F$18</f>
        <v>0.0699042470751673</v>
      </c>
      <c r="G81" s="34" t="n">
        <f aca="false">IFERROR(IF(ISNUMBER(F81),F81-E81,"n/a"),"n/a")</f>
        <v>4.2470751672602E-006</v>
      </c>
      <c r="H81" s="55" t="n">
        <v>5.0001E-005</v>
      </c>
      <c r="I81" s="52" t="str">
        <f aca="false">IFERROR(IF(ISNUMBER(F81),IF(ABS(F81-E81)&lt;=H81,"PASS","FAIL"),"FAIL"),"FAIL")</f>
        <v>PASS</v>
      </c>
    </row>
    <row r="82" customFormat="false" ht="15" hidden="false" customHeight="false" outlineLevel="0" collapsed="false">
      <c r="B82" s="53" t="n">
        <v>73</v>
      </c>
      <c r="C82" s="9" t="s">
        <v>640</v>
      </c>
      <c r="D82" s="9" t="s">
        <v>663</v>
      </c>
      <c r="E82" s="10" t="n">
        <v>0.0711</v>
      </c>
      <c r="F82" s="54" t="n">
        <f aca="false">Bonds!$G$18</f>
        <v>0.0711258980149541</v>
      </c>
      <c r="G82" s="34" t="n">
        <f aca="false">IFERROR(IF(ISNUMBER(F82),F82-E82,"n/a"),"n/a")</f>
        <v>2.58980149540622E-005</v>
      </c>
      <c r="H82" s="55" t="n">
        <v>5.0001E-005</v>
      </c>
      <c r="I82" s="52" t="str">
        <f aca="false">IFERROR(IF(ISNUMBER(F82),IF(ABS(F82-E82)&lt;=H82,"PASS","FAIL"),"FAIL"),"FAIL")</f>
        <v>PASS</v>
      </c>
    </row>
    <row r="83" customFormat="false" ht="15" hidden="false" customHeight="false" outlineLevel="0" collapsed="false">
      <c r="B83" s="53" t="n">
        <v>74</v>
      </c>
      <c r="C83" s="9" t="s">
        <v>640</v>
      </c>
      <c r="D83" s="9" t="s">
        <v>664</v>
      </c>
      <c r="E83" s="10" t="n">
        <v>0.07</v>
      </c>
      <c r="F83" s="54" t="n">
        <f aca="false">Bonds!$D$19</f>
        <v>0.07</v>
      </c>
      <c r="G83" s="34" t="n">
        <f aca="false">IFERROR(IF(ISNUMBER(F83),F83-E83,"n/a"),"n/a")</f>
        <v>0</v>
      </c>
      <c r="H83" s="55" t="n">
        <v>5.0001E-005</v>
      </c>
      <c r="I83" s="52" t="str">
        <f aca="false">IFERROR(IF(ISNUMBER(F83),IF(ABS(F83-E83)&lt;=H83,"PASS","FAIL"),"FAIL"),"FAIL")</f>
        <v>PASS</v>
      </c>
    </row>
    <row r="84" customFormat="false" ht="15" hidden="false" customHeight="false" outlineLevel="0" collapsed="false">
      <c r="B84" s="53" t="n">
        <v>75</v>
      </c>
      <c r="C84" s="9" t="s">
        <v>640</v>
      </c>
      <c r="D84" s="9" t="s">
        <v>665</v>
      </c>
      <c r="E84" s="18" t="n">
        <v>98.5</v>
      </c>
      <c r="F84" s="47" t="n">
        <f aca="false">Bonds!$E$19</f>
        <v>98.5</v>
      </c>
      <c r="G84" s="34" t="n">
        <f aca="false">IFERROR(IF(ISNUMBER(F84),F84-E84,"n/a"),"n/a")</f>
        <v>0</v>
      </c>
      <c r="H84" s="55" t="n">
        <v>0.005000001</v>
      </c>
      <c r="I84" s="52" t="str">
        <f aca="false">IFERROR(IF(ISNUMBER(F84),IF(ABS(F84-E84)&lt;=H84,"PASS","FAIL"),"FAIL"),"FAIL")</f>
        <v>PASS</v>
      </c>
    </row>
    <row r="85" customFormat="false" ht="15" hidden="false" customHeight="false" outlineLevel="0" collapsed="false">
      <c r="B85" s="53" t="n">
        <v>76</v>
      </c>
      <c r="C85" s="9" t="s">
        <v>640</v>
      </c>
      <c r="D85" s="9" t="s">
        <v>666</v>
      </c>
      <c r="E85" s="10" t="n">
        <v>0.0736</v>
      </c>
      <c r="F85" s="54" t="n">
        <f aca="false">Bonds!$F$19</f>
        <v>0.0736404123832243</v>
      </c>
      <c r="G85" s="34" t="n">
        <f aca="false">IFERROR(IF(ISNUMBER(F85),F85-E85,"n/a"),"n/a")</f>
        <v>4.04123832242614E-005</v>
      </c>
      <c r="H85" s="55" t="n">
        <v>5.0001E-005</v>
      </c>
      <c r="I85" s="52" t="str">
        <f aca="false">IFERROR(IF(ISNUMBER(F85),IF(ABS(F85-E85)&lt;=H85,"PASS","FAIL"),"FAIL"),"FAIL")</f>
        <v>PASS</v>
      </c>
    </row>
    <row r="86" customFormat="false" ht="15" hidden="false" customHeight="false" outlineLevel="0" collapsed="false">
      <c r="B86" s="53" t="n">
        <v>77</v>
      </c>
      <c r="C86" s="9" t="s">
        <v>640</v>
      </c>
      <c r="D86" s="9" t="s">
        <v>667</v>
      </c>
      <c r="E86" s="10" t="n">
        <v>0.075</v>
      </c>
      <c r="F86" s="54" t="n">
        <f aca="false">Bonds!$G$19</f>
        <v>0.0749961399672177</v>
      </c>
      <c r="G86" s="34" t="n">
        <f aca="false">IFERROR(IF(ISNUMBER(F86),F86-E86,"n/a"),"n/a")</f>
        <v>-3.86003278234071E-006</v>
      </c>
      <c r="H86" s="55" t="n">
        <v>5.0001E-005</v>
      </c>
      <c r="I86" s="52" t="str">
        <f aca="false">IFERROR(IF(ISNUMBER(F86),IF(ABS(F86-E86)&lt;=H86,"PASS","FAIL"),"FAIL"),"FAIL")</f>
        <v>PASS</v>
      </c>
    </row>
    <row r="87" customFormat="false" ht="15" hidden="false" customHeight="false" outlineLevel="0" collapsed="false">
      <c r="B87" s="53" t="n">
        <v>78</v>
      </c>
      <c r="C87" s="9" t="s">
        <v>640</v>
      </c>
      <c r="D87" s="9" t="s">
        <v>668</v>
      </c>
      <c r="E87" s="10" t="n">
        <v>0.0725</v>
      </c>
      <c r="F87" s="54" t="n">
        <f aca="false">Bonds!$D$20</f>
        <v>0.0725</v>
      </c>
      <c r="G87" s="34" t="n">
        <f aca="false">IFERROR(IF(ISNUMBER(F87),F87-E87,"n/a"),"n/a")</f>
        <v>0</v>
      </c>
      <c r="H87" s="55" t="n">
        <v>5.0001E-005</v>
      </c>
      <c r="I87" s="52" t="str">
        <f aca="false">IFERROR(IF(ISNUMBER(F87),IF(ABS(F87-E87)&lt;=H87,"PASS","FAIL"),"FAIL"),"FAIL")</f>
        <v>PASS</v>
      </c>
    </row>
    <row r="88" customFormat="false" ht="15" hidden="false" customHeight="false" outlineLevel="0" collapsed="false">
      <c r="B88" s="53" t="n">
        <v>79</v>
      </c>
      <c r="C88" s="9" t="s">
        <v>640</v>
      </c>
      <c r="D88" s="9" t="s">
        <v>669</v>
      </c>
      <c r="E88" s="18" t="n">
        <v>98</v>
      </c>
      <c r="F88" s="47" t="n">
        <f aca="false">Bonds!$E$20</f>
        <v>98</v>
      </c>
      <c r="G88" s="34" t="n">
        <f aca="false">IFERROR(IF(ISNUMBER(F88),F88-E88,"n/a"),"n/a")</f>
        <v>0</v>
      </c>
      <c r="H88" s="55" t="n">
        <v>0.005000001</v>
      </c>
      <c r="I88" s="52" t="str">
        <f aca="false">IFERROR(IF(ISNUMBER(F88),IF(ABS(F88-E88)&lt;=H88,"PASS","FAIL"),"FAIL"),"FAIL")</f>
        <v>PASS</v>
      </c>
    </row>
    <row r="89" customFormat="false" ht="15" hidden="false" customHeight="false" outlineLevel="0" collapsed="false">
      <c r="B89" s="53" t="n">
        <v>80</v>
      </c>
      <c r="C89" s="9" t="s">
        <v>640</v>
      </c>
      <c r="D89" s="9" t="s">
        <v>670</v>
      </c>
      <c r="E89" s="10" t="n">
        <v>0.0774</v>
      </c>
      <c r="F89" s="54" t="n">
        <f aca="false">Bonds!$F$20</f>
        <v>0.0773997713205988</v>
      </c>
      <c r="G89" s="34" t="n">
        <f aca="false">IFERROR(IF(ISNUMBER(F89),F89-E89,"n/a"),"n/a")</f>
        <v>-2.28679401206855E-007</v>
      </c>
      <c r="H89" s="55" t="n">
        <v>5.0001E-005</v>
      </c>
      <c r="I89" s="52" t="str">
        <f aca="false">IFERROR(IF(ISNUMBER(F89),IF(ABS(F89-E89)&lt;=H89,"PASS","FAIL"),"FAIL"),"FAIL")</f>
        <v>PASS</v>
      </c>
    </row>
    <row r="90" customFormat="false" ht="15" hidden="false" customHeight="false" outlineLevel="0" collapsed="false">
      <c r="B90" s="53" t="n">
        <v>81</v>
      </c>
      <c r="C90" s="9" t="s">
        <v>640</v>
      </c>
      <c r="D90" s="9" t="s">
        <v>671</v>
      </c>
      <c r="E90" s="10" t="n">
        <v>0.0789</v>
      </c>
      <c r="F90" s="54" t="n">
        <f aca="false">Bonds!$G$20</f>
        <v>0.0788974524707193</v>
      </c>
      <c r="G90" s="34" t="n">
        <f aca="false">IFERROR(IF(ISNUMBER(F90),F90-E90,"n/a"),"n/a")</f>
        <v>-2.54752928066648E-006</v>
      </c>
      <c r="H90" s="55" t="n">
        <v>5.0001E-005</v>
      </c>
      <c r="I90" s="52" t="str">
        <f aca="false">IFERROR(IF(ISNUMBER(F90),IF(ABS(F90-E90)&lt;=H90,"PASS","FAIL"),"FAIL"),"FAIL")</f>
        <v>PASS</v>
      </c>
    </row>
    <row r="91" customFormat="false" ht="15" hidden="false" customHeight="false" outlineLevel="0" collapsed="false">
      <c r="B91" s="53" t="n">
        <v>82</v>
      </c>
      <c r="C91" s="9" t="s">
        <v>640</v>
      </c>
      <c r="D91" s="9" t="s">
        <v>672</v>
      </c>
      <c r="E91" s="10" t="n">
        <v>0.075</v>
      </c>
      <c r="F91" s="54" t="n">
        <f aca="false">Bonds!$D$21</f>
        <v>0.075</v>
      </c>
      <c r="G91" s="34" t="n">
        <f aca="false">IFERROR(IF(ISNUMBER(F91),F91-E91,"n/a"),"n/a")</f>
        <v>0</v>
      </c>
      <c r="H91" s="55" t="n">
        <v>5.0001E-005</v>
      </c>
      <c r="I91" s="52" t="str">
        <f aca="false">IFERROR(IF(ISNUMBER(F91),IF(ABS(F91-E91)&lt;=H91,"PASS","FAIL"),"FAIL"),"FAIL")</f>
        <v>PASS</v>
      </c>
    </row>
    <row r="92" customFormat="false" ht="15" hidden="false" customHeight="false" outlineLevel="0" collapsed="false">
      <c r="B92" s="53" t="n">
        <v>83</v>
      </c>
      <c r="C92" s="9" t="s">
        <v>640</v>
      </c>
      <c r="D92" s="9" t="s">
        <v>673</v>
      </c>
      <c r="E92" s="18" t="n">
        <v>97.5</v>
      </c>
      <c r="F92" s="47" t="n">
        <f aca="false">Bonds!$E$21</f>
        <v>97.5</v>
      </c>
      <c r="G92" s="34" t="n">
        <f aca="false">IFERROR(IF(ISNUMBER(F92),F92-E92,"n/a"),"n/a")</f>
        <v>0</v>
      </c>
      <c r="H92" s="55" t="n">
        <v>0.005000001</v>
      </c>
      <c r="I92" s="52" t="str">
        <f aca="false">IFERROR(IF(ISNUMBER(F92),IF(ABS(F92-E92)&lt;=H92,"PASS","FAIL"),"FAIL"),"FAIL")</f>
        <v>PASS</v>
      </c>
    </row>
    <row r="93" customFormat="false" ht="15" hidden="false" customHeight="false" outlineLevel="0" collapsed="false">
      <c r="B93" s="53" t="n">
        <v>84</v>
      </c>
      <c r="C93" s="9" t="s">
        <v>640</v>
      </c>
      <c r="D93" s="9" t="s">
        <v>674</v>
      </c>
      <c r="E93" s="10" t="n">
        <v>0.0812</v>
      </c>
      <c r="F93" s="54" t="n">
        <f aca="false">Bonds!$F$21</f>
        <v>0.0811827080590467</v>
      </c>
      <c r="G93" s="34" t="n">
        <f aca="false">IFERROR(IF(ISNUMBER(F93),F93-E93,"n/a"),"n/a")</f>
        <v>-1.72919409533456E-005</v>
      </c>
      <c r="H93" s="55" t="n">
        <v>5.0001E-005</v>
      </c>
      <c r="I93" s="52" t="str">
        <f aca="false">IFERROR(IF(ISNUMBER(F93),IF(ABS(F93-E93)&lt;=H93,"PASS","FAIL"),"FAIL"),"FAIL")</f>
        <v>PASS</v>
      </c>
    </row>
    <row r="94" customFormat="false" ht="15" hidden="false" customHeight="false" outlineLevel="0" collapsed="false">
      <c r="B94" s="53" t="n">
        <v>85</v>
      </c>
      <c r="C94" s="9" t="s">
        <v>640</v>
      </c>
      <c r="D94" s="9" t="s">
        <v>675</v>
      </c>
      <c r="E94" s="10" t="n">
        <v>0.0828</v>
      </c>
      <c r="F94" s="54" t="n">
        <f aca="false">Bonds!$G$21</f>
        <v>0.0828303660809961</v>
      </c>
      <c r="G94" s="34" t="n">
        <f aca="false">IFERROR(IF(ISNUMBER(F94),F94-E94,"n/a"),"n/a")</f>
        <v>3.03660809961442E-005</v>
      </c>
      <c r="H94" s="55" t="n">
        <v>5.0001E-005</v>
      </c>
      <c r="I94" s="52" t="str">
        <f aca="false">IFERROR(IF(ISNUMBER(F94),IF(ABS(F94-E94)&lt;=H94,"PASS","FAIL"),"FAIL"),"FAIL")</f>
        <v>PASS</v>
      </c>
    </row>
    <row r="95" customFormat="false" ht="15" hidden="false" customHeight="false" outlineLevel="0" collapsed="false">
      <c r="B95" s="53" t="n">
        <v>86</v>
      </c>
      <c r="C95" s="9" t="s">
        <v>640</v>
      </c>
      <c r="D95" s="9" t="s">
        <v>676</v>
      </c>
      <c r="E95" s="10" t="n">
        <v>0.08</v>
      </c>
      <c r="F95" s="54" t="n">
        <f aca="false">Bonds!$D$22</f>
        <v>0.08</v>
      </c>
      <c r="G95" s="34" t="n">
        <f aca="false">IFERROR(IF(ISNUMBER(F95),F95-E95,"n/a"),"n/a")</f>
        <v>0</v>
      </c>
      <c r="H95" s="55" t="n">
        <v>5.0001E-005</v>
      </c>
      <c r="I95" s="52" t="str">
        <f aca="false">IFERROR(IF(ISNUMBER(F95),IF(ABS(F95-E95)&lt;=H95,"PASS","FAIL"),"FAIL"),"FAIL")</f>
        <v>PASS</v>
      </c>
    </row>
    <row r="96" customFormat="false" ht="15" hidden="false" customHeight="false" outlineLevel="0" collapsed="false">
      <c r="B96" s="53" t="n">
        <v>87</v>
      </c>
      <c r="C96" s="9" t="s">
        <v>640</v>
      </c>
      <c r="D96" s="9" t="s">
        <v>677</v>
      </c>
      <c r="E96" s="18" t="n">
        <v>97</v>
      </c>
      <c r="F96" s="47" t="n">
        <f aca="false">Bonds!$E$22</f>
        <v>97</v>
      </c>
      <c r="G96" s="34" t="n">
        <f aca="false">IFERROR(IF(ISNUMBER(F96),F96-E96,"n/a"),"n/a")</f>
        <v>0</v>
      </c>
      <c r="H96" s="55" t="n">
        <v>0.005000001</v>
      </c>
      <c r="I96" s="52" t="str">
        <f aca="false">IFERROR(IF(ISNUMBER(F96),IF(ABS(F96-E96)&lt;=H96,"PASS","FAIL"),"FAIL"),"FAIL")</f>
        <v>PASS</v>
      </c>
    </row>
    <row r="97" customFormat="false" ht="15" hidden="false" customHeight="false" outlineLevel="0" collapsed="false">
      <c r="B97" s="53" t="n">
        <v>88</v>
      </c>
      <c r="C97" s="9" t="s">
        <v>640</v>
      </c>
      <c r="D97" s="9" t="s">
        <v>678</v>
      </c>
      <c r="E97" s="10" t="n">
        <v>0.0875</v>
      </c>
      <c r="F97" s="54" t="n">
        <f aca="false">Bonds!$F$22</f>
        <v>0.0875368825411204</v>
      </c>
      <c r="G97" s="34" t="n">
        <f aca="false">IFERROR(IF(ISNUMBER(F97),F97-E97,"n/a"),"n/a")</f>
        <v>3.68825411204421E-005</v>
      </c>
      <c r="H97" s="55" t="n">
        <v>5.0001E-005</v>
      </c>
      <c r="I97" s="52" t="str">
        <f aca="false">IFERROR(IF(ISNUMBER(F97),IF(ABS(F97-E97)&lt;=H97,"PASS","FAIL"),"FAIL"),"FAIL")</f>
        <v>PASS</v>
      </c>
    </row>
    <row r="98" customFormat="false" ht="15" hidden="false" customHeight="false" outlineLevel="0" collapsed="false">
      <c r="B98" s="53" t="n">
        <v>89</v>
      </c>
      <c r="C98" s="9" t="s">
        <v>640</v>
      </c>
      <c r="D98" s="9" t="s">
        <v>679</v>
      </c>
      <c r="E98" s="10" t="n">
        <v>0.0895</v>
      </c>
      <c r="F98" s="54" t="n">
        <f aca="false">Bonds!$G$22</f>
        <v>0.0894525589923749</v>
      </c>
      <c r="G98" s="34" t="n">
        <f aca="false">IFERROR(IF(ISNUMBER(F98),F98-E98,"n/a"),"n/a")</f>
        <v>-4.74410076250764E-005</v>
      </c>
      <c r="H98" s="55" t="n">
        <v>5.0001E-005</v>
      </c>
      <c r="I98" s="52" t="str">
        <f aca="false">IFERROR(IF(ISNUMBER(F98),IF(ABS(F98-E98)&lt;=H98,"PASS","FAIL"),"FAIL"),"FAIL")</f>
        <v>PASS</v>
      </c>
    </row>
    <row r="99" customFormat="false" ht="15" hidden="false" customHeight="false" outlineLevel="0" collapsed="false">
      <c r="B99" s="53" t="n">
        <v>90</v>
      </c>
      <c r="C99" s="9" t="s">
        <v>640</v>
      </c>
      <c r="D99" s="9" t="s">
        <v>680</v>
      </c>
      <c r="E99" s="10" t="n">
        <v>0.085</v>
      </c>
      <c r="F99" s="54" t="n">
        <f aca="false">Bonds!$D$23</f>
        <v>0.085</v>
      </c>
      <c r="G99" s="34" t="n">
        <f aca="false">IFERROR(IF(ISNUMBER(F99),F99-E99,"n/a"),"n/a")</f>
        <v>0</v>
      </c>
      <c r="H99" s="55" t="n">
        <v>5.0001E-005</v>
      </c>
      <c r="I99" s="52" t="str">
        <f aca="false">IFERROR(IF(ISNUMBER(F99),IF(ABS(F99-E99)&lt;=H99,"PASS","FAIL"),"FAIL"),"FAIL")</f>
        <v>PASS</v>
      </c>
    </row>
    <row r="100" customFormat="false" ht="15" hidden="false" customHeight="false" outlineLevel="0" collapsed="false">
      <c r="B100" s="53" t="n">
        <v>91</v>
      </c>
      <c r="C100" s="9" t="s">
        <v>640</v>
      </c>
      <c r="D100" s="9" t="s">
        <v>681</v>
      </c>
      <c r="E100" s="18" t="n">
        <v>94</v>
      </c>
      <c r="F100" s="47" t="n">
        <f aca="false">Bonds!$E$23</f>
        <v>94</v>
      </c>
      <c r="G100" s="34" t="n">
        <f aca="false">IFERROR(IF(ISNUMBER(F100),F100-E100,"n/a"),"n/a")</f>
        <v>0</v>
      </c>
      <c r="H100" s="55" t="n">
        <v>0.005000001</v>
      </c>
      <c r="I100" s="52" t="str">
        <f aca="false">IFERROR(IF(ISNUMBER(F100),IF(ABS(F100-E100)&lt;=H100,"PASS","FAIL"),"FAIL"),"FAIL")</f>
        <v>PASS</v>
      </c>
    </row>
    <row r="101" customFormat="false" ht="15" hidden="false" customHeight="false" outlineLevel="0" collapsed="false">
      <c r="B101" s="53" t="n">
        <v>92</v>
      </c>
      <c r="C101" s="9" t="s">
        <v>640</v>
      </c>
      <c r="D101" s="9" t="s">
        <v>682</v>
      </c>
      <c r="E101" s="10" t="n">
        <v>0.1006</v>
      </c>
      <c r="F101" s="54" t="n">
        <f aca="false">Bonds!$F$23</f>
        <v>0.100561753609911</v>
      </c>
      <c r="G101" s="34" t="n">
        <f aca="false">IFERROR(IF(ISNUMBER(F101),F101-E101,"n/a"),"n/a")</f>
        <v>-3.8246390089175E-005</v>
      </c>
      <c r="H101" s="55" t="n">
        <v>5.0001E-005</v>
      </c>
      <c r="I101" s="52" t="str">
        <f aca="false">IFERROR(IF(ISNUMBER(F101),IF(ABS(F101-E101)&lt;=H101,"PASS","FAIL"),"FAIL"),"FAIL")</f>
        <v>PASS</v>
      </c>
    </row>
    <row r="102" customFormat="false" ht="15" hidden="false" customHeight="false" outlineLevel="0" collapsed="false">
      <c r="B102" s="53" t="n">
        <v>93</v>
      </c>
      <c r="C102" s="9" t="s">
        <v>640</v>
      </c>
      <c r="D102" s="9" t="s">
        <v>683</v>
      </c>
      <c r="E102" s="10" t="n">
        <v>-0.2546</v>
      </c>
      <c r="F102" s="54" t="n">
        <f aca="false">Bonds!$G$23</f>
        <v>-0.254569160102313</v>
      </c>
      <c r="G102" s="34" t="n">
        <f aca="false">IFERROR(IF(ISNUMBER(F102),F102-E102,"n/a"),"n/a")</f>
        <v>3.0839897686763E-005</v>
      </c>
      <c r="H102" s="55" t="n">
        <v>5.0001E-005</v>
      </c>
      <c r="I102" s="52" t="str">
        <f aca="false">IFERROR(IF(ISNUMBER(F102),IF(ABS(F102-E102)&lt;=H102,"PASS","FAIL"),"FAIL"),"FAIL")</f>
        <v>PASS</v>
      </c>
    </row>
    <row r="103" customFormat="false" ht="15" hidden="false" customHeight="false" outlineLevel="0" collapsed="false">
      <c r="B103" s="53" t="n">
        <v>94</v>
      </c>
      <c r="C103" s="9" t="s">
        <v>640</v>
      </c>
      <c r="D103" s="9" t="s">
        <v>684</v>
      </c>
      <c r="E103" s="56" t="n">
        <v>5000</v>
      </c>
      <c r="F103" s="31" t="n">
        <f aca="false">Bonds!$C$24</f>
        <v>5000</v>
      </c>
      <c r="G103" s="34" t="n">
        <f aca="false">IFERROR(IF(ISNUMBER(F103),F103-E103,"n/a"),"n/a")</f>
        <v>0</v>
      </c>
      <c r="H103" s="55" t="n">
        <v>0.500000001</v>
      </c>
      <c r="I103" s="52" t="str">
        <f aca="false">IFERROR(IF(ISNUMBER(F103),IF(ABS(F103-E103)&lt;=H103,"PASS","FAIL"),"FAIL"),"FAIL")</f>
        <v>PASS</v>
      </c>
    </row>
    <row r="104" customFormat="false" ht="15" hidden="false" customHeight="false" outlineLevel="0" collapsed="false">
      <c r="B104" s="53" t="n">
        <v>95</v>
      </c>
      <c r="C104" s="9" t="s">
        <v>640</v>
      </c>
      <c r="D104" s="9" t="s">
        <v>685</v>
      </c>
      <c r="E104" s="56" t="n">
        <v>-5688</v>
      </c>
      <c r="F104" s="31" t="n">
        <f aca="false">Bonds!$C$25</f>
        <v>-5687.5</v>
      </c>
      <c r="G104" s="34" t="n">
        <f aca="false">IFERROR(IF(ISNUMBER(F104),F104-E104,"n/a"),"n/a")</f>
        <v>0.5</v>
      </c>
      <c r="H104" s="55" t="n">
        <v>0.500000001</v>
      </c>
      <c r="I104" s="52" t="str">
        <f aca="false">IFERROR(IF(ISNUMBER(F104),IF(ABS(F104-E104)&lt;=H104,"PASS","FAIL"),"FAIL"),"FAIL")</f>
        <v>PASS</v>
      </c>
    </row>
    <row r="105" customFormat="false" ht="15" hidden="false" customHeight="false" outlineLevel="0" collapsed="false">
      <c r="B105" s="53" t="n">
        <v>96</v>
      </c>
      <c r="C105" s="9" t="s">
        <v>640</v>
      </c>
      <c r="D105" s="9" t="s">
        <v>686</v>
      </c>
      <c r="E105" s="10" t="n">
        <v>0.0422</v>
      </c>
      <c r="F105" s="54" t="n">
        <f aca="false">Bonds!$C$26</f>
        <v>0.0421815773308225</v>
      </c>
      <c r="G105" s="34" t="n">
        <f aca="false">IFERROR(IF(ISNUMBER(F105),F105-E105,"n/a"),"n/a")</f>
        <v>-1.84226691774814E-005</v>
      </c>
      <c r="H105" s="55" t="n">
        <v>5.0001E-005</v>
      </c>
      <c r="I105" s="52" t="str">
        <f aca="false">IFERROR(IF(ISNUMBER(F105),IF(ABS(F105-E105)&lt;=H105,"PASS","FAIL"),"FAIL"),"FAIL")</f>
        <v>PASS</v>
      </c>
    </row>
    <row r="106" customFormat="false" ht="15" hidden="false" customHeight="false" outlineLevel="0" collapsed="false">
      <c r="B106" s="53" t="n">
        <v>97</v>
      </c>
      <c r="C106" s="9" t="s">
        <v>640</v>
      </c>
      <c r="D106" s="9" t="s">
        <v>687</v>
      </c>
      <c r="E106" s="10" t="n">
        <v>0.0832</v>
      </c>
      <c r="F106" s="54" t="n">
        <f aca="false">Bonds!$C$27</f>
        <v>0.0832358496413976</v>
      </c>
      <c r="G106" s="34" t="n">
        <f aca="false">IFERROR(IF(ISNUMBER(F106),F106-E106,"n/a"),"n/a")</f>
        <v>3.58496413976339E-005</v>
      </c>
      <c r="H106" s="55" t="n">
        <v>5.0001E-005</v>
      </c>
      <c r="I106" s="52" t="str">
        <f aca="false">IFERROR(IF(ISNUMBER(F106),IF(ABS(F106-E106)&lt;=H106,"PASS","FAIL"),"FAIL"),"FAIL")</f>
        <v>PASS</v>
      </c>
    </row>
    <row r="107" customFormat="false" ht="15" hidden="false" customHeight="true" outlineLevel="0" collapsed="false">
      <c r="B107" s="53" t="n">
        <v>98</v>
      </c>
      <c r="C107" s="9" t="s">
        <v>640</v>
      </c>
      <c r="D107" s="60" t="s">
        <v>688</v>
      </c>
      <c r="E107" s="48" t="s">
        <v>632</v>
      </c>
      <c r="F107" s="61" t="str">
        <f aca="false">IFERROR(IF(Bonds!$C$26&lt;Bonds!$C$27,"holds","does not hold"),"error")</f>
        <v>holds</v>
      </c>
      <c r="G107" s="9"/>
      <c r="H107" s="9"/>
      <c r="I107" s="52" t="str">
        <f aca="false">IFERROR(IF(Bonds!$C$26&lt;Bonds!$C$27,"PASS","FAIL"),"FAIL")</f>
        <v>PASS</v>
      </c>
    </row>
    <row r="108" customFormat="false" ht="15" hidden="false" customHeight="false" outlineLevel="0" collapsed="false">
      <c r="B108" s="53" t="n">
        <v>99</v>
      </c>
      <c r="C108" s="9" t="s">
        <v>689</v>
      </c>
      <c r="D108" s="9" t="s">
        <v>690</v>
      </c>
      <c r="E108" s="18" t="n">
        <v>10</v>
      </c>
      <c r="F108" s="47" t="n">
        <f aca="false">Loan_Fund!$C$5</f>
        <v>10</v>
      </c>
      <c r="G108" s="34" t="n">
        <f aca="false">IFERROR(IF(ISNUMBER(F108),F108-E108,"n/a"),"n/a")</f>
        <v>0</v>
      </c>
      <c r="H108" s="55" t="n">
        <v>0.005000001</v>
      </c>
      <c r="I108" s="52" t="str">
        <f aca="false">IFERROR(IF(ISNUMBER(F108),IF(ABS(F108-E108)&lt;=H108,"PASS","FAIL"),"FAIL"),"FAIL")</f>
        <v>PASS</v>
      </c>
    </row>
    <row r="109" customFormat="false" ht="15" hidden="false" customHeight="false" outlineLevel="0" collapsed="false">
      <c r="B109" s="53" t="n">
        <v>100</v>
      </c>
      <c r="C109" s="9" t="s">
        <v>689</v>
      </c>
      <c r="D109" s="9" t="s">
        <v>691</v>
      </c>
      <c r="E109" s="56" t="n">
        <v>7500</v>
      </c>
      <c r="F109" s="31" t="n">
        <f aca="false">Loan_Fund!$C$6</f>
        <v>7500</v>
      </c>
      <c r="G109" s="34" t="n">
        <f aca="false">IFERROR(IF(ISNUMBER(F109),F109-E109,"n/a"),"n/a")</f>
        <v>0</v>
      </c>
      <c r="H109" s="55" t="n">
        <v>0.500000001</v>
      </c>
      <c r="I109" s="52" t="str">
        <f aca="false">IFERROR(IF(ISNUMBER(F109),IF(ABS(F109-E109)&lt;=H109,"PASS","FAIL"),"FAIL"),"FAIL")</f>
        <v>PASS</v>
      </c>
    </row>
    <row r="110" customFormat="false" ht="15" hidden="false" customHeight="false" outlineLevel="0" collapsed="false">
      <c r="B110" s="53" t="n">
        <v>101</v>
      </c>
      <c r="C110" s="9" t="s">
        <v>689</v>
      </c>
      <c r="D110" s="9" t="s">
        <v>595</v>
      </c>
      <c r="E110" s="10" t="n">
        <v>0.036</v>
      </c>
      <c r="F110" s="54" t="n">
        <f aca="false">Loan_Fund!$C$7</f>
        <v>0.036</v>
      </c>
      <c r="G110" s="34" t="n">
        <f aca="false">IFERROR(IF(ISNUMBER(F110),F110-E110,"n/a"),"n/a")</f>
        <v>0</v>
      </c>
      <c r="H110" s="55" t="n">
        <v>5.0001E-005</v>
      </c>
      <c r="I110" s="52" t="str">
        <f aca="false">IFERROR(IF(ISNUMBER(F110),IF(ABS(F110-E110)&lt;=H110,"PASS","FAIL"),"FAIL"),"FAIL")</f>
        <v>PASS</v>
      </c>
    </row>
    <row r="111" customFormat="false" ht="15" hidden="false" customHeight="false" outlineLevel="0" collapsed="false">
      <c r="B111" s="53" t="n">
        <v>102</v>
      </c>
      <c r="C111" s="9" t="s">
        <v>689</v>
      </c>
      <c r="D111" s="9" t="s">
        <v>596</v>
      </c>
      <c r="E111" s="10" t="n">
        <v>0.0095</v>
      </c>
      <c r="F111" s="54" t="n">
        <f aca="false">Loan_Fund!$C$8</f>
        <v>0.0095</v>
      </c>
      <c r="G111" s="34" t="n">
        <f aca="false">IFERROR(IF(ISNUMBER(F111),F111-E111,"n/a"),"n/a")</f>
        <v>0</v>
      </c>
      <c r="H111" s="55" t="n">
        <v>5.0001E-005</v>
      </c>
      <c r="I111" s="52" t="str">
        <f aca="false">IFERROR(IF(ISNUMBER(F111),IF(ABS(F111-E111)&lt;=H111,"PASS","FAIL"),"FAIL"),"FAIL")</f>
        <v>PASS</v>
      </c>
    </row>
    <row r="112" customFormat="false" ht="15" hidden="false" customHeight="false" outlineLevel="0" collapsed="false">
      <c r="B112" s="53" t="n">
        <v>103</v>
      </c>
      <c r="C112" s="9" t="s">
        <v>689</v>
      </c>
      <c r="D112" s="9" t="s">
        <v>692</v>
      </c>
      <c r="E112" s="10" t="n">
        <v>0.0665</v>
      </c>
      <c r="F112" s="54" t="n">
        <f aca="false">Loan_Fund!$C$9</f>
        <v>0.0665</v>
      </c>
      <c r="G112" s="34" t="n">
        <f aca="false">IFERROR(IF(ISNUMBER(F112),F112-E112,"n/a"),"n/a")</f>
        <v>0</v>
      </c>
      <c r="H112" s="55" t="n">
        <v>5.0001E-005</v>
      </c>
      <c r="I112" s="52" t="str">
        <f aca="false">IFERROR(IF(ISNUMBER(F112),IF(ABS(F112-E112)&lt;=H112,"PASS","FAIL"),"FAIL"),"FAIL")</f>
        <v>PASS</v>
      </c>
    </row>
    <row r="113" customFormat="false" ht="15" hidden="false" customHeight="false" outlineLevel="0" collapsed="false">
      <c r="B113" s="53" t="n">
        <v>104</v>
      </c>
      <c r="C113" s="9" t="s">
        <v>689</v>
      </c>
      <c r="D113" s="9" t="s">
        <v>693</v>
      </c>
      <c r="E113" s="10" t="n">
        <v>0.0105</v>
      </c>
      <c r="F113" s="54" t="n">
        <f aca="false">Loan_Fund!$C$10</f>
        <v>0.0105</v>
      </c>
      <c r="G113" s="34" t="n">
        <f aca="false">IFERROR(IF(ISNUMBER(F113),F113-E113,"n/a"),"n/a")</f>
        <v>0</v>
      </c>
      <c r="H113" s="55" t="n">
        <v>5.0001E-005</v>
      </c>
      <c r="I113" s="52" t="str">
        <f aca="false">IFERROR(IF(ISNUMBER(F113),IF(ABS(F113-E113)&lt;=H113,"PASS","FAIL"),"FAIL"),"FAIL")</f>
        <v>PASS</v>
      </c>
    </row>
    <row r="114" customFormat="false" ht="15" hidden="false" customHeight="false" outlineLevel="0" collapsed="false">
      <c r="B114" s="53" t="n">
        <v>105</v>
      </c>
      <c r="C114" s="9" t="s">
        <v>689</v>
      </c>
      <c r="D114" s="9" t="s">
        <v>694</v>
      </c>
      <c r="E114" s="62" t="n">
        <v>9.895</v>
      </c>
      <c r="F114" s="50" t="n">
        <f aca="false">Loan_Fund!$C$11</f>
        <v>9.89541271445919</v>
      </c>
      <c r="G114" s="34" t="n">
        <f aca="false">IFERROR(IF(ISNUMBER(F114),F114-E114,"n/a"),"n/a")</f>
        <v>0.000412714459185892</v>
      </c>
      <c r="H114" s="55" t="n">
        <v>0.000500001</v>
      </c>
      <c r="I114" s="52" t="str">
        <f aca="false">IFERROR(IF(ISNUMBER(F114),IF(ABS(F114-E114)&lt;=H114,"PASS","FAIL"),"FAIL"),"FAIL")</f>
        <v>PASS</v>
      </c>
    </row>
    <row r="115" customFormat="false" ht="15" hidden="false" customHeight="false" outlineLevel="0" collapsed="false">
      <c r="B115" s="53" t="n">
        <v>106</v>
      </c>
      <c r="C115" s="9" t="s">
        <v>689</v>
      </c>
      <c r="D115" s="9" t="s">
        <v>695</v>
      </c>
      <c r="E115" s="62" t="n">
        <v>9.792</v>
      </c>
      <c r="F115" s="50" t="n">
        <f aca="false">Loan_Fund!$C$12</f>
        <v>9.79191927894805</v>
      </c>
      <c r="G115" s="34" t="n">
        <f aca="false">IFERROR(IF(ISNUMBER(F115),F115-E115,"n/a"),"n/a")</f>
        <v>-8.07210519528923E-005</v>
      </c>
      <c r="H115" s="55" t="n">
        <v>0.000500001</v>
      </c>
      <c r="I115" s="52" t="str">
        <f aca="false">IFERROR(IF(ISNUMBER(F115),IF(ABS(F115-E115)&lt;=H115,"PASS","FAIL"),"FAIL"),"FAIL")</f>
        <v>PASS</v>
      </c>
    </row>
    <row r="116" customFormat="false" ht="15" hidden="false" customHeight="false" outlineLevel="0" collapsed="false">
      <c r="B116" s="53" t="n">
        <v>107</v>
      </c>
      <c r="C116" s="9" t="s">
        <v>689</v>
      </c>
      <c r="D116" s="9" t="s">
        <v>696</v>
      </c>
      <c r="E116" s="62" t="n">
        <v>9.69</v>
      </c>
      <c r="F116" s="50" t="n">
        <f aca="false">Loan_Fund!$C$13</f>
        <v>9.68950825318605</v>
      </c>
      <c r="G116" s="34" t="n">
        <f aca="false">IFERROR(IF(ISNUMBER(F116),F116-E116,"n/a"),"n/a")</f>
        <v>-0.00049174681394959</v>
      </c>
      <c r="H116" s="55" t="n">
        <v>0.000500001</v>
      </c>
      <c r="I116" s="52" t="str">
        <f aca="false">IFERROR(IF(ISNUMBER(F116),IF(ABS(F116-E116)&lt;=H116,"PASS","FAIL"),"FAIL"),"FAIL")</f>
        <v>PASS</v>
      </c>
    </row>
    <row r="117" customFormat="false" ht="15" hidden="false" customHeight="false" outlineLevel="0" collapsed="false">
      <c r="B117" s="53" t="n">
        <v>108</v>
      </c>
      <c r="C117" s="9" t="s">
        <v>689</v>
      </c>
      <c r="D117" s="9" t="s">
        <v>697</v>
      </c>
      <c r="E117" s="56" t="n">
        <v>14748</v>
      </c>
      <c r="F117" s="31" t="n">
        <f aca="false">Loan_Fund!$C$14</f>
        <v>14748.3579736628</v>
      </c>
      <c r="G117" s="34" t="n">
        <f aca="false">IFERROR(IF(ISNUMBER(F117),F117-E117,"n/a"),"n/a")</f>
        <v>0.357973662816221</v>
      </c>
      <c r="H117" s="55" t="n">
        <v>0.500000001</v>
      </c>
      <c r="I117" s="52" t="str">
        <f aca="false">IFERROR(IF(ISNUMBER(F117),IF(ABS(F117-E117)&lt;=H117,"PASS","FAIL"),"FAIL"),"FAIL")</f>
        <v>PASS</v>
      </c>
    </row>
    <row r="118" customFormat="false" ht="15" hidden="false" customHeight="false" outlineLevel="0" collapsed="false">
      <c r="B118" s="53" t="n">
        <v>109</v>
      </c>
      <c r="C118" s="9" t="s">
        <v>689</v>
      </c>
      <c r="D118" s="9" t="s">
        <v>698</v>
      </c>
      <c r="E118" s="10" t="n">
        <v>0.0572</v>
      </c>
      <c r="F118" s="54" t="n">
        <f aca="false">Loan_Fund!$C$15</f>
        <v>0.0571870144159075</v>
      </c>
      <c r="G118" s="34" t="n">
        <f aca="false">IFERROR(IF(ISNUMBER(F118),F118-E118,"n/a"),"n/a")</f>
        <v>-1.29855840925452E-005</v>
      </c>
      <c r="H118" s="55" t="n">
        <v>5.0001E-005</v>
      </c>
      <c r="I118" s="52" t="str">
        <f aca="false">IFERROR(IF(ISNUMBER(F118),IF(ABS(F118-E118)&lt;=H118,"PASS","FAIL"),"FAIL"),"FAIL")</f>
        <v>PASS</v>
      </c>
    </row>
    <row r="119" customFormat="false" ht="15" hidden="false" customHeight="false" outlineLevel="0" collapsed="false">
      <c r="B119" s="53" t="n">
        <v>110</v>
      </c>
      <c r="C119" s="9" t="s">
        <v>689</v>
      </c>
      <c r="D119" s="9" t="s">
        <v>699</v>
      </c>
      <c r="E119" s="10" t="n">
        <v>0.0745</v>
      </c>
      <c r="F119" s="54" t="n">
        <f aca="false">Loan_Fund!$C$16</f>
        <v>0.0744950190553291</v>
      </c>
      <c r="G119" s="34" t="n">
        <f aca="false">IFERROR(IF(ISNUMBER(F119),F119-E119,"n/a"),"n/a")</f>
        <v>-4.98094467092647E-006</v>
      </c>
      <c r="H119" s="55" t="n">
        <v>5.0001E-005</v>
      </c>
      <c r="I119" s="52" t="str">
        <f aca="false">IFERROR(IF(ISNUMBER(F119),IF(ABS(F119-E119)&lt;=H119,"PASS","FAIL"),"FAIL"),"FAIL")</f>
        <v>PASS</v>
      </c>
    </row>
    <row r="120" customFormat="false" ht="15" hidden="false" customHeight="false" outlineLevel="0" collapsed="false">
      <c r="B120" s="53" t="n">
        <v>111</v>
      </c>
      <c r="C120" s="9" t="s">
        <v>689</v>
      </c>
      <c r="D120" s="9" t="s">
        <v>700</v>
      </c>
      <c r="E120" s="10" t="n">
        <v>0.0865</v>
      </c>
      <c r="F120" s="54" t="n">
        <f aca="false">Loan_Fund!$C$17</f>
        <v>0.0865</v>
      </c>
      <c r="G120" s="34" t="n">
        <f aca="false">IFERROR(IF(ISNUMBER(F120),F120-E120,"n/a"),"n/a")</f>
        <v>0</v>
      </c>
      <c r="H120" s="55" t="n">
        <v>5.0001E-005</v>
      </c>
      <c r="I120" s="52" t="str">
        <f aca="false">IFERROR(IF(ISNUMBER(F120),IF(ABS(F120-E120)&lt;=H120,"PASS","FAIL"),"FAIL"),"FAIL")</f>
        <v>PASS</v>
      </c>
    </row>
    <row r="121" customFormat="false" ht="15" hidden="false" customHeight="false" outlineLevel="0" collapsed="false">
      <c r="B121" s="53" t="n">
        <v>112</v>
      </c>
      <c r="C121" s="9" t="s">
        <v>689</v>
      </c>
      <c r="D121" s="9" t="s">
        <v>701</v>
      </c>
      <c r="E121" s="21" t="n">
        <v>0.04</v>
      </c>
      <c r="F121" s="59" t="n">
        <f aca="false">Loan_Fund!$C$18</f>
        <v>0.04</v>
      </c>
      <c r="G121" s="34" t="n">
        <f aca="false">IFERROR(IF(ISNUMBER(F121),F121-E121,"n/a"),"n/a")</f>
        <v>0</v>
      </c>
      <c r="H121" s="55" t="n">
        <v>0.000500001</v>
      </c>
      <c r="I121" s="52" t="str">
        <f aca="false">IFERROR(IF(ISNUMBER(F121),IF(ABS(F121-E121)&lt;=H121,"PASS","FAIL"),"FAIL"),"FAIL")</f>
        <v>PASS</v>
      </c>
    </row>
    <row r="122" customFormat="false" ht="15" hidden="false" customHeight="false" outlineLevel="0" collapsed="false">
      <c r="B122" s="53" t="n">
        <v>113</v>
      </c>
      <c r="C122" s="9" t="s">
        <v>689</v>
      </c>
      <c r="D122" s="9" t="s">
        <v>702</v>
      </c>
      <c r="E122" s="10" t="n">
        <v>0.0368</v>
      </c>
      <c r="F122" s="54" t="n">
        <f aca="false">Loan_Fund!$C$19</f>
        <v>0.0367881825294081</v>
      </c>
      <c r="G122" s="34" t="n">
        <f aca="false">IFERROR(IF(ISNUMBER(F122),F122-E122,"n/a"),"n/a")</f>
        <v>-1.18174705919238E-005</v>
      </c>
      <c r="H122" s="55" t="n">
        <v>5.0001E-005</v>
      </c>
      <c r="I122" s="52" t="str">
        <f aca="false">IFERROR(IF(ISNUMBER(F122),IF(ABS(F122-E122)&lt;=H122,"PASS","FAIL"),"FAIL"),"FAIL")</f>
        <v>PASS</v>
      </c>
    </row>
    <row r="123" customFormat="false" ht="15" hidden="false" customHeight="false" outlineLevel="0" collapsed="false">
      <c r="B123" s="53" t="n">
        <v>114</v>
      </c>
      <c r="C123" s="9" t="s">
        <v>689</v>
      </c>
      <c r="D123" s="9" t="s">
        <v>703</v>
      </c>
      <c r="E123" s="10" t="n">
        <v>0.0095</v>
      </c>
      <c r="F123" s="54" t="n">
        <f aca="false">Loan_Fund!$C$8</f>
        <v>0.0095</v>
      </c>
      <c r="G123" s="34" t="n">
        <f aca="false">IFERROR(IF(ISNUMBER(F123),F123-E123,"n/a"),"n/a")</f>
        <v>0</v>
      </c>
      <c r="H123" s="55" t="n">
        <v>5.0001E-005</v>
      </c>
      <c r="I123" s="52" t="str">
        <f aca="false">IFERROR(IF(ISNUMBER(F123),IF(ABS(F123-E123)&lt;=H123,"PASS","FAIL"),"FAIL"),"FAIL")</f>
        <v>PASS</v>
      </c>
    </row>
    <row r="124" customFormat="false" ht="30" hidden="false" customHeight="true" outlineLevel="0" collapsed="false">
      <c r="B124" s="53" t="n">
        <v>115</v>
      </c>
      <c r="C124" s="9" t="s">
        <v>689</v>
      </c>
      <c r="D124" s="60" t="s">
        <v>704</v>
      </c>
      <c r="E124" s="48" t="s">
        <v>632</v>
      </c>
      <c r="F124" s="61" t="str">
        <f aca="false">IFERROR(IF(Loan_Fund!$C$15&lt;Loan_Fund!$C$9,"holds","does not hold"),"error")</f>
        <v>holds</v>
      </c>
      <c r="G124" s="9"/>
      <c r="H124" s="9"/>
      <c r="I124" s="52" t="str">
        <f aca="false">IFERROR(IF(Loan_Fund!$C$15&lt;Loan_Fund!$C$9,"PASS","FAIL"),"FAIL")</f>
        <v>PASS</v>
      </c>
    </row>
    <row r="125" customFormat="false" ht="15" hidden="false" customHeight="false" outlineLevel="0" collapsed="false">
      <c r="B125" s="53" t="n">
        <v>116</v>
      </c>
      <c r="C125" s="9" t="s">
        <v>705</v>
      </c>
      <c r="D125" s="9" t="s">
        <v>706</v>
      </c>
      <c r="E125" s="18" t="n">
        <v>19</v>
      </c>
      <c r="F125" s="47" t="n">
        <f aca="false">BDCs!$C$6</f>
        <v>19</v>
      </c>
      <c r="G125" s="34" t="n">
        <f aca="false">IFERROR(IF(ISNUMBER(F125),F125-E125,"n/a"),"n/a")</f>
        <v>0</v>
      </c>
      <c r="H125" s="55" t="n">
        <v>0.005000001</v>
      </c>
      <c r="I125" s="52" t="str">
        <f aca="false">IFERROR(IF(ISNUMBER(F125),IF(ABS(F125-E125)&lt;=H125,"PASS","FAIL"),"FAIL"),"FAIL")</f>
        <v>PASS</v>
      </c>
    </row>
    <row r="126" customFormat="false" ht="15" hidden="false" customHeight="false" outlineLevel="0" collapsed="false">
      <c r="B126" s="53" t="n">
        <v>117</v>
      </c>
      <c r="C126" s="9" t="s">
        <v>705</v>
      </c>
      <c r="D126" s="9" t="s">
        <v>707</v>
      </c>
      <c r="E126" s="18" t="n">
        <v>15</v>
      </c>
      <c r="F126" s="47" t="n">
        <f aca="false">BDCs!$D$6</f>
        <v>15</v>
      </c>
      <c r="G126" s="34" t="n">
        <f aca="false">IFERROR(IF(ISNUMBER(F126),F126-E126,"n/a"),"n/a")</f>
        <v>0</v>
      </c>
      <c r="H126" s="55" t="n">
        <v>0.005000001</v>
      </c>
      <c r="I126" s="52" t="str">
        <f aca="false">IFERROR(IF(ISNUMBER(F126),IF(ABS(F126-E126)&lt;=H126,"PASS","FAIL"),"FAIL"),"FAIL")</f>
        <v>PASS</v>
      </c>
    </row>
    <row r="127" customFormat="false" ht="15" hidden="false" customHeight="false" outlineLevel="0" collapsed="false">
      <c r="B127" s="53" t="n">
        <v>118</v>
      </c>
      <c r="C127" s="9" t="s">
        <v>705</v>
      </c>
      <c r="D127" s="9" t="s">
        <v>708</v>
      </c>
      <c r="E127" s="18" t="n">
        <v>9</v>
      </c>
      <c r="F127" s="47" t="n">
        <f aca="false">BDCs!$E$6</f>
        <v>9</v>
      </c>
      <c r="G127" s="34" t="n">
        <f aca="false">IFERROR(IF(ISNUMBER(F127),F127-E127,"n/a"),"n/a")</f>
        <v>0</v>
      </c>
      <c r="H127" s="55" t="n">
        <v>0.005000001</v>
      </c>
      <c r="I127" s="52" t="str">
        <f aca="false">IFERROR(IF(ISNUMBER(F127),IF(ABS(F127-E127)&lt;=H127,"PASS","FAIL"),"FAIL"),"FAIL")</f>
        <v>PASS</v>
      </c>
    </row>
    <row r="128" customFormat="false" ht="15" hidden="false" customHeight="false" outlineLevel="0" collapsed="false">
      <c r="B128" s="53" t="n">
        <v>119</v>
      </c>
      <c r="C128" s="9" t="s">
        <v>705</v>
      </c>
      <c r="D128" s="9" t="s">
        <v>709</v>
      </c>
      <c r="E128" s="18" t="n">
        <v>20</v>
      </c>
      <c r="F128" s="47" t="n">
        <f aca="false">BDCs!$C$7</f>
        <v>20</v>
      </c>
      <c r="G128" s="34" t="n">
        <f aca="false">IFERROR(IF(ISNUMBER(F128),F128-E128,"n/a"),"n/a")</f>
        <v>0</v>
      </c>
      <c r="H128" s="55" t="n">
        <v>0.005000001</v>
      </c>
      <c r="I128" s="52" t="str">
        <f aca="false">IFERROR(IF(ISNUMBER(F128),IF(ABS(F128-E128)&lt;=H128,"PASS","FAIL"),"FAIL"),"FAIL")</f>
        <v>PASS</v>
      </c>
    </row>
    <row r="129" customFormat="false" ht="15" hidden="false" customHeight="false" outlineLevel="0" collapsed="false">
      <c r="B129" s="53" t="n">
        <v>120</v>
      </c>
      <c r="C129" s="9" t="s">
        <v>705</v>
      </c>
      <c r="D129" s="9" t="s">
        <v>710</v>
      </c>
      <c r="E129" s="18" t="n">
        <v>14</v>
      </c>
      <c r="F129" s="47" t="n">
        <f aca="false">BDCs!$D$7</f>
        <v>14</v>
      </c>
      <c r="G129" s="34" t="n">
        <f aca="false">IFERROR(IF(ISNUMBER(F129),F129-E129,"n/a"),"n/a")</f>
        <v>0</v>
      </c>
      <c r="H129" s="55" t="n">
        <v>0.005000001</v>
      </c>
      <c r="I129" s="52" t="str">
        <f aca="false">IFERROR(IF(ISNUMBER(F129),IF(ABS(F129-E129)&lt;=H129,"PASS","FAIL"),"FAIL"),"FAIL")</f>
        <v>PASS</v>
      </c>
    </row>
    <row r="130" customFormat="false" ht="15" hidden="false" customHeight="false" outlineLevel="0" collapsed="false">
      <c r="B130" s="53" t="n">
        <v>121</v>
      </c>
      <c r="C130" s="9" t="s">
        <v>705</v>
      </c>
      <c r="D130" s="9" t="s">
        <v>711</v>
      </c>
      <c r="E130" s="18" t="n">
        <v>11.25</v>
      </c>
      <c r="F130" s="47" t="n">
        <f aca="false">BDCs!$E$7</f>
        <v>11.25</v>
      </c>
      <c r="G130" s="34" t="n">
        <f aca="false">IFERROR(IF(ISNUMBER(F130),F130-E130,"n/a"),"n/a")</f>
        <v>0</v>
      </c>
      <c r="H130" s="55" t="n">
        <v>0.005000001</v>
      </c>
      <c r="I130" s="52" t="str">
        <f aca="false">IFERROR(IF(ISNUMBER(F130),IF(ABS(F130-E130)&lt;=H130,"PASS","FAIL"),"FAIL"),"FAIL")</f>
        <v>PASS</v>
      </c>
    </row>
    <row r="131" customFormat="false" ht="15" hidden="false" customHeight="false" outlineLevel="0" collapsed="false">
      <c r="B131" s="53" t="n">
        <v>122</v>
      </c>
      <c r="C131" s="9" t="s">
        <v>705</v>
      </c>
      <c r="D131" s="9" t="s">
        <v>712</v>
      </c>
      <c r="E131" s="21" t="n">
        <v>-0.05</v>
      </c>
      <c r="F131" s="59" t="n">
        <f aca="false">BDCs!$C$8</f>
        <v>-0.05</v>
      </c>
      <c r="G131" s="34" t="n">
        <f aca="false">IFERROR(IF(ISNUMBER(F131),F131-E131,"n/a"),"n/a")</f>
        <v>0</v>
      </c>
      <c r="H131" s="55" t="n">
        <v>0.000500001</v>
      </c>
      <c r="I131" s="52" t="str">
        <f aca="false">IFERROR(IF(ISNUMBER(F131),IF(ABS(F131-E131)&lt;=H131,"PASS","FAIL"),"FAIL"),"FAIL")</f>
        <v>PASS</v>
      </c>
    </row>
    <row r="132" customFormat="false" ht="15" hidden="false" customHeight="false" outlineLevel="0" collapsed="false">
      <c r="B132" s="53" t="n">
        <v>123</v>
      </c>
      <c r="C132" s="9" t="s">
        <v>705</v>
      </c>
      <c r="D132" s="9" t="s">
        <v>713</v>
      </c>
      <c r="E132" s="21" t="n">
        <v>0.071</v>
      </c>
      <c r="F132" s="59" t="n">
        <f aca="false">BDCs!$D$8</f>
        <v>0.0714285714285714</v>
      </c>
      <c r="G132" s="34" t="n">
        <f aca="false">IFERROR(IF(ISNUMBER(F132),F132-E132,"n/a"),"n/a")</f>
        <v>0.000428571428571403</v>
      </c>
      <c r="H132" s="55" t="n">
        <v>0.000500001</v>
      </c>
      <c r="I132" s="52" t="str">
        <f aca="false">IFERROR(IF(ISNUMBER(F132),IF(ABS(F132-E132)&lt;=H132,"PASS","FAIL"),"FAIL"),"FAIL")</f>
        <v>PASS</v>
      </c>
    </row>
    <row r="133" customFormat="false" ht="15" hidden="false" customHeight="false" outlineLevel="0" collapsed="false">
      <c r="B133" s="53" t="n">
        <v>124</v>
      </c>
      <c r="C133" s="9" t="s">
        <v>705</v>
      </c>
      <c r="D133" s="9" t="s">
        <v>714</v>
      </c>
      <c r="E133" s="21" t="n">
        <v>-0.2</v>
      </c>
      <c r="F133" s="59" t="n">
        <f aca="false">BDCs!$E$8</f>
        <v>-0.2</v>
      </c>
      <c r="G133" s="34" t="n">
        <f aca="false">IFERROR(IF(ISNUMBER(F133),F133-E133,"n/a"),"n/a")</f>
        <v>0</v>
      </c>
      <c r="H133" s="55" t="n">
        <v>0.000500001</v>
      </c>
      <c r="I133" s="52" t="str">
        <f aca="false">IFERROR(IF(ISNUMBER(F133),IF(ABS(F133-E133)&lt;=H133,"PASS","FAIL"),"FAIL"),"FAIL")</f>
        <v>PASS</v>
      </c>
    </row>
    <row r="134" customFormat="false" ht="15" hidden="false" customHeight="false" outlineLevel="0" collapsed="false">
      <c r="B134" s="53" t="n">
        <v>125</v>
      </c>
      <c r="C134" s="9" t="s">
        <v>705</v>
      </c>
      <c r="D134" s="9" t="s">
        <v>715</v>
      </c>
      <c r="E134" s="10" t="n">
        <v>0.1011</v>
      </c>
      <c r="F134" s="54" t="n">
        <f aca="false">BDCs!$C$9</f>
        <v>0.101052631578947</v>
      </c>
      <c r="G134" s="34" t="n">
        <f aca="false">IFERROR(IF(ISNUMBER(F134),F134-E134,"n/a"),"n/a")</f>
        <v>-4.73684210526293E-005</v>
      </c>
      <c r="H134" s="55" t="n">
        <v>5.0001E-005</v>
      </c>
      <c r="I134" s="52" t="str">
        <f aca="false">IFERROR(IF(ISNUMBER(F134),IF(ABS(F134-E134)&lt;=H134,"PASS","FAIL"),"FAIL"),"FAIL")</f>
        <v>PASS</v>
      </c>
    </row>
    <row r="135" customFormat="false" ht="15" hidden="false" customHeight="false" outlineLevel="0" collapsed="false">
      <c r="B135" s="53" t="n">
        <v>126</v>
      </c>
      <c r="C135" s="9" t="s">
        <v>705</v>
      </c>
      <c r="D135" s="9" t="s">
        <v>716</v>
      </c>
      <c r="E135" s="10" t="n">
        <v>0.1067</v>
      </c>
      <c r="F135" s="54" t="n">
        <f aca="false">BDCs!$D$9</f>
        <v>0.106666666666667</v>
      </c>
      <c r="G135" s="34" t="n">
        <f aca="false">IFERROR(IF(ISNUMBER(F135),F135-E135,"n/a"),"n/a")</f>
        <v>-3.33333333333297E-005</v>
      </c>
      <c r="H135" s="55" t="n">
        <v>5.0001E-005</v>
      </c>
      <c r="I135" s="52" t="str">
        <f aca="false">IFERROR(IF(ISNUMBER(F135),IF(ABS(F135-E135)&lt;=H135,"PASS","FAIL"),"FAIL"),"FAIL")</f>
        <v>PASS</v>
      </c>
    </row>
    <row r="136" customFormat="false" ht="15" hidden="false" customHeight="false" outlineLevel="0" collapsed="false">
      <c r="B136" s="53" t="n">
        <v>127</v>
      </c>
      <c r="C136" s="9" t="s">
        <v>705</v>
      </c>
      <c r="D136" s="9" t="s">
        <v>717</v>
      </c>
      <c r="E136" s="10" t="n">
        <v>0.1467</v>
      </c>
      <c r="F136" s="54" t="n">
        <f aca="false">BDCs!$E$9</f>
        <v>0.146666666666667</v>
      </c>
      <c r="G136" s="34" t="n">
        <f aca="false">IFERROR(IF(ISNUMBER(F136),F136-E136,"n/a"),"n/a")</f>
        <v>-3.33333333333297E-005</v>
      </c>
      <c r="H136" s="55" t="n">
        <v>5.0001E-005</v>
      </c>
      <c r="I136" s="52" t="str">
        <f aca="false">IFERROR(IF(ISNUMBER(F136),IF(ABS(F136-E136)&lt;=H136,"PASS","FAIL"),"FAIL"),"FAIL")</f>
        <v>PASS</v>
      </c>
    </row>
    <row r="137" customFormat="false" ht="15" hidden="false" customHeight="false" outlineLevel="0" collapsed="false">
      <c r="B137" s="53" t="n">
        <v>128</v>
      </c>
      <c r="C137" s="9" t="s">
        <v>705</v>
      </c>
      <c r="D137" s="9" t="s">
        <v>604</v>
      </c>
      <c r="E137" s="18" t="n">
        <v>1.1</v>
      </c>
      <c r="F137" s="47" t="n">
        <f aca="false">BDCs!$C$10</f>
        <v>1.1</v>
      </c>
      <c r="G137" s="34" t="n">
        <f aca="false">IFERROR(IF(ISNUMBER(F137),F137-E137,"n/a"),"n/a")</f>
        <v>0</v>
      </c>
      <c r="H137" s="55" t="n">
        <v>0.005000001</v>
      </c>
      <c r="I137" s="52" t="str">
        <f aca="false">IFERROR(IF(ISNUMBER(F137),IF(ABS(F137-E137)&lt;=H137,"PASS","FAIL"),"FAIL"),"FAIL")</f>
        <v>PASS</v>
      </c>
    </row>
    <row r="138" customFormat="false" ht="15" hidden="false" customHeight="false" outlineLevel="0" collapsed="false">
      <c r="B138" s="53" t="n">
        <v>129</v>
      </c>
      <c r="C138" s="9" t="s">
        <v>705</v>
      </c>
      <c r="D138" s="9" t="s">
        <v>613</v>
      </c>
      <c r="E138" s="18" t="n">
        <v>1</v>
      </c>
      <c r="F138" s="47" t="n">
        <f aca="false">BDCs!$D$10</f>
        <v>1</v>
      </c>
      <c r="G138" s="34" t="n">
        <f aca="false">IFERROR(IF(ISNUMBER(F138),F138-E138,"n/a"),"n/a")</f>
        <v>0</v>
      </c>
      <c r="H138" s="55" t="n">
        <v>0.005000001</v>
      </c>
      <c r="I138" s="52" t="str">
        <f aca="false">IFERROR(IF(ISNUMBER(F138),IF(ABS(F138-E138)&lt;=H138,"PASS","FAIL"),"FAIL"),"FAIL")</f>
        <v>PASS</v>
      </c>
    </row>
    <row r="139" customFormat="false" ht="15" hidden="false" customHeight="false" outlineLevel="0" collapsed="false">
      <c r="B139" s="53" t="n">
        <v>130</v>
      </c>
      <c r="C139" s="9" t="s">
        <v>705</v>
      </c>
      <c r="D139" s="9" t="s">
        <v>622</v>
      </c>
      <c r="E139" s="18" t="n">
        <v>1.35</v>
      </c>
      <c r="F139" s="47" t="n">
        <f aca="false">BDCs!$E$10</f>
        <v>1.35</v>
      </c>
      <c r="G139" s="34" t="n">
        <f aca="false">IFERROR(IF(ISNUMBER(F139),F139-E139,"n/a"),"n/a")</f>
        <v>0</v>
      </c>
      <c r="H139" s="55" t="n">
        <v>0.005000001</v>
      </c>
      <c r="I139" s="52" t="str">
        <f aca="false">IFERROR(IF(ISNUMBER(F139),IF(ABS(F139-E139)&lt;=H139,"PASS","FAIL"),"FAIL"),"FAIL")</f>
        <v>PASS</v>
      </c>
    </row>
    <row r="140" customFormat="false" ht="15" hidden="false" customHeight="false" outlineLevel="0" collapsed="false">
      <c r="B140" s="53" t="n">
        <v>131</v>
      </c>
      <c r="C140" s="9" t="s">
        <v>705</v>
      </c>
      <c r="D140" s="9" t="s">
        <v>718</v>
      </c>
      <c r="E140" s="12" t="n">
        <v>1.91</v>
      </c>
      <c r="F140" s="17" t="n">
        <f aca="false">BDCs!$C$11</f>
        <v>1.90909090909091</v>
      </c>
      <c r="G140" s="34" t="n">
        <f aca="false">IFERROR(IF(ISNUMBER(F140),F140-E140,"n/a"),"n/a")</f>
        <v>-0.000909090909090971</v>
      </c>
      <c r="H140" s="55" t="n">
        <v>0.005000001</v>
      </c>
      <c r="I140" s="52" t="str">
        <f aca="false">IFERROR(IF(ISNUMBER(F140),IF(ABS(F140-E140)&lt;=H140,"PASS","FAIL"),"FAIL"),"FAIL")</f>
        <v>PASS</v>
      </c>
    </row>
    <row r="141" customFormat="false" ht="15" hidden="false" customHeight="false" outlineLevel="0" collapsed="false">
      <c r="B141" s="53" t="n">
        <v>132</v>
      </c>
      <c r="C141" s="9" t="s">
        <v>705</v>
      </c>
      <c r="D141" s="9" t="s">
        <v>719</v>
      </c>
      <c r="E141" s="12" t="n">
        <v>2</v>
      </c>
      <c r="F141" s="17" t="n">
        <f aca="false">BDCs!$D$11</f>
        <v>2</v>
      </c>
      <c r="G141" s="34" t="n">
        <f aca="false">IFERROR(IF(ISNUMBER(F141),F141-E141,"n/a"),"n/a")</f>
        <v>0</v>
      </c>
      <c r="H141" s="55" t="n">
        <v>0.005000001</v>
      </c>
      <c r="I141" s="52" t="str">
        <f aca="false">IFERROR(IF(ISNUMBER(F141),IF(ABS(F141-E141)&lt;=H141,"PASS","FAIL"),"FAIL"),"FAIL")</f>
        <v>PASS</v>
      </c>
    </row>
    <row r="142" customFormat="false" ht="15" hidden="false" customHeight="false" outlineLevel="0" collapsed="false">
      <c r="B142" s="53" t="n">
        <v>133</v>
      </c>
      <c r="C142" s="9" t="s">
        <v>705</v>
      </c>
      <c r="D142" s="9" t="s">
        <v>720</v>
      </c>
      <c r="E142" s="12" t="n">
        <v>1.74</v>
      </c>
      <c r="F142" s="17" t="n">
        <f aca="false">BDCs!$E$11</f>
        <v>1.74074074074074</v>
      </c>
      <c r="G142" s="34" t="n">
        <f aca="false">IFERROR(IF(ISNUMBER(F142),F142-E142,"n/a"),"n/a")</f>
        <v>0.000740740740740709</v>
      </c>
      <c r="H142" s="55" t="n">
        <v>0.005000001</v>
      </c>
      <c r="I142" s="52" t="str">
        <f aca="false">IFERROR(IF(ISNUMBER(F142),IF(ABS(F142-E142)&lt;=H142,"PASS","FAIL"),"FAIL"),"FAIL")</f>
        <v>PASS</v>
      </c>
    </row>
    <row r="143" customFormat="false" ht="15" hidden="false" customHeight="false" outlineLevel="0" collapsed="false">
      <c r="B143" s="53" t="n">
        <v>134</v>
      </c>
      <c r="C143" s="9" t="s">
        <v>705</v>
      </c>
      <c r="D143" s="9" t="s">
        <v>721</v>
      </c>
      <c r="E143" s="10" t="n">
        <v>0.109</v>
      </c>
      <c r="F143" s="54" t="n">
        <f aca="false">BDCs!$C$12</f>
        <v>0.109</v>
      </c>
      <c r="G143" s="34" t="n">
        <f aca="false">IFERROR(IF(ISNUMBER(F143),F143-E143,"n/a"),"n/a")</f>
        <v>0</v>
      </c>
      <c r="H143" s="55" t="n">
        <v>5.0001E-005</v>
      </c>
      <c r="I143" s="52" t="str">
        <f aca="false">IFERROR(IF(ISNUMBER(F143),IF(ABS(F143-E143)&lt;=H143,"PASS","FAIL"),"FAIL"),"FAIL")</f>
        <v>PASS</v>
      </c>
    </row>
    <row r="144" customFormat="false" ht="15" hidden="false" customHeight="false" outlineLevel="0" collapsed="false">
      <c r="B144" s="53" t="n">
        <v>135</v>
      </c>
      <c r="C144" s="9" t="s">
        <v>705</v>
      </c>
      <c r="D144" s="9" t="s">
        <v>722</v>
      </c>
      <c r="E144" s="10" t="n">
        <v>0.1</v>
      </c>
      <c r="F144" s="54" t="n">
        <f aca="false">BDCs!$D$12</f>
        <v>0.1</v>
      </c>
      <c r="G144" s="34" t="n">
        <f aca="false">IFERROR(IF(ISNUMBER(F144),F144-E144,"n/a"),"n/a")</f>
        <v>0</v>
      </c>
      <c r="H144" s="55" t="n">
        <v>5.0001E-005</v>
      </c>
      <c r="I144" s="52" t="str">
        <f aca="false">IFERROR(IF(ISNUMBER(F144),IF(ABS(F144-E144)&lt;=H144,"PASS","FAIL"),"FAIL"),"FAIL")</f>
        <v>PASS</v>
      </c>
    </row>
    <row r="145" customFormat="false" ht="15" hidden="false" customHeight="false" outlineLevel="0" collapsed="false">
      <c r="B145" s="53" t="n">
        <v>136</v>
      </c>
      <c r="C145" s="9" t="s">
        <v>705</v>
      </c>
      <c r="D145" s="9" t="s">
        <v>723</v>
      </c>
      <c r="E145" s="10" t="n">
        <v>0.123</v>
      </c>
      <c r="F145" s="54" t="n">
        <f aca="false">BDCs!$E$12</f>
        <v>0.123</v>
      </c>
      <c r="G145" s="34" t="n">
        <f aca="false">IFERROR(IF(ISNUMBER(F145),F145-E145,"n/a"),"n/a")</f>
        <v>0</v>
      </c>
      <c r="H145" s="55" t="n">
        <v>5.0001E-005</v>
      </c>
      <c r="I145" s="52" t="str">
        <f aca="false">IFERROR(IF(ISNUMBER(F145),IF(ABS(F145-E145)&lt;=H145,"PASS","FAIL"),"FAIL"),"FAIL")</f>
        <v>PASS</v>
      </c>
    </row>
    <row r="146" customFormat="false" ht="15" hidden="false" customHeight="false" outlineLevel="0" collapsed="false">
      <c r="B146" s="53" t="n">
        <v>137</v>
      </c>
      <c r="C146" s="9" t="s">
        <v>705</v>
      </c>
      <c r="D146" s="9" t="s">
        <v>724</v>
      </c>
      <c r="E146" s="21" t="n">
        <v>0.01</v>
      </c>
      <c r="F146" s="59" t="n">
        <f aca="false">BDCs!$C$13</f>
        <v>0.01</v>
      </c>
      <c r="G146" s="34" t="n">
        <f aca="false">IFERROR(IF(ISNUMBER(F146),F146-E146,"n/a"),"n/a")</f>
        <v>0</v>
      </c>
      <c r="H146" s="55" t="n">
        <v>0.000500001</v>
      </c>
      <c r="I146" s="52" t="str">
        <f aca="false">IFERROR(IF(ISNUMBER(F146),IF(ABS(F146-E146)&lt;=H146,"PASS","FAIL"),"FAIL"),"FAIL")</f>
        <v>PASS</v>
      </c>
    </row>
    <row r="147" customFormat="false" ht="15" hidden="false" customHeight="false" outlineLevel="0" collapsed="false">
      <c r="B147" s="53" t="n">
        <v>138</v>
      </c>
      <c r="C147" s="9" t="s">
        <v>705</v>
      </c>
      <c r="D147" s="9" t="s">
        <v>725</v>
      </c>
      <c r="E147" s="21" t="n">
        <v>0.008</v>
      </c>
      <c r="F147" s="59" t="n">
        <f aca="false">BDCs!$D$13</f>
        <v>0.008</v>
      </c>
      <c r="G147" s="34" t="n">
        <f aca="false">IFERROR(IF(ISNUMBER(F147),F147-E147,"n/a"),"n/a")</f>
        <v>0</v>
      </c>
      <c r="H147" s="55" t="n">
        <v>0.000500001</v>
      </c>
      <c r="I147" s="52" t="str">
        <f aca="false">IFERROR(IF(ISNUMBER(F147),IF(ABS(F147-E147)&lt;=H147,"PASS","FAIL"),"FAIL"),"FAIL")</f>
        <v>PASS</v>
      </c>
    </row>
    <row r="148" customFormat="false" ht="15" hidden="false" customHeight="false" outlineLevel="0" collapsed="false">
      <c r="B148" s="53" t="n">
        <v>139</v>
      </c>
      <c r="C148" s="9" t="s">
        <v>705</v>
      </c>
      <c r="D148" s="9" t="s">
        <v>726</v>
      </c>
      <c r="E148" s="21" t="n">
        <v>0.04</v>
      </c>
      <c r="F148" s="59" t="n">
        <f aca="false">BDCs!$E$13</f>
        <v>0.04</v>
      </c>
      <c r="G148" s="34" t="n">
        <f aca="false">IFERROR(IF(ISNUMBER(F148),F148-E148,"n/a"),"n/a")</f>
        <v>0</v>
      </c>
      <c r="H148" s="55" t="n">
        <v>0.000500001</v>
      </c>
      <c r="I148" s="52" t="str">
        <f aca="false">IFERROR(IF(ISNUMBER(F148),IF(ABS(F148-E148)&lt;=H148,"PASS","FAIL"),"FAIL"),"FAIL")</f>
        <v>PASS</v>
      </c>
    </row>
    <row r="149" customFormat="false" ht="15" hidden="false" customHeight="false" outlineLevel="0" collapsed="false">
      <c r="B149" s="53" t="n">
        <v>140</v>
      </c>
      <c r="C149" s="9" t="s">
        <v>705</v>
      </c>
      <c r="D149" s="9" t="s">
        <v>727</v>
      </c>
      <c r="E149" s="10" t="n">
        <v>0.06</v>
      </c>
      <c r="F149" s="54" t="n">
        <f aca="false">BDCs!$C$14</f>
        <v>0.06</v>
      </c>
      <c r="G149" s="34" t="n">
        <f aca="false">IFERROR(IF(ISNUMBER(F149),F149-E149,"n/a"),"n/a")</f>
        <v>0</v>
      </c>
      <c r="H149" s="55" t="n">
        <v>5.0001E-005</v>
      </c>
      <c r="I149" s="52" t="str">
        <f aca="false">IFERROR(IF(ISNUMBER(F149),IF(ABS(F149-E149)&lt;=H149,"PASS","FAIL"),"FAIL"),"FAIL")</f>
        <v>PASS</v>
      </c>
    </row>
    <row r="150" customFormat="false" ht="15" hidden="false" customHeight="false" outlineLevel="0" collapsed="false">
      <c r="B150" s="53" t="n">
        <v>141</v>
      </c>
      <c r="C150" s="9" t="s">
        <v>705</v>
      </c>
      <c r="D150" s="9" t="s">
        <v>728</v>
      </c>
      <c r="E150" s="10" t="n">
        <v>0.058</v>
      </c>
      <c r="F150" s="54" t="n">
        <f aca="false">BDCs!$D$14</f>
        <v>0.058</v>
      </c>
      <c r="G150" s="34" t="n">
        <f aca="false">IFERROR(IF(ISNUMBER(F150),F150-E150,"n/a"),"n/a")</f>
        <v>0</v>
      </c>
      <c r="H150" s="55" t="n">
        <v>5.0001E-005</v>
      </c>
      <c r="I150" s="52" t="str">
        <f aca="false">IFERROR(IF(ISNUMBER(F150),IF(ABS(F150-E150)&lt;=H150,"PASS","FAIL"),"FAIL"),"FAIL")</f>
        <v>PASS</v>
      </c>
    </row>
    <row r="151" customFormat="false" ht="15" hidden="false" customHeight="false" outlineLevel="0" collapsed="false">
      <c r="B151" s="53" t="n">
        <v>142</v>
      </c>
      <c r="C151" s="9" t="s">
        <v>705</v>
      </c>
      <c r="D151" s="9" t="s">
        <v>729</v>
      </c>
      <c r="E151" s="10" t="n">
        <v>0.068</v>
      </c>
      <c r="F151" s="54" t="n">
        <f aca="false">BDCs!$E$14</f>
        <v>0.068</v>
      </c>
      <c r="G151" s="34" t="n">
        <f aca="false">IFERROR(IF(ISNUMBER(F151),F151-E151,"n/a"),"n/a")</f>
        <v>0</v>
      </c>
      <c r="H151" s="55" t="n">
        <v>5.0001E-005</v>
      </c>
      <c r="I151" s="52" t="str">
        <f aca="false">IFERROR(IF(ISNUMBER(F151),IF(ABS(F151-E151)&lt;=H151,"PASS","FAIL"),"FAIL"),"FAIL")</f>
        <v>PASS</v>
      </c>
    </row>
    <row r="152" customFormat="false" ht="15" hidden="false" customHeight="false" outlineLevel="0" collapsed="false">
      <c r="B152" s="53" t="n">
        <v>143</v>
      </c>
      <c r="C152" s="9" t="s">
        <v>705</v>
      </c>
      <c r="D152" s="9" t="s">
        <v>606</v>
      </c>
      <c r="E152" s="10" t="n">
        <v>0.015</v>
      </c>
      <c r="F152" s="54" t="n">
        <f aca="false">BDCs!$C$15</f>
        <v>0.015</v>
      </c>
      <c r="G152" s="34" t="n">
        <f aca="false">IFERROR(IF(ISNUMBER(F152),F152-E152,"n/a"),"n/a")</f>
        <v>0</v>
      </c>
      <c r="H152" s="55" t="n">
        <v>5.0001E-005</v>
      </c>
      <c r="I152" s="52" t="str">
        <f aca="false">IFERROR(IF(ISNUMBER(F152),IF(ABS(F152-E152)&lt;=H152,"PASS","FAIL"),"FAIL"),"FAIL")</f>
        <v>PASS</v>
      </c>
    </row>
    <row r="153" customFormat="false" ht="15" hidden="false" customHeight="false" outlineLevel="0" collapsed="false">
      <c r="B153" s="53" t="n">
        <v>144</v>
      </c>
      <c r="C153" s="9" t="s">
        <v>705</v>
      </c>
      <c r="D153" s="9" t="s">
        <v>615</v>
      </c>
      <c r="E153" s="10" t="n">
        <v>0</v>
      </c>
      <c r="F153" s="54" t="n">
        <f aca="false">BDCs!$D$15</f>
        <v>0</v>
      </c>
      <c r="G153" s="34" t="n">
        <f aca="false">IFERROR(IF(ISNUMBER(F153),F153-E153,"n/a"),"n/a")</f>
        <v>0</v>
      </c>
      <c r="H153" s="55" t="n">
        <v>5.0001E-005</v>
      </c>
      <c r="I153" s="52" t="str">
        <f aca="false">IFERROR(IF(ISNUMBER(F153),IF(ABS(F153-E153)&lt;=H153,"PASS","FAIL"),"FAIL"),"FAIL")</f>
        <v>PASS</v>
      </c>
    </row>
    <row r="154" customFormat="false" ht="15" hidden="false" customHeight="false" outlineLevel="0" collapsed="false">
      <c r="B154" s="53" t="n">
        <v>145</v>
      </c>
      <c r="C154" s="9" t="s">
        <v>705</v>
      </c>
      <c r="D154" s="9" t="s">
        <v>624</v>
      </c>
      <c r="E154" s="10" t="n">
        <v>0.0175</v>
      </c>
      <c r="F154" s="54" t="n">
        <f aca="false">BDCs!$E$15</f>
        <v>0.0175</v>
      </c>
      <c r="G154" s="34" t="n">
        <f aca="false">IFERROR(IF(ISNUMBER(F154),F154-E154,"n/a"),"n/a")</f>
        <v>0</v>
      </c>
      <c r="H154" s="55" t="n">
        <v>5.0001E-005</v>
      </c>
      <c r="I154" s="52" t="str">
        <f aca="false">IFERROR(IF(ISNUMBER(F154),IF(ABS(F154-E154)&lt;=H154,"PASS","FAIL"),"FAIL"),"FAIL")</f>
        <v>PASS</v>
      </c>
    </row>
    <row r="155" customFormat="false" ht="15" hidden="false" customHeight="false" outlineLevel="0" collapsed="false">
      <c r="B155" s="53" t="n">
        <v>146</v>
      </c>
      <c r="C155" s="9" t="s">
        <v>705</v>
      </c>
      <c r="D155" s="9" t="s">
        <v>730</v>
      </c>
      <c r="E155" s="10" t="n">
        <v>0.009</v>
      </c>
      <c r="F155" s="54" t="n">
        <f aca="false">BDCs!$C$16</f>
        <v>0.009</v>
      </c>
      <c r="G155" s="34" t="n">
        <f aca="false">IFERROR(IF(ISNUMBER(F155),F155-E155,"n/a"),"n/a")</f>
        <v>0</v>
      </c>
      <c r="H155" s="55" t="n">
        <v>5.0001E-005</v>
      </c>
      <c r="I155" s="52" t="str">
        <f aca="false">IFERROR(IF(ISNUMBER(F155),IF(ABS(F155-E155)&lt;=H155,"PASS","FAIL"),"FAIL"),"FAIL")</f>
        <v>PASS</v>
      </c>
    </row>
    <row r="156" customFormat="false" ht="15" hidden="false" customHeight="false" outlineLevel="0" collapsed="false">
      <c r="B156" s="53" t="n">
        <v>147</v>
      </c>
      <c r="C156" s="9" t="s">
        <v>705</v>
      </c>
      <c r="D156" s="9" t="s">
        <v>731</v>
      </c>
      <c r="E156" s="10" t="n">
        <v>0.02</v>
      </c>
      <c r="F156" s="54" t="n">
        <f aca="false">BDCs!$D$16</f>
        <v>0.02</v>
      </c>
      <c r="G156" s="34" t="n">
        <f aca="false">IFERROR(IF(ISNUMBER(F156),F156-E156,"n/a"),"n/a")</f>
        <v>0</v>
      </c>
      <c r="H156" s="55" t="n">
        <v>5.0001E-005</v>
      </c>
      <c r="I156" s="52" t="str">
        <f aca="false">IFERROR(IF(ISNUMBER(F156),IF(ABS(F156-E156)&lt;=H156,"PASS","FAIL"),"FAIL"),"FAIL")</f>
        <v>PASS</v>
      </c>
    </row>
    <row r="157" customFormat="false" ht="15" hidden="false" customHeight="false" outlineLevel="0" collapsed="false">
      <c r="B157" s="53" t="n">
        <v>148</v>
      </c>
      <c r="C157" s="9" t="s">
        <v>705</v>
      </c>
      <c r="D157" s="9" t="s">
        <v>732</v>
      </c>
      <c r="E157" s="10" t="n">
        <v>0.011</v>
      </c>
      <c r="F157" s="54" t="n">
        <f aca="false">BDCs!$E$16</f>
        <v>0.011</v>
      </c>
      <c r="G157" s="34" t="n">
        <f aca="false">IFERROR(IF(ISNUMBER(F157),F157-E157,"n/a"),"n/a")</f>
        <v>0</v>
      </c>
      <c r="H157" s="55" t="n">
        <v>5.0001E-005</v>
      </c>
      <c r="I157" s="52" t="str">
        <f aca="false">IFERROR(IF(ISNUMBER(F157),IF(ABS(F157-E157)&lt;=H157,"PASS","FAIL"),"FAIL"),"FAIL")</f>
        <v>PASS</v>
      </c>
    </row>
    <row r="158" customFormat="false" ht="15" hidden="false" customHeight="false" outlineLevel="0" collapsed="false">
      <c r="B158" s="53" t="n">
        <v>149</v>
      </c>
      <c r="C158" s="9" t="s">
        <v>705</v>
      </c>
      <c r="D158" s="9" t="s">
        <v>733</v>
      </c>
      <c r="E158" s="21" t="n">
        <v>0.175</v>
      </c>
      <c r="F158" s="59" t="n">
        <f aca="false">BDCs!$C$17</f>
        <v>0.175</v>
      </c>
      <c r="G158" s="34" t="n">
        <f aca="false">IFERROR(IF(ISNUMBER(F158),F158-E158,"n/a"),"n/a")</f>
        <v>0</v>
      </c>
      <c r="H158" s="55" t="n">
        <v>0.000500001</v>
      </c>
      <c r="I158" s="52" t="str">
        <f aca="false">IFERROR(IF(ISNUMBER(F158),IF(ABS(F158-E158)&lt;=H158,"PASS","FAIL"),"FAIL"),"FAIL")</f>
        <v>PASS</v>
      </c>
    </row>
    <row r="159" customFormat="false" ht="15" hidden="false" customHeight="false" outlineLevel="0" collapsed="false">
      <c r="B159" s="53" t="n">
        <v>150</v>
      </c>
      <c r="C159" s="9" t="s">
        <v>705</v>
      </c>
      <c r="D159" s="9" t="s">
        <v>734</v>
      </c>
      <c r="E159" s="21" t="n">
        <v>0</v>
      </c>
      <c r="F159" s="59" t="n">
        <f aca="false">BDCs!$D$17</f>
        <v>0</v>
      </c>
      <c r="G159" s="34" t="n">
        <f aca="false">IFERROR(IF(ISNUMBER(F159),F159-E159,"n/a"),"n/a")</f>
        <v>0</v>
      </c>
      <c r="H159" s="55" t="n">
        <v>0.000500001</v>
      </c>
      <c r="I159" s="52" t="str">
        <f aca="false">IFERROR(IF(ISNUMBER(F159),IF(ABS(F159-E159)&lt;=H159,"PASS","FAIL"),"FAIL"),"FAIL")</f>
        <v>PASS</v>
      </c>
    </row>
    <row r="160" customFormat="false" ht="15" hidden="false" customHeight="false" outlineLevel="0" collapsed="false">
      <c r="B160" s="53" t="n">
        <v>151</v>
      </c>
      <c r="C160" s="9" t="s">
        <v>705</v>
      </c>
      <c r="D160" s="9" t="s">
        <v>735</v>
      </c>
      <c r="E160" s="21" t="n">
        <v>0.2</v>
      </c>
      <c r="F160" s="59" t="n">
        <f aca="false">BDCs!$E$17</f>
        <v>0.2</v>
      </c>
      <c r="G160" s="34" t="n">
        <f aca="false">IFERROR(IF(ISNUMBER(F160),F160-E160,"n/a"),"n/a")</f>
        <v>0</v>
      </c>
      <c r="H160" s="55" t="n">
        <v>0.000500001</v>
      </c>
      <c r="I160" s="52" t="str">
        <f aca="false">IFERROR(IF(ISNUMBER(F160),IF(ABS(F160-E160)&lt;=H160,"PASS","FAIL"),"FAIL"),"FAIL")</f>
        <v>PASS</v>
      </c>
    </row>
    <row r="161" customFormat="false" ht="15" hidden="false" customHeight="false" outlineLevel="0" collapsed="false">
      <c r="B161" s="53" t="n">
        <v>152</v>
      </c>
      <c r="C161" s="9" t="s">
        <v>705</v>
      </c>
      <c r="D161" s="9" t="s">
        <v>736</v>
      </c>
      <c r="E161" s="10" t="n">
        <v>0.1201</v>
      </c>
      <c r="F161" s="54" t="n">
        <f aca="false">BDCs!$C$18</f>
        <v>0.120111</v>
      </c>
      <c r="G161" s="34" t="n">
        <f aca="false">IFERROR(IF(ISNUMBER(F161),F161-E161,"n/a"),"n/a")</f>
        <v>1.10000000000388E-005</v>
      </c>
      <c r="H161" s="55" t="n">
        <v>5.0001E-005</v>
      </c>
      <c r="I161" s="52" t="str">
        <f aca="false">IFERROR(IF(ISNUMBER(F161),IF(ABS(F161-E161)&lt;=H161,"PASS","FAIL"),"FAIL"),"FAIL")</f>
        <v>PASS</v>
      </c>
    </row>
    <row r="162" customFormat="false" ht="15" hidden="false" customHeight="false" outlineLevel="0" collapsed="false">
      <c r="B162" s="53" t="n">
        <v>153</v>
      </c>
      <c r="C162" s="9" t="s">
        <v>705</v>
      </c>
      <c r="D162" s="9" t="s">
        <v>737</v>
      </c>
      <c r="E162" s="10" t="n">
        <v>0.1204</v>
      </c>
      <c r="F162" s="54" t="n">
        <f aca="false">BDCs!$D$18</f>
        <v>0.1204</v>
      </c>
      <c r="G162" s="34" t="n">
        <f aca="false">IFERROR(IF(ISNUMBER(F162),F162-E162,"n/a"),"n/a")</f>
        <v>0</v>
      </c>
      <c r="H162" s="55" t="n">
        <v>5.0001E-005</v>
      </c>
      <c r="I162" s="52" t="str">
        <f aca="false">IFERROR(IF(ISNUMBER(F162),IF(ABS(F162-E162)&lt;=H162,"PASS","FAIL"),"FAIL"),"FAIL")</f>
        <v>PASS</v>
      </c>
    </row>
    <row r="163" customFormat="false" ht="15" hidden="false" customHeight="false" outlineLevel="0" collapsed="false">
      <c r="B163" s="53" t="n">
        <v>154</v>
      </c>
      <c r="C163" s="9" t="s">
        <v>705</v>
      </c>
      <c r="D163" s="9" t="s">
        <v>738</v>
      </c>
      <c r="E163" s="10" t="n">
        <v>0.1336</v>
      </c>
      <c r="F163" s="54" t="n">
        <f aca="false">BDCs!$E$18</f>
        <v>0.133563</v>
      </c>
      <c r="G163" s="34" t="n">
        <f aca="false">IFERROR(IF(ISNUMBER(F163),F163-E163,"n/a"),"n/a")</f>
        <v>-3.70000000000093E-005</v>
      </c>
      <c r="H163" s="55" t="n">
        <v>5.0001E-005</v>
      </c>
      <c r="I163" s="52" t="str">
        <f aca="false">IFERROR(IF(ISNUMBER(F163),IF(ABS(F163-E163)&lt;=H163,"PASS","FAIL"),"FAIL"),"FAIL")</f>
        <v>PASS</v>
      </c>
    </row>
    <row r="164" customFormat="false" ht="15" hidden="false" customHeight="false" outlineLevel="0" collapsed="false">
      <c r="B164" s="53" t="n">
        <v>155</v>
      </c>
      <c r="C164" s="9" t="s">
        <v>705</v>
      </c>
      <c r="D164" s="9" t="s">
        <v>739</v>
      </c>
      <c r="E164" s="10" t="n">
        <v>0.0991</v>
      </c>
      <c r="F164" s="54" t="n">
        <f aca="false">BDCs!$C$19</f>
        <v>0.099091575</v>
      </c>
      <c r="G164" s="34" t="n">
        <f aca="false">IFERROR(IF(ISNUMBER(F164),F164-E164,"n/a"),"n/a")</f>
        <v>-8.42499999997859E-006</v>
      </c>
      <c r="H164" s="55" t="n">
        <v>5.0001E-005</v>
      </c>
      <c r="I164" s="52" t="str">
        <f aca="false">IFERROR(IF(ISNUMBER(F164),IF(ABS(F164-E164)&lt;=H164,"PASS","FAIL"),"FAIL"),"FAIL")</f>
        <v>PASS</v>
      </c>
    </row>
    <row r="165" customFormat="false" ht="15" hidden="false" customHeight="false" outlineLevel="0" collapsed="false">
      <c r="B165" s="53" t="n">
        <v>156</v>
      </c>
      <c r="C165" s="9" t="s">
        <v>705</v>
      </c>
      <c r="D165" s="9" t="s">
        <v>740</v>
      </c>
      <c r="E165" s="10" t="n">
        <v>0.1204</v>
      </c>
      <c r="F165" s="54" t="n">
        <f aca="false">BDCs!$D$19</f>
        <v>0.1204</v>
      </c>
      <c r="G165" s="34" t="n">
        <f aca="false">IFERROR(IF(ISNUMBER(F165),F165-E165,"n/a"),"n/a")</f>
        <v>0</v>
      </c>
      <c r="H165" s="55" t="n">
        <v>5.0001E-005</v>
      </c>
      <c r="I165" s="52" t="str">
        <f aca="false">IFERROR(IF(ISNUMBER(F165),IF(ABS(F165-E165)&lt;=H165,"PASS","FAIL"),"FAIL"),"FAIL")</f>
        <v>PASS</v>
      </c>
    </row>
    <row r="166" customFormat="false" ht="15" hidden="false" customHeight="false" outlineLevel="0" collapsed="false">
      <c r="B166" s="53" t="n">
        <v>157</v>
      </c>
      <c r="C166" s="9" t="s">
        <v>705</v>
      </c>
      <c r="D166" s="9" t="s">
        <v>741</v>
      </c>
      <c r="E166" s="10" t="n">
        <v>0.1069</v>
      </c>
      <c r="F166" s="54" t="n">
        <f aca="false">BDCs!$E$19</f>
        <v>0.1068504</v>
      </c>
      <c r="G166" s="34" t="n">
        <f aca="false">IFERROR(IF(ISNUMBER(F166),F166-E166,"n/a"),"n/a")</f>
        <v>-4.95999999999969E-005</v>
      </c>
      <c r="H166" s="55" t="n">
        <v>5.0001E-005</v>
      </c>
      <c r="I166" s="52" t="str">
        <f aca="false">IFERROR(IF(ISNUMBER(F166),IF(ABS(F166-E166)&lt;=H166,"PASS","FAIL"),"FAIL"),"FAIL")</f>
        <v>PASS</v>
      </c>
    </row>
    <row r="167" customFormat="false" ht="15" hidden="false" customHeight="false" outlineLevel="0" collapsed="false">
      <c r="B167" s="53" t="n">
        <v>158</v>
      </c>
      <c r="C167" s="9" t="s">
        <v>705</v>
      </c>
      <c r="D167" s="9" t="s">
        <v>742</v>
      </c>
      <c r="E167" s="62" t="n">
        <v>0.495</v>
      </c>
      <c r="F167" s="50" t="n">
        <f aca="false">BDCs!$C$20</f>
        <v>0.495457875</v>
      </c>
      <c r="G167" s="34" t="n">
        <f aca="false">IFERROR(IF(ISNUMBER(F167),F167-E167,"n/a"),"n/a")</f>
        <v>0.000457875000000163</v>
      </c>
      <c r="H167" s="55" t="n">
        <v>0.000500001</v>
      </c>
      <c r="I167" s="52" t="str">
        <f aca="false">IFERROR(IF(ISNUMBER(F167),IF(ABS(F167-E167)&lt;=H167,"PASS","FAIL"),"FAIL"),"FAIL")</f>
        <v>PASS</v>
      </c>
    </row>
    <row r="168" customFormat="false" ht="15" hidden="false" customHeight="false" outlineLevel="0" collapsed="false">
      <c r="B168" s="53" t="n">
        <v>159</v>
      </c>
      <c r="C168" s="9" t="s">
        <v>705</v>
      </c>
      <c r="D168" s="9" t="s">
        <v>743</v>
      </c>
      <c r="E168" s="62" t="n">
        <v>0.421</v>
      </c>
      <c r="F168" s="50" t="n">
        <f aca="false">BDCs!$D$20</f>
        <v>0.4214</v>
      </c>
      <c r="G168" s="34" t="n">
        <f aca="false">IFERROR(IF(ISNUMBER(F168),F168-E168,"n/a"),"n/a")</f>
        <v>0.000400000000000067</v>
      </c>
      <c r="H168" s="55" t="n">
        <v>0.000500001</v>
      </c>
      <c r="I168" s="52" t="str">
        <f aca="false">IFERROR(IF(ISNUMBER(F168),IF(ABS(F168-E168)&lt;=H168,"PASS","FAIL"),"FAIL"),"FAIL")</f>
        <v>PASS</v>
      </c>
    </row>
    <row r="169" customFormat="false" ht="15" hidden="false" customHeight="false" outlineLevel="0" collapsed="false">
      <c r="B169" s="53" t="n">
        <v>160</v>
      </c>
      <c r="C169" s="9" t="s">
        <v>705</v>
      </c>
      <c r="D169" s="9" t="s">
        <v>744</v>
      </c>
      <c r="E169" s="62" t="n">
        <v>0.301</v>
      </c>
      <c r="F169" s="50" t="n">
        <f aca="false">BDCs!$E$20</f>
        <v>0.30051675</v>
      </c>
      <c r="G169" s="34" t="n">
        <f aca="false">IFERROR(IF(ISNUMBER(F169),F169-E169,"n/a"),"n/a")</f>
        <v>-0.000483249999999991</v>
      </c>
      <c r="H169" s="55" t="n">
        <v>0.000500001</v>
      </c>
      <c r="I169" s="52" t="str">
        <f aca="false">IFERROR(IF(ISNUMBER(F169),IF(ABS(F169-E169)&lt;=H169,"PASS","FAIL"),"FAIL"),"FAIL")</f>
        <v>PASS</v>
      </c>
    </row>
    <row r="170" customFormat="false" ht="15" hidden="false" customHeight="false" outlineLevel="0" collapsed="false">
      <c r="B170" s="53" t="n">
        <v>161</v>
      </c>
      <c r="C170" s="9" t="s">
        <v>705</v>
      </c>
      <c r="D170" s="9" t="s">
        <v>745</v>
      </c>
      <c r="E170" s="18" t="n">
        <v>0.48</v>
      </c>
      <c r="F170" s="47" t="n">
        <f aca="false">BDCs!$C$21</f>
        <v>0.48</v>
      </c>
      <c r="G170" s="34" t="n">
        <f aca="false">IFERROR(IF(ISNUMBER(F170),F170-E170,"n/a"),"n/a")</f>
        <v>0</v>
      </c>
      <c r="H170" s="55" t="n">
        <v>0.005000001</v>
      </c>
      <c r="I170" s="52" t="str">
        <f aca="false">IFERROR(IF(ISNUMBER(F170),IF(ABS(F170-E170)&lt;=H170,"PASS","FAIL"),"FAIL"),"FAIL")</f>
        <v>PASS</v>
      </c>
    </row>
    <row r="171" customFormat="false" ht="15" hidden="false" customHeight="false" outlineLevel="0" collapsed="false">
      <c r="B171" s="53" t="n">
        <v>162</v>
      </c>
      <c r="C171" s="9" t="s">
        <v>705</v>
      </c>
      <c r="D171" s="9" t="s">
        <v>746</v>
      </c>
      <c r="E171" s="18" t="n">
        <v>0.4</v>
      </c>
      <c r="F171" s="47" t="n">
        <f aca="false">BDCs!$D$21</f>
        <v>0.4</v>
      </c>
      <c r="G171" s="34" t="n">
        <f aca="false">IFERROR(IF(ISNUMBER(F171),F171-E171,"n/a"),"n/a")</f>
        <v>0</v>
      </c>
      <c r="H171" s="55" t="n">
        <v>0.005000001</v>
      </c>
      <c r="I171" s="52" t="str">
        <f aca="false">IFERROR(IF(ISNUMBER(F171),IF(ABS(F171-E171)&lt;=H171,"PASS","FAIL"),"FAIL"),"FAIL")</f>
        <v>PASS</v>
      </c>
    </row>
    <row r="172" customFormat="false" ht="15" hidden="false" customHeight="false" outlineLevel="0" collapsed="false">
      <c r="B172" s="53" t="n">
        <v>163</v>
      </c>
      <c r="C172" s="9" t="s">
        <v>705</v>
      </c>
      <c r="D172" s="9" t="s">
        <v>747</v>
      </c>
      <c r="E172" s="18" t="n">
        <v>0.33</v>
      </c>
      <c r="F172" s="47" t="n">
        <f aca="false">BDCs!$E$21</f>
        <v>0.33</v>
      </c>
      <c r="G172" s="34" t="n">
        <f aca="false">IFERROR(IF(ISNUMBER(F172),F172-E172,"n/a"),"n/a")</f>
        <v>0</v>
      </c>
      <c r="H172" s="55" t="n">
        <v>0.005000001</v>
      </c>
      <c r="I172" s="52" t="str">
        <f aca="false">IFERROR(IF(ISNUMBER(F172),IF(ABS(F172-E172)&lt;=H172,"PASS","FAIL"),"FAIL"),"FAIL")</f>
        <v>PASS</v>
      </c>
    </row>
    <row r="173" customFormat="false" ht="15" hidden="false" customHeight="false" outlineLevel="0" collapsed="false">
      <c r="B173" s="53" t="n">
        <v>164</v>
      </c>
      <c r="C173" s="9" t="s">
        <v>705</v>
      </c>
      <c r="D173" s="9" t="s">
        <v>748</v>
      </c>
      <c r="E173" s="10" t="n">
        <v>0.006</v>
      </c>
      <c r="F173" s="54" t="n">
        <f aca="false">BDCs!$C$22</f>
        <v>0.006</v>
      </c>
      <c r="G173" s="34" t="n">
        <f aca="false">IFERROR(IF(ISNUMBER(F173),F173-E173,"n/a"),"n/a")</f>
        <v>0</v>
      </c>
      <c r="H173" s="55" t="n">
        <v>5.0001E-005</v>
      </c>
      <c r="I173" s="52" t="str">
        <f aca="false">IFERROR(IF(ISNUMBER(F173),IF(ABS(F173-E173)&lt;=H173,"PASS","FAIL"),"FAIL"),"FAIL")</f>
        <v>PASS</v>
      </c>
    </row>
    <row r="174" customFormat="false" ht="15" hidden="false" customHeight="false" outlineLevel="0" collapsed="false">
      <c r="B174" s="53" t="n">
        <v>165</v>
      </c>
      <c r="C174" s="9" t="s">
        <v>705</v>
      </c>
      <c r="D174" s="9" t="s">
        <v>749</v>
      </c>
      <c r="E174" s="10" t="n">
        <v>0.005</v>
      </c>
      <c r="F174" s="54" t="n">
        <f aca="false">BDCs!$D$22</f>
        <v>0.005</v>
      </c>
      <c r="G174" s="34" t="n">
        <f aca="false">IFERROR(IF(ISNUMBER(F174),F174-E174,"n/a"),"n/a")</f>
        <v>0</v>
      </c>
      <c r="H174" s="55" t="n">
        <v>5.0001E-005</v>
      </c>
      <c r="I174" s="52" t="str">
        <f aca="false">IFERROR(IF(ISNUMBER(F174),IF(ABS(F174-E174)&lt;=H174,"PASS","FAIL"),"FAIL"),"FAIL")</f>
        <v>PASS</v>
      </c>
    </row>
    <row r="175" customFormat="false" ht="15" hidden="false" customHeight="false" outlineLevel="0" collapsed="false">
      <c r="B175" s="53" t="n">
        <v>166</v>
      </c>
      <c r="C175" s="9" t="s">
        <v>705</v>
      </c>
      <c r="D175" s="9" t="s">
        <v>750</v>
      </c>
      <c r="E175" s="10" t="n">
        <v>0.035</v>
      </c>
      <c r="F175" s="54" t="n">
        <f aca="false">BDCs!$E$22</f>
        <v>0.035</v>
      </c>
      <c r="G175" s="34" t="n">
        <f aca="false">IFERROR(IF(ISNUMBER(F175),F175-E175,"n/a"),"n/a")</f>
        <v>0</v>
      </c>
      <c r="H175" s="55" t="n">
        <v>5.0001E-005</v>
      </c>
      <c r="I175" s="52" t="str">
        <f aca="false">IFERROR(IF(ISNUMBER(F175),IF(ABS(F175-E175)&lt;=H175,"PASS","FAIL"),"FAIL"),"FAIL")</f>
        <v>PASS</v>
      </c>
    </row>
    <row r="176" customFormat="false" ht="15" hidden="false" customHeight="false" outlineLevel="0" collapsed="false">
      <c r="B176" s="53" t="n">
        <v>167</v>
      </c>
      <c r="C176" s="9" t="s">
        <v>705</v>
      </c>
      <c r="D176" s="9" t="s">
        <v>751</v>
      </c>
      <c r="E176" s="62" t="n">
        <v>19.94</v>
      </c>
      <c r="F176" s="50" t="n">
        <f aca="false">BDCs!$C$23</f>
        <v>19.9397691870488</v>
      </c>
      <c r="G176" s="34" t="n">
        <f aca="false">IFERROR(IF(ISNUMBER(F176),F176-E176,"n/a"),"n/a")</f>
        <v>-0.000230812951233617</v>
      </c>
      <c r="H176" s="55" t="n">
        <v>0.000500001</v>
      </c>
      <c r="I176" s="52" t="str">
        <f aca="false">IFERROR(IF(ISNUMBER(F176),IF(ABS(F176-E176)&lt;=H176,"PASS","FAIL"),"FAIL"),"FAIL")</f>
        <v>PASS</v>
      </c>
    </row>
    <row r="177" customFormat="false" ht="15" hidden="false" customHeight="false" outlineLevel="0" collapsed="false">
      <c r="B177" s="53" t="n">
        <v>168</v>
      </c>
      <c r="C177" s="9" t="s">
        <v>705</v>
      </c>
      <c r="D177" s="9" t="s">
        <v>752</v>
      </c>
      <c r="E177" s="62" t="n">
        <v>14.016</v>
      </c>
      <c r="F177" s="50" t="n">
        <f aca="false">BDCs!$D$23</f>
        <v>14.0162881678798</v>
      </c>
      <c r="G177" s="34" t="n">
        <f aca="false">IFERROR(IF(ISNUMBER(F177),F177-E177,"n/a"),"n/a")</f>
        <v>0.000288167879766377</v>
      </c>
      <c r="H177" s="55" t="n">
        <v>0.000500001</v>
      </c>
      <c r="I177" s="52" t="str">
        <f aca="false">IFERROR(IF(ISNUMBER(F177),IF(ABS(F177-E177)&lt;=H177,"PASS","FAIL"),"FAIL"),"FAIL")</f>
        <v>PASS</v>
      </c>
    </row>
    <row r="178" customFormat="false" ht="15" hidden="false" customHeight="false" outlineLevel="0" collapsed="false">
      <c r="B178" s="53" t="n">
        <v>169</v>
      </c>
      <c r="C178" s="9" t="s">
        <v>705</v>
      </c>
      <c r="D178" s="9" t="s">
        <v>753</v>
      </c>
      <c r="E178" s="62" t="n">
        <v>10.724</v>
      </c>
      <c r="F178" s="50" t="n">
        <f aca="false">BDCs!$E$23</f>
        <v>10.7243644259454</v>
      </c>
      <c r="G178" s="34" t="n">
        <f aca="false">IFERROR(IF(ISNUMBER(F178),F178-E178,"n/a"),"n/a")</f>
        <v>0.000364425945377889</v>
      </c>
      <c r="H178" s="55" t="n">
        <v>0.000500001</v>
      </c>
      <c r="I178" s="52" t="str">
        <f aca="false">IFERROR(IF(ISNUMBER(F178),IF(ABS(F178-E178)&lt;=H178,"PASS","FAIL"),"FAIL"),"FAIL")</f>
        <v>PASS</v>
      </c>
    </row>
    <row r="179" customFormat="false" ht="15" hidden="false" customHeight="false" outlineLevel="0" collapsed="false">
      <c r="B179" s="53" t="n">
        <v>170</v>
      </c>
      <c r="C179" s="9" t="s">
        <v>705</v>
      </c>
      <c r="D179" s="9" t="s">
        <v>754</v>
      </c>
      <c r="E179" s="62" t="n">
        <v>19.866</v>
      </c>
      <c r="F179" s="50" t="n">
        <f aca="false">BDCs!$C$24</f>
        <v>19.8659450620228</v>
      </c>
      <c r="G179" s="34" t="n">
        <f aca="false">IFERROR(IF(ISNUMBER(F179),F179-E179,"n/a"),"n/a")</f>
        <v>-5.49379771861425E-005</v>
      </c>
      <c r="H179" s="55" t="n">
        <v>0.000500001</v>
      </c>
      <c r="I179" s="52" t="str">
        <f aca="false">IFERROR(IF(ISNUMBER(F179),IF(ABS(F179-E179)&lt;=H179,"PASS","FAIL"),"FAIL"),"FAIL")</f>
        <v>PASS</v>
      </c>
    </row>
    <row r="180" customFormat="false" ht="15" hidden="false" customHeight="false" outlineLevel="0" collapsed="false">
      <c r="B180" s="53" t="n">
        <v>171</v>
      </c>
      <c r="C180" s="9" t="s">
        <v>705</v>
      </c>
      <c r="D180" s="9" t="s">
        <v>755</v>
      </c>
      <c r="E180" s="62" t="n">
        <v>14.035</v>
      </c>
      <c r="F180" s="50" t="n">
        <f aca="false">BDCs!$D$24</f>
        <v>14.0345389081471</v>
      </c>
      <c r="G180" s="34" t="n">
        <f aca="false">IFERROR(IF(ISNUMBER(F180),F180-E180,"n/a"),"n/a")</f>
        <v>-0.000461091852887563</v>
      </c>
      <c r="H180" s="55" t="n">
        <v>0.000500001</v>
      </c>
      <c r="I180" s="52" t="str">
        <f aca="false">IFERROR(IF(ISNUMBER(F180),IF(ABS(F180-E180)&lt;=H180,"PASS","FAIL"),"FAIL"),"FAIL")</f>
        <v>PASS</v>
      </c>
    </row>
    <row r="181" customFormat="false" ht="15" hidden="false" customHeight="false" outlineLevel="0" collapsed="false">
      <c r="B181" s="53" t="n">
        <v>172</v>
      </c>
      <c r="C181" s="9" t="s">
        <v>705</v>
      </c>
      <c r="D181" s="9" t="s">
        <v>756</v>
      </c>
      <c r="E181" s="62" t="n">
        <v>10.329</v>
      </c>
      <c r="F181" s="50" t="n">
        <f aca="false">BDCs!$E$24</f>
        <v>10.3290821689262</v>
      </c>
      <c r="G181" s="34" t="n">
        <f aca="false">IFERROR(IF(ISNUMBER(F181),F181-E181,"n/a"),"n/a")</f>
        <v>8.2168926171633E-005</v>
      </c>
      <c r="H181" s="55" t="n">
        <v>0.000500001</v>
      </c>
      <c r="I181" s="52" t="str">
        <f aca="false">IFERROR(IF(ISNUMBER(F181),IF(ABS(F181-E181)&lt;=H181,"PASS","FAIL"),"FAIL"),"FAIL")</f>
        <v>PASS</v>
      </c>
    </row>
    <row r="182" customFormat="false" ht="15" hidden="false" customHeight="false" outlineLevel="0" collapsed="false">
      <c r="B182" s="53" t="n">
        <v>173</v>
      </c>
      <c r="C182" s="9" t="s">
        <v>705</v>
      </c>
      <c r="D182" s="9" t="s">
        <v>757</v>
      </c>
      <c r="E182" s="62" t="n">
        <v>19.785</v>
      </c>
      <c r="F182" s="50" t="n">
        <f aca="false">BDCs!$C$25</f>
        <v>19.7850347483796</v>
      </c>
      <c r="G182" s="34" t="n">
        <f aca="false">IFERROR(IF(ISNUMBER(F182),F182-E182,"n/a"),"n/a")</f>
        <v>3.47483796261372E-005</v>
      </c>
      <c r="H182" s="55" t="n">
        <v>0.000500001</v>
      </c>
      <c r="I182" s="52" t="str">
        <f aca="false">IFERROR(IF(ISNUMBER(F182),IF(ABS(F182-E182)&lt;=H182,"PASS","FAIL"),"FAIL"),"FAIL")</f>
        <v>PASS</v>
      </c>
    </row>
    <row r="183" customFormat="false" ht="15" hidden="false" customHeight="false" outlineLevel="0" collapsed="false">
      <c r="B183" s="53" t="n">
        <v>174</v>
      </c>
      <c r="C183" s="9" t="s">
        <v>705</v>
      </c>
      <c r="D183" s="9" t="s">
        <v>758</v>
      </c>
      <c r="E183" s="62" t="n">
        <v>14.049</v>
      </c>
      <c r="F183" s="50" t="n">
        <f aca="false">BDCs!$D$25</f>
        <v>14.0491250556981</v>
      </c>
      <c r="G183" s="34" t="n">
        <f aca="false">IFERROR(IF(ISNUMBER(F183),F183-E183,"n/a"),"n/a")</f>
        <v>0.000125055698095622</v>
      </c>
      <c r="H183" s="55" t="n">
        <v>0.000500001</v>
      </c>
      <c r="I183" s="52" t="str">
        <f aca="false">IFERROR(IF(ISNUMBER(F183),IF(ABS(F183-E183)&lt;=H183,"PASS","FAIL"),"FAIL"),"FAIL")</f>
        <v>PASS</v>
      </c>
    </row>
    <row r="184" customFormat="false" ht="15" hidden="false" customHeight="false" outlineLevel="0" collapsed="false">
      <c r="B184" s="53" t="n">
        <v>175</v>
      </c>
      <c r="C184" s="9" t="s">
        <v>705</v>
      </c>
      <c r="D184" s="9" t="s">
        <v>759</v>
      </c>
      <c r="E184" s="62" t="n">
        <v>9.943</v>
      </c>
      <c r="F184" s="50" t="n">
        <f aca="false">BDCs!$E$25</f>
        <v>9.94319046219924</v>
      </c>
      <c r="G184" s="34" t="n">
        <f aca="false">IFERROR(IF(ISNUMBER(F184),F184-E184,"n/a"),"n/a")</f>
        <v>0.000190462199235242</v>
      </c>
      <c r="H184" s="55" t="n">
        <v>0.000500001</v>
      </c>
      <c r="I184" s="52" t="str">
        <f aca="false">IFERROR(IF(ISNUMBER(F184),IF(ABS(F184-E184)&lt;=H184,"PASS","FAIL"),"FAIL"),"FAIL")</f>
        <v>PASS</v>
      </c>
    </row>
    <row r="185" customFormat="false" ht="15" hidden="false" customHeight="false" outlineLevel="0" collapsed="false">
      <c r="B185" s="53" t="n">
        <v>176</v>
      </c>
      <c r="C185" s="9" t="s">
        <v>705</v>
      </c>
      <c r="D185" s="9" t="s">
        <v>760</v>
      </c>
      <c r="E185" s="21" t="n">
        <v>-0.05</v>
      </c>
      <c r="F185" s="59" t="n">
        <f aca="false">BDCs!$C$26</f>
        <v>-0.05</v>
      </c>
      <c r="G185" s="34" t="n">
        <f aca="false">IFERROR(IF(ISNUMBER(F185),F185-E185,"n/a"),"n/a")</f>
        <v>0</v>
      </c>
      <c r="H185" s="55" t="n">
        <v>0.000500001</v>
      </c>
      <c r="I185" s="52" t="str">
        <f aca="false">IFERROR(IF(ISNUMBER(F185),IF(ABS(F185-E185)&lt;=H185,"PASS","FAIL"),"FAIL"),"FAIL")</f>
        <v>PASS</v>
      </c>
    </row>
    <row r="186" customFormat="false" ht="15" hidden="false" customHeight="false" outlineLevel="0" collapsed="false">
      <c r="B186" s="53" t="n">
        <v>177</v>
      </c>
      <c r="C186" s="9" t="s">
        <v>705</v>
      </c>
      <c r="D186" s="9" t="s">
        <v>761</v>
      </c>
      <c r="E186" s="21" t="n">
        <v>0</v>
      </c>
      <c r="F186" s="59" t="n">
        <f aca="false">BDCs!$D$26</f>
        <v>0</v>
      </c>
      <c r="G186" s="34" t="n">
        <f aca="false">IFERROR(IF(ISNUMBER(F186),F186-E186,"n/a"),"n/a")</f>
        <v>0</v>
      </c>
      <c r="H186" s="55" t="n">
        <v>0.000500001</v>
      </c>
      <c r="I186" s="52" t="str">
        <f aca="false">IFERROR(IF(ISNUMBER(F186),IF(ABS(F186-E186)&lt;=H186,"PASS","FAIL"),"FAIL"),"FAIL")</f>
        <v>PASS</v>
      </c>
    </row>
    <row r="187" customFormat="false" ht="15" hidden="false" customHeight="false" outlineLevel="0" collapsed="false">
      <c r="B187" s="53" t="n">
        <v>178</v>
      </c>
      <c r="C187" s="9" t="s">
        <v>705</v>
      </c>
      <c r="D187" s="9" t="s">
        <v>762</v>
      </c>
      <c r="E187" s="21" t="n">
        <v>-0.25</v>
      </c>
      <c r="F187" s="59" t="n">
        <f aca="false">BDCs!$E$26</f>
        <v>-0.25</v>
      </c>
      <c r="G187" s="34" t="n">
        <f aca="false">IFERROR(IF(ISNUMBER(F187),F187-E187,"n/a"),"n/a")</f>
        <v>0</v>
      </c>
      <c r="H187" s="55" t="n">
        <v>0.000500001</v>
      </c>
      <c r="I187" s="52" t="str">
        <f aca="false">IFERROR(IF(ISNUMBER(F187),IF(ABS(F187-E187)&lt;=H187,"PASS","FAIL"),"FAIL"),"FAIL")</f>
        <v>PASS</v>
      </c>
    </row>
    <row r="188" customFormat="false" ht="15" hidden="false" customHeight="false" outlineLevel="0" collapsed="false">
      <c r="B188" s="53" t="n">
        <v>179</v>
      </c>
      <c r="C188" s="9" t="s">
        <v>705</v>
      </c>
      <c r="D188" s="9" t="s">
        <v>763</v>
      </c>
      <c r="E188" s="62" t="n">
        <v>18.796</v>
      </c>
      <c r="F188" s="50" t="n">
        <f aca="false">BDCs!$C$27</f>
        <v>18.7957830109606</v>
      </c>
      <c r="G188" s="34" t="n">
        <f aca="false">IFERROR(IF(ISNUMBER(F188),F188-E188,"n/a"),"n/a")</f>
        <v>-0.000216989039355298</v>
      </c>
      <c r="H188" s="55" t="n">
        <v>0.000500001</v>
      </c>
      <c r="I188" s="52" t="str">
        <f aca="false">IFERROR(IF(ISNUMBER(F188),IF(ABS(F188-E188)&lt;=H188,"PASS","FAIL"),"FAIL"),"FAIL")</f>
        <v>PASS</v>
      </c>
    </row>
    <row r="189" customFormat="false" ht="15" hidden="false" customHeight="false" outlineLevel="0" collapsed="false">
      <c r="B189" s="53" t="n">
        <v>180</v>
      </c>
      <c r="C189" s="9" t="s">
        <v>705</v>
      </c>
      <c r="D189" s="9" t="s">
        <v>764</v>
      </c>
      <c r="E189" s="62" t="n">
        <v>14.049</v>
      </c>
      <c r="F189" s="50" t="n">
        <f aca="false">BDCs!$D$27</f>
        <v>14.0491250556981</v>
      </c>
      <c r="G189" s="34" t="n">
        <f aca="false">IFERROR(IF(ISNUMBER(F189),F189-E189,"n/a"),"n/a")</f>
        <v>0.000125055698095622</v>
      </c>
      <c r="H189" s="55" t="n">
        <v>0.000500001</v>
      </c>
      <c r="I189" s="52" t="str">
        <f aca="false">IFERROR(IF(ISNUMBER(F189),IF(ABS(F189-E189)&lt;=H189,"PASS","FAIL"),"FAIL"),"FAIL")</f>
        <v>PASS</v>
      </c>
    </row>
    <row r="190" customFormat="false" ht="15" hidden="false" customHeight="false" outlineLevel="0" collapsed="false">
      <c r="B190" s="53" t="n">
        <v>181</v>
      </c>
      <c r="C190" s="9" t="s">
        <v>705</v>
      </c>
      <c r="D190" s="9" t="s">
        <v>765</v>
      </c>
      <c r="E190" s="62" t="n">
        <v>7.457</v>
      </c>
      <c r="F190" s="50" t="n">
        <f aca="false">BDCs!$E$27</f>
        <v>7.45739284664943</v>
      </c>
      <c r="G190" s="34" t="n">
        <f aca="false">IFERROR(IF(ISNUMBER(F190),F190-E190,"n/a"),"n/a")</f>
        <v>0.000392846649426737</v>
      </c>
      <c r="H190" s="55" t="n">
        <v>0.000500001</v>
      </c>
      <c r="I190" s="52" t="str">
        <f aca="false">IFERROR(IF(ISNUMBER(F190),IF(ABS(F190-E190)&lt;=H190,"PASS","FAIL"),"FAIL"),"FAIL")</f>
        <v>PASS</v>
      </c>
    </row>
    <row r="191" customFormat="false" ht="15" hidden="false" customHeight="false" outlineLevel="0" collapsed="false">
      <c r="B191" s="53" t="n">
        <v>182</v>
      </c>
      <c r="C191" s="9" t="s">
        <v>705</v>
      </c>
      <c r="D191" s="9" t="s">
        <v>766</v>
      </c>
      <c r="E191" s="18" t="n">
        <v>1315.79</v>
      </c>
      <c r="F191" s="47" t="n">
        <f aca="false">BDCs!$C$28</f>
        <v>1315.78947368421</v>
      </c>
      <c r="G191" s="34" t="n">
        <f aca="false">IFERROR(IF(ISNUMBER(F191),F191-E191,"n/a"),"n/a")</f>
        <v>-0.000526315789329601</v>
      </c>
      <c r="H191" s="55" t="n">
        <v>0.005000001</v>
      </c>
      <c r="I191" s="52" t="str">
        <f aca="false">IFERROR(IF(ISNUMBER(F191),IF(ABS(F191-E191)&lt;=H191,"PASS","FAIL"),"FAIL"),"FAIL")</f>
        <v>PASS</v>
      </c>
    </row>
    <row r="192" customFormat="false" ht="15" hidden="false" customHeight="false" outlineLevel="0" collapsed="false">
      <c r="B192" s="53" t="n">
        <v>183</v>
      </c>
      <c r="C192" s="9" t="s">
        <v>705</v>
      </c>
      <c r="D192" s="9" t="s">
        <v>767</v>
      </c>
      <c r="E192" s="18" t="n">
        <v>1666.67</v>
      </c>
      <c r="F192" s="47" t="n">
        <f aca="false">BDCs!$D$28</f>
        <v>1666.66666666667</v>
      </c>
      <c r="G192" s="34" t="n">
        <f aca="false">IFERROR(IF(ISNUMBER(F192),F192-E192,"n/a"),"n/a")</f>
        <v>-0.0033333333333303</v>
      </c>
      <c r="H192" s="55" t="n">
        <v>0.005000001</v>
      </c>
      <c r="I192" s="52" t="str">
        <f aca="false">IFERROR(IF(ISNUMBER(F192),IF(ABS(F192-E192)&lt;=H192,"PASS","FAIL"),"FAIL"),"FAIL")</f>
        <v>PASS</v>
      </c>
    </row>
    <row r="193" customFormat="false" ht="15" hidden="false" customHeight="false" outlineLevel="0" collapsed="false">
      <c r="B193" s="53" t="n">
        <v>184</v>
      </c>
      <c r="C193" s="9" t="s">
        <v>705</v>
      </c>
      <c r="D193" s="9" t="s">
        <v>768</v>
      </c>
      <c r="E193" s="18" t="n">
        <v>2777.78</v>
      </c>
      <c r="F193" s="47" t="n">
        <f aca="false">BDCs!$E$28</f>
        <v>2777.77777777778</v>
      </c>
      <c r="G193" s="34" t="n">
        <f aca="false">IFERROR(IF(ISNUMBER(F193),F193-E193,"n/a"),"n/a")</f>
        <v>-0.00222222222237178</v>
      </c>
      <c r="H193" s="55" t="n">
        <v>0.005000001</v>
      </c>
      <c r="I193" s="52" t="str">
        <f aca="false">IFERROR(IF(ISNUMBER(F193),IF(ABS(F193-E193)&lt;=H193,"PASS","FAIL"),"FAIL"),"FAIL")</f>
        <v>PASS</v>
      </c>
    </row>
    <row r="194" customFormat="false" ht="15" hidden="false" customHeight="false" outlineLevel="0" collapsed="false">
      <c r="B194" s="53" t="n">
        <v>185</v>
      </c>
      <c r="C194" s="9" t="s">
        <v>705</v>
      </c>
      <c r="D194" s="9" t="s">
        <v>769</v>
      </c>
      <c r="E194" s="56" t="n">
        <v>7579</v>
      </c>
      <c r="F194" s="31" t="n">
        <f aca="false">BDCs!$C$29</f>
        <v>7578.94736842105</v>
      </c>
      <c r="G194" s="34" t="n">
        <f aca="false">IFERROR(IF(ISNUMBER(F194),F194-E194,"n/a"),"n/a")</f>
        <v>-0.0526315789466025</v>
      </c>
      <c r="H194" s="55" t="n">
        <v>0.500000001</v>
      </c>
      <c r="I194" s="52" t="str">
        <f aca="false">IFERROR(IF(ISNUMBER(F194),IF(ABS(F194-E194)&lt;=H194,"PASS","FAIL"),"FAIL"),"FAIL")</f>
        <v>PASS</v>
      </c>
    </row>
    <row r="195" customFormat="false" ht="15" hidden="false" customHeight="false" outlineLevel="0" collapsed="false">
      <c r="B195" s="53" t="n">
        <v>186</v>
      </c>
      <c r="C195" s="9" t="s">
        <v>705</v>
      </c>
      <c r="D195" s="9" t="s">
        <v>770</v>
      </c>
      <c r="E195" s="56" t="n">
        <v>8000</v>
      </c>
      <c r="F195" s="31" t="n">
        <f aca="false">BDCs!$D$29</f>
        <v>8000</v>
      </c>
      <c r="G195" s="34" t="n">
        <f aca="false">IFERROR(IF(ISNUMBER(F195),F195-E195,"n/a"),"n/a")</f>
        <v>0</v>
      </c>
      <c r="H195" s="55" t="n">
        <v>0.500000001</v>
      </c>
      <c r="I195" s="52" t="str">
        <f aca="false">IFERROR(IF(ISNUMBER(F195),IF(ABS(F195-E195)&lt;=H195,"PASS","FAIL"),"FAIL"),"FAIL")</f>
        <v>PASS</v>
      </c>
    </row>
    <row r="196" customFormat="false" ht="15" hidden="false" customHeight="false" outlineLevel="0" collapsed="false">
      <c r="B196" s="53" t="n">
        <v>187</v>
      </c>
      <c r="C196" s="9" t="s">
        <v>705</v>
      </c>
      <c r="D196" s="9" t="s">
        <v>771</v>
      </c>
      <c r="E196" s="56" t="n">
        <v>9444</v>
      </c>
      <c r="F196" s="31" t="n">
        <f aca="false">BDCs!$E$29</f>
        <v>9444.44444444445</v>
      </c>
      <c r="G196" s="34" t="n">
        <f aca="false">IFERROR(IF(ISNUMBER(F196),F196-E196,"n/a"),"n/a")</f>
        <v>0.444444444445253</v>
      </c>
      <c r="H196" s="55" t="n">
        <v>0.500000001</v>
      </c>
      <c r="I196" s="52" t="str">
        <f aca="false">IFERROR(IF(ISNUMBER(F196),IF(ABS(F196-E196)&lt;=H196,"PASS","FAIL"),"FAIL"),"FAIL")</f>
        <v>PASS</v>
      </c>
    </row>
    <row r="197" customFormat="false" ht="15" hidden="false" customHeight="false" outlineLevel="0" collapsed="false">
      <c r="B197" s="53" t="n">
        <v>188</v>
      </c>
      <c r="C197" s="9" t="s">
        <v>705</v>
      </c>
      <c r="D197" s="9" t="s">
        <v>772</v>
      </c>
      <c r="E197" s="56" t="n">
        <v>-269</v>
      </c>
      <c r="F197" s="31" t="n">
        <f aca="false">BDCs!$C$30</f>
        <v>-268.706564525467</v>
      </c>
      <c r="G197" s="34" t="n">
        <f aca="false">IFERROR(IF(ISNUMBER(F197),F197-E197,"n/a"),"n/a")</f>
        <v>0.293435474532828</v>
      </c>
      <c r="H197" s="55" t="n">
        <v>0.500000001</v>
      </c>
      <c r="I197" s="52" t="str">
        <f aca="false">IFERROR(IF(ISNUMBER(F197),IF(ABS(F197-E197)&lt;=H197,"PASS","FAIL"),"FAIL"),"FAIL")</f>
        <v>PASS</v>
      </c>
    </row>
    <row r="198" customFormat="false" ht="15" hidden="false" customHeight="false" outlineLevel="0" collapsed="false">
      <c r="B198" s="53" t="n">
        <v>189</v>
      </c>
      <c r="C198" s="9" t="s">
        <v>705</v>
      </c>
      <c r="D198" s="9" t="s">
        <v>773</v>
      </c>
      <c r="E198" s="56" t="n">
        <v>88</v>
      </c>
      <c r="F198" s="31" t="n">
        <f aca="false">BDCs!$D$30</f>
        <v>87.7233137465984</v>
      </c>
      <c r="G198" s="34" t="n">
        <f aca="false">IFERROR(IF(ISNUMBER(F198),F198-E198,"n/a"),"n/a")</f>
        <v>-0.276686253401593</v>
      </c>
      <c r="H198" s="55" t="n">
        <v>0.500000001</v>
      </c>
      <c r="I198" s="52" t="str">
        <f aca="false">IFERROR(IF(ISNUMBER(F198),IF(ABS(F198-E198)&lt;=H198,"PASS","FAIL"),"FAIL"),"FAIL")</f>
        <v>PASS</v>
      </c>
    </row>
    <row r="199" customFormat="false" ht="15" hidden="false" customHeight="false" outlineLevel="0" collapsed="false">
      <c r="B199" s="53" t="n">
        <v>190</v>
      </c>
      <c r="C199" s="9" t="s">
        <v>705</v>
      </c>
      <c r="D199" s="9" t="s">
        <v>774</v>
      </c>
      <c r="E199" s="56" t="n">
        <v>-2904</v>
      </c>
      <c r="F199" s="31" t="n">
        <f aca="false">BDCs!$E$30</f>
        <v>-2904.02119511281</v>
      </c>
      <c r="G199" s="34" t="n">
        <f aca="false">IFERROR(IF(ISNUMBER(F199),F199-E199,"n/a"),"n/a")</f>
        <v>-0.0211951128117107</v>
      </c>
      <c r="H199" s="55" t="n">
        <v>0.500000001</v>
      </c>
      <c r="I199" s="52" t="str">
        <f aca="false">IFERROR(IF(ISNUMBER(F199),IF(ABS(F199-E199)&lt;=H199,"PASS","FAIL"),"FAIL"),"FAIL")</f>
        <v>PASS</v>
      </c>
    </row>
    <row r="200" customFormat="false" ht="15" hidden="false" customHeight="false" outlineLevel="0" collapsed="false">
      <c r="B200" s="53" t="n">
        <v>191</v>
      </c>
      <c r="C200" s="9" t="s">
        <v>705</v>
      </c>
      <c r="D200" s="9" t="s">
        <v>775</v>
      </c>
      <c r="E200" s="56" t="n">
        <v>0</v>
      </c>
      <c r="F200" s="31" t="n">
        <f aca="false">BDCs!$C$31</f>
        <v>0</v>
      </c>
      <c r="G200" s="34" t="n">
        <f aca="false">IFERROR(IF(ISNUMBER(F200),F200-E200,"n/a"),"n/a")</f>
        <v>0</v>
      </c>
      <c r="H200" s="55" t="n">
        <v>0.500000001</v>
      </c>
      <c r="I200" s="52" t="str">
        <f aca="false">IFERROR(IF(ISNUMBER(F200),IF(ABS(F200-E200)&lt;=H200,"PASS","FAIL"),"FAIL"),"FAIL")</f>
        <v>PASS</v>
      </c>
    </row>
    <row r="201" customFormat="false" ht="15" hidden="false" customHeight="false" outlineLevel="0" collapsed="false">
      <c r="B201" s="53" t="n">
        <v>192</v>
      </c>
      <c r="C201" s="9" t="s">
        <v>705</v>
      </c>
      <c r="D201" s="9" t="s">
        <v>776</v>
      </c>
      <c r="E201" s="56" t="n">
        <v>-1673</v>
      </c>
      <c r="F201" s="31" t="n">
        <f aca="false">BDCs!$D$31</f>
        <v>-1672.51488758311</v>
      </c>
      <c r="G201" s="34" t="n">
        <f aca="false">IFERROR(IF(ISNUMBER(F201),F201-E201,"n/a"),"n/a")</f>
        <v>0.485112416894253</v>
      </c>
      <c r="H201" s="55" t="n">
        <v>0.500000001</v>
      </c>
      <c r="I201" s="52" t="str">
        <f aca="false">IFERROR(IF(ISNUMBER(F201),IF(ABS(F201-E201)&lt;=H201,"PASS","FAIL"),"FAIL"),"FAIL")</f>
        <v>PASS</v>
      </c>
    </row>
    <row r="202" customFormat="false" ht="15" hidden="false" customHeight="false" outlineLevel="0" collapsed="false">
      <c r="B202" s="53" t="n">
        <v>193</v>
      </c>
      <c r="C202" s="9" t="s">
        <v>705</v>
      </c>
      <c r="D202" s="9" t="s">
        <v>777</v>
      </c>
      <c r="E202" s="56" t="n">
        <v>-1381</v>
      </c>
      <c r="F202" s="31" t="n">
        <f aca="false">BDCs!$E$31</f>
        <v>-1380.99867530545</v>
      </c>
      <c r="G202" s="34" t="n">
        <f aca="false">IFERROR(IF(ISNUMBER(F202),F202-E202,"n/a"),"n/a")</f>
        <v>0.00132469454956663</v>
      </c>
      <c r="H202" s="55" t="n">
        <v>0.500000001</v>
      </c>
      <c r="I202" s="52" t="str">
        <f aca="false">IFERROR(IF(ISNUMBER(F202),IF(ABS(F202-E202)&lt;=H202,"PASS","FAIL"),"FAIL"),"FAIL")</f>
        <v>PASS</v>
      </c>
    </row>
    <row r="203" customFormat="false" ht="15" hidden="false" customHeight="false" outlineLevel="0" collapsed="false">
      <c r="B203" s="53" t="n">
        <v>194</v>
      </c>
      <c r="C203" s="9" t="s">
        <v>705</v>
      </c>
      <c r="D203" s="9" t="s">
        <v>778</v>
      </c>
      <c r="E203" s="56" t="n">
        <v>7310</v>
      </c>
      <c r="F203" s="31" t="n">
        <f aca="false">BDCs!$C$32</f>
        <v>7310.24080389559</v>
      </c>
      <c r="G203" s="34" t="n">
        <f aca="false">IFERROR(IF(ISNUMBER(F203),F203-E203,"n/a"),"n/a")</f>
        <v>0.240803895586396</v>
      </c>
      <c r="H203" s="55" t="n">
        <v>0.500000001</v>
      </c>
      <c r="I203" s="52" t="str">
        <f aca="false">IFERROR(IF(ISNUMBER(F203),IF(ABS(F203-E203)&lt;=H203,"PASS","FAIL"),"FAIL"),"FAIL")</f>
        <v>PASS</v>
      </c>
    </row>
    <row r="204" customFormat="false" ht="15" hidden="false" customHeight="false" outlineLevel="0" collapsed="false">
      <c r="B204" s="53" t="n">
        <v>195</v>
      </c>
      <c r="C204" s="9" t="s">
        <v>705</v>
      </c>
      <c r="D204" s="9" t="s">
        <v>779</v>
      </c>
      <c r="E204" s="56" t="n">
        <v>6415</v>
      </c>
      <c r="F204" s="31" t="n">
        <f aca="false">BDCs!$D$32</f>
        <v>6415.2084261635</v>
      </c>
      <c r="G204" s="34" t="n">
        <f aca="false">IFERROR(IF(ISNUMBER(F204),F204-E204,"n/a"),"n/a")</f>
        <v>0.208426163494551</v>
      </c>
      <c r="H204" s="55" t="n">
        <v>0.500000001</v>
      </c>
      <c r="I204" s="52" t="str">
        <f aca="false">IFERROR(IF(ISNUMBER(F204),IF(ABS(F204-E204)&lt;=H204,"PASS","FAIL"),"FAIL"),"FAIL")</f>
        <v>PASS</v>
      </c>
    </row>
    <row r="205" customFormat="false" ht="15" hidden="false" customHeight="false" outlineLevel="0" collapsed="false">
      <c r="B205" s="53" t="n">
        <v>196</v>
      </c>
      <c r="C205" s="9" t="s">
        <v>705</v>
      </c>
      <c r="D205" s="9" t="s">
        <v>780</v>
      </c>
      <c r="E205" s="56" t="n">
        <v>5159</v>
      </c>
      <c r="F205" s="31" t="n">
        <f aca="false">BDCs!$E$32</f>
        <v>5159.42457402618</v>
      </c>
      <c r="G205" s="34" t="n">
        <f aca="false">IFERROR(IF(ISNUMBER(F205),F205-E205,"n/a"),"n/a")</f>
        <v>0.424574026183109</v>
      </c>
      <c r="H205" s="55" t="n">
        <v>0.500000001</v>
      </c>
      <c r="I205" s="52" t="str">
        <f aca="false">IFERROR(IF(ISNUMBER(F205),IF(ABS(F205-E205)&lt;=H205,"PASS","FAIL"),"FAIL"),"FAIL")</f>
        <v>PASS</v>
      </c>
    </row>
    <row r="206" customFormat="false" ht="15" hidden="false" customHeight="false" outlineLevel="0" collapsed="false">
      <c r="B206" s="53" t="n">
        <v>197</v>
      </c>
      <c r="C206" s="9" t="s">
        <v>705</v>
      </c>
      <c r="D206" s="9" t="s">
        <v>781</v>
      </c>
      <c r="E206" s="10" t="n">
        <v>0.1016</v>
      </c>
      <c r="F206" s="54" t="n">
        <f aca="false">BDCs!$C$33</f>
        <v>0.101582241333456</v>
      </c>
      <c r="G206" s="34" t="n">
        <f aca="false">IFERROR(IF(ISNUMBER(F206),F206-E206,"n/a"),"n/a")</f>
        <v>-1.77586665436047E-005</v>
      </c>
      <c r="H206" s="55" t="n">
        <v>5.0001E-005</v>
      </c>
      <c r="I206" s="52" t="str">
        <f aca="false">IFERROR(IF(ISNUMBER(F206),IF(ABS(F206-E206)&lt;=H206,"PASS","FAIL"),"FAIL"),"FAIL")</f>
        <v>PASS</v>
      </c>
    </row>
    <row r="207" customFormat="false" ht="15" hidden="false" customHeight="false" outlineLevel="0" collapsed="false">
      <c r="B207" s="53" t="n">
        <v>198</v>
      </c>
      <c r="C207" s="9" t="s">
        <v>705</v>
      </c>
      <c r="D207" s="9" t="s">
        <v>782</v>
      </c>
      <c r="E207" s="10" t="n">
        <v>0.0909</v>
      </c>
      <c r="F207" s="54" t="n">
        <f aca="false">BDCs!$D$33</f>
        <v>0.0909166712365557</v>
      </c>
      <c r="G207" s="34" t="n">
        <f aca="false">IFERROR(IF(ISNUMBER(F207),F207-E207,"n/a"),"n/a")</f>
        <v>1.66712365556737E-005</v>
      </c>
      <c r="H207" s="55" t="n">
        <v>5.0001E-005</v>
      </c>
      <c r="I207" s="52" t="str">
        <f aca="false">IFERROR(IF(ISNUMBER(F207),IF(ABS(F207-E207)&lt;=H207,"PASS","FAIL"),"FAIL"),"FAIL")</f>
        <v>PASS</v>
      </c>
    </row>
    <row r="208" customFormat="false" ht="15" hidden="false" customHeight="false" outlineLevel="0" collapsed="false">
      <c r="B208" s="53" t="n">
        <v>199</v>
      </c>
      <c r="C208" s="9" t="s">
        <v>705</v>
      </c>
      <c r="D208" s="9" t="s">
        <v>783</v>
      </c>
      <c r="E208" s="10" t="n">
        <v>0.0776</v>
      </c>
      <c r="F208" s="54" t="n">
        <f aca="false">BDCs!$E$33</f>
        <v>0.0776161128438713</v>
      </c>
      <c r="G208" s="34" t="n">
        <f aca="false">IFERROR(IF(ISNUMBER(F208),F208-E208,"n/a"),"n/a")</f>
        <v>1.61128438712632E-005</v>
      </c>
      <c r="H208" s="55" t="n">
        <v>5.0001E-005</v>
      </c>
      <c r="I208" s="52" t="str">
        <f aca="false">IFERROR(IF(ISNUMBER(F208),IF(ABS(F208-E208)&lt;=H208,"PASS","FAIL"),"FAIL"),"FAIL")</f>
        <v>PASS</v>
      </c>
    </row>
    <row r="209" customFormat="false" ht="30" hidden="false" customHeight="true" outlineLevel="0" collapsed="false">
      <c r="B209" s="53" t="n">
        <v>200</v>
      </c>
      <c r="C209" s="9" t="s">
        <v>705</v>
      </c>
      <c r="D209" s="60" t="s">
        <v>784</v>
      </c>
      <c r="E209" s="48" t="s">
        <v>632</v>
      </c>
      <c r="F209" s="61" t="str">
        <f aca="false">IFERROR(IF(ABS(BDCs!$C$32-BDC_Paths!$G$62)&lt;0.000001,"holds","does not hold"),"error")</f>
        <v>holds</v>
      </c>
      <c r="G209" s="9"/>
      <c r="H209" s="9"/>
      <c r="I209" s="52" t="str">
        <f aca="false">IFERROR(IF(ABS(BDCs!$C$32-BDC_Paths!$G$62)&lt;0.000001,"PASS","FAIL"),"FAIL")</f>
        <v>PASS</v>
      </c>
    </row>
    <row r="210" customFormat="false" ht="30" hidden="false" customHeight="true" outlineLevel="0" collapsed="false">
      <c r="B210" s="53" t="n">
        <v>201</v>
      </c>
      <c r="C210" s="9" t="s">
        <v>705</v>
      </c>
      <c r="D210" s="60" t="s">
        <v>785</v>
      </c>
      <c r="E210" s="48" t="s">
        <v>632</v>
      </c>
      <c r="F210" s="61" t="str">
        <f aca="false">IFERROR(IF(ABS(BDCs!$D$32-BDC_Paths!$G$63)&lt;0.000001,"holds","does not hold"),"error")</f>
        <v>holds</v>
      </c>
      <c r="G210" s="9"/>
      <c r="H210" s="9"/>
      <c r="I210" s="52" t="str">
        <f aca="false">IFERROR(IF(ABS(BDCs!$D$32-BDC_Paths!$G$63)&lt;0.000001,"PASS","FAIL"),"FAIL")</f>
        <v>PASS</v>
      </c>
    </row>
    <row r="211" customFormat="false" ht="30" hidden="false" customHeight="true" outlineLevel="0" collapsed="false">
      <c r="B211" s="53" t="n">
        <v>202</v>
      </c>
      <c r="C211" s="9" t="s">
        <v>705</v>
      </c>
      <c r="D211" s="60" t="s">
        <v>786</v>
      </c>
      <c r="E211" s="48" t="s">
        <v>632</v>
      </c>
      <c r="F211" s="61" t="str">
        <f aca="false">IFERROR(IF(ABS(BDCs!$E$32-BDC_Paths!$G$64)&lt;0.000001,"holds","does not hold"),"error")</f>
        <v>holds</v>
      </c>
      <c r="G211" s="9"/>
      <c r="H211" s="9"/>
      <c r="I211" s="52" t="str">
        <f aca="false">IFERROR(IF(ABS(BDCs!$E$32-BDC_Paths!$G$64)&lt;0.000001,"PASS","FAIL"),"FAIL")</f>
        <v>PASS</v>
      </c>
    </row>
    <row r="212" customFormat="false" ht="15" hidden="false" customHeight="false" outlineLevel="0" collapsed="false">
      <c r="B212" s="53" t="n">
        <v>203</v>
      </c>
      <c r="C212" s="9" t="s">
        <v>705</v>
      </c>
      <c r="D212" s="9" t="s">
        <v>787</v>
      </c>
      <c r="E212" s="10" t="n">
        <v>0.0903</v>
      </c>
      <c r="F212" s="54" t="n">
        <f aca="false">BDCs!$C$35</f>
        <v>0.0903440091851642</v>
      </c>
      <c r="G212" s="34" t="n">
        <f aca="false">IFERROR(IF(ISNUMBER(F212),F212-E212,"n/a"),"n/a")</f>
        <v>4.40091851641733E-005</v>
      </c>
      <c r="H212" s="55" t="n">
        <v>5.0001E-005</v>
      </c>
      <c r="I212" s="52" t="str">
        <f aca="false">IFERROR(IF(ISNUMBER(F212),IF(ABS(F212-E212)&lt;=H212,"PASS","FAIL"),"FAIL"),"FAIL")</f>
        <v>PASS</v>
      </c>
    </row>
    <row r="213" customFormat="false" ht="15" hidden="false" customHeight="false" outlineLevel="0" collapsed="false">
      <c r="B213" s="53" t="n">
        <v>204</v>
      </c>
      <c r="C213" s="9" t="s">
        <v>705</v>
      </c>
      <c r="D213" s="9" t="s">
        <v>788</v>
      </c>
      <c r="E213" s="12" t="n">
        <v>0.91</v>
      </c>
      <c r="F213" s="17" t="n">
        <f aca="false">BDCs!$E$39</f>
        <v>0.910656818181818</v>
      </c>
      <c r="G213" s="34" t="n">
        <f aca="false">IFERROR(IF(ISNUMBER(F213),F213-E213,"n/a"),"n/a")</f>
        <v>0.000656818181818064</v>
      </c>
      <c r="H213" s="55" t="n">
        <v>0.005000001</v>
      </c>
      <c r="I213" s="52" t="str">
        <f aca="false">IFERROR(IF(ISNUMBER(F213),IF(ABS(F213-E213)&lt;=H213,"PASS","FAIL"),"FAIL"),"FAIL")</f>
        <v>PASS</v>
      </c>
    </row>
    <row r="214" customFormat="false" ht="15" hidden="false" customHeight="false" outlineLevel="0" collapsed="false">
      <c r="B214" s="53" t="n">
        <v>205</v>
      </c>
      <c r="C214" s="9" t="s">
        <v>705</v>
      </c>
      <c r="D214" s="9" t="s">
        <v>789</v>
      </c>
      <c r="E214" s="12" t="n">
        <v>0.9</v>
      </c>
      <c r="F214" s="17" t="n">
        <f aca="false">BDCs!$E$40</f>
        <v>0.900301982344091</v>
      </c>
      <c r="G214" s="34" t="n">
        <f aca="false">IFERROR(IF(ISNUMBER(F214),F214-E214,"n/a"),"n/a")</f>
        <v>0.000301982344090845</v>
      </c>
      <c r="H214" s="55" t="n">
        <v>0.005000001</v>
      </c>
      <c r="I214" s="52" t="str">
        <f aca="false">IFERROR(IF(ISNUMBER(F214),IF(ABS(F214-E214)&lt;=H214,"PASS","FAIL"),"FAIL"),"FAIL")</f>
        <v>PASS</v>
      </c>
    </row>
    <row r="215" customFormat="false" ht="15" hidden="false" customHeight="false" outlineLevel="0" collapsed="false">
      <c r="B215" s="53" t="n">
        <v>206</v>
      </c>
      <c r="C215" s="9" t="s">
        <v>705</v>
      </c>
      <c r="D215" s="9" t="s">
        <v>790</v>
      </c>
      <c r="E215" s="12" t="n">
        <v>0.89</v>
      </c>
      <c r="F215" s="17" t="n">
        <f aca="false">BDCs!$E$41</f>
        <v>0.889761146732145</v>
      </c>
      <c r="G215" s="34" t="n">
        <f aca="false">IFERROR(IF(ISNUMBER(F215),F215-E215,"n/a"),"n/a")</f>
        <v>-0.00023885326785511</v>
      </c>
      <c r="H215" s="55" t="n">
        <v>0.005000001</v>
      </c>
      <c r="I215" s="52" t="str">
        <f aca="false">IFERROR(IF(ISNUMBER(F215),IF(ABS(F215-E215)&lt;=H215,"PASS","FAIL"),"FAIL"),"FAIL")</f>
        <v>PASS</v>
      </c>
    </row>
    <row r="216" customFormat="false" ht="15" hidden="false" customHeight="false" outlineLevel="0" collapsed="false">
      <c r="B216" s="53" t="n">
        <v>207</v>
      </c>
      <c r="C216" s="9" t="s">
        <v>705</v>
      </c>
      <c r="D216" s="9" t="s">
        <v>791</v>
      </c>
      <c r="E216" s="12" t="n">
        <v>0.88</v>
      </c>
      <c r="F216" s="17" t="n">
        <f aca="false">BDCs!$E$42</f>
        <v>0.879030970306436</v>
      </c>
      <c r="G216" s="34" t="n">
        <f aca="false">IFERROR(IF(ISNUMBER(F216),F216-E216,"n/a"),"n/a")</f>
        <v>-0.000969029693564383</v>
      </c>
      <c r="H216" s="55" t="n">
        <v>0.005000001</v>
      </c>
      <c r="I216" s="52" t="str">
        <f aca="false">IFERROR(IF(ISNUMBER(F216),IF(ABS(F216-E216)&lt;=H216,"PASS","FAIL"),"FAIL"),"FAIL")</f>
        <v>PASS</v>
      </c>
    </row>
    <row r="217" customFormat="false" ht="15" hidden="false" customHeight="false" outlineLevel="0" collapsed="false">
      <c r="B217" s="53" t="n">
        <v>208</v>
      </c>
      <c r="C217" s="9" t="s">
        <v>705</v>
      </c>
      <c r="D217" s="9" t="s">
        <v>792</v>
      </c>
      <c r="E217" s="12" t="n">
        <v>0.81</v>
      </c>
      <c r="F217" s="17" t="n">
        <f aca="false">BDCs!$E$43</f>
        <v>0.811746642244217</v>
      </c>
      <c r="G217" s="34" t="n">
        <f aca="false">IFERROR(IF(ISNUMBER(F217),F217-E217,"n/a"),"n/a")</f>
        <v>0.0017466422442165</v>
      </c>
      <c r="H217" s="55" t="n">
        <v>0.005000001</v>
      </c>
      <c r="I217" s="52" t="str">
        <f aca="false">IFERROR(IF(ISNUMBER(F217),IF(ABS(F217-E217)&lt;=H217,"PASS","FAIL"),"FAIL"),"FAIL")</f>
        <v>PASS</v>
      </c>
    </row>
    <row r="218" customFormat="false" ht="15" hidden="false" customHeight="false" outlineLevel="0" collapsed="false">
      <c r="B218" s="53" t="n">
        <v>209</v>
      </c>
      <c r="C218" s="9" t="s">
        <v>705</v>
      </c>
      <c r="D218" s="9" t="s">
        <v>793</v>
      </c>
      <c r="E218" s="12" t="n">
        <v>1.06</v>
      </c>
      <c r="F218" s="17" t="n">
        <f aca="false">BDCs!$E$44</f>
        <v>1.05592292556768</v>
      </c>
      <c r="G218" s="34" t="n">
        <f aca="false">IFERROR(IF(ISNUMBER(F218),F218-E218,"n/a"),"n/a")</f>
        <v>-0.0040770744323162</v>
      </c>
      <c r="H218" s="55" t="n">
        <v>0.005000001</v>
      </c>
      <c r="I218" s="52" t="str">
        <f aca="false">IFERROR(IF(ISNUMBER(F218),IF(ABS(F218-E218)&lt;=H218,"PASS","FAIL"),"FAIL"),"FAIL")</f>
        <v>PASS</v>
      </c>
    </row>
    <row r="219" customFormat="false" ht="15" hidden="false" customHeight="false" outlineLevel="0" collapsed="false">
      <c r="B219" s="53" t="n">
        <v>210</v>
      </c>
      <c r="C219" s="9" t="s">
        <v>705</v>
      </c>
      <c r="D219" s="9" t="s">
        <v>794</v>
      </c>
      <c r="E219" s="12" t="n">
        <v>1.05</v>
      </c>
      <c r="F219" s="17" t="n">
        <f aca="false">BDCs!$E$45</f>
        <v>1.04808045958067</v>
      </c>
      <c r="G219" s="34" t="n">
        <f aca="false">IFERROR(IF(ISNUMBER(F219),F219-E219,"n/a"),"n/a")</f>
        <v>-0.00191954041932618</v>
      </c>
      <c r="H219" s="55" t="n">
        <v>0.005000001</v>
      </c>
      <c r="I219" s="52" t="str">
        <f aca="false">IFERROR(IF(ISNUMBER(F219),IF(ABS(F219-E219)&lt;=H219,"PASS","FAIL"),"FAIL"),"FAIL")</f>
        <v>PASS</v>
      </c>
    </row>
    <row r="220" customFormat="false" ht="15" hidden="false" customHeight="false" outlineLevel="0" collapsed="false">
      <c r="B220" s="53" t="n">
        <v>211</v>
      </c>
      <c r="C220" s="9" t="s">
        <v>705</v>
      </c>
      <c r="D220" s="9" t="s">
        <v>795</v>
      </c>
      <c r="E220" s="12" t="n">
        <v>1.04</v>
      </c>
      <c r="F220" s="17" t="n">
        <f aca="false">BDCs!$E$46</f>
        <v>1.04011072370289</v>
      </c>
      <c r="G220" s="34" t="n">
        <f aca="false">IFERROR(IF(ISNUMBER(F220),F220-E220,"n/a"),"n/a")</f>
        <v>0.000110723702887006</v>
      </c>
      <c r="H220" s="55" t="n">
        <v>0.005000001</v>
      </c>
      <c r="I220" s="52" t="str">
        <f aca="false">IFERROR(IF(ISNUMBER(F220),IF(ABS(F220-E220)&lt;=H220,"PASS","FAIL"),"FAIL"),"FAIL")</f>
        <v>PASS</v>
      </c>
    </row>
    <row r="221" customFormat="false" ht="15" hidden="false" customHeight="false" outlineLevel="0" collapsed="false">
      <c r="B221" s="53" t="n">
        <v>212</v>
      </c>
      <c r="C221" s="9" t="s">
        <v>705</v>
      </c>
      <c r="D221" s="9" t="s">
        <v>796</v>
      </c>
      <c r="E221" s="12" t="n">
        <v>0.98</v>
      </c>
      <c r="F221" s="17" t="n">
        <f aca="false">BDCs!$E$47</f>
        <v>0.984241713345505</v>
      </c>
      <c r="G221" s="34" t="n">
        <f aca="false">IFERROR(IF(ISNUMBER(F221),F221-E221,"n/a"),"n/a")</f>
        <v>0.00424171334550494</v>
      </c>
      <c r="H221" s="55" t="n">
        <v>0.005000001</v>
      </c>
      <c r="I221" s="52" t="str">
        <f aca="false">IFERROR(IF(ISNUMBER(F221),IF(ABS(F221-E221)&lt;=H221,"PASS","FAIL"),"FAIL"),"FAIL")</f>
        <v>PASS</v>
      </c>
    </row>
    <row r="222" customFormat="false" ht="15" hidden="false" customHeight="false" outlineLevel="0" collapsed="false">
      <c r="B222" s="53" t="n">
        <v>213</v>
      </c>
      <c r="C222" s="9" t="s">
        <v>705</v>
      </c>
      <c r="D222" s="9" t="s">
        <v>797</v>
      </c>
      <c r="E222" s="12" t="n">
        <v>0.98</v>
      </c>
      <c r="F222" s="17" t="n">
        <f aca="false">BDCs!$E$48</f>
        <v>0.97525420287322</v>
      </c>
      <c r="G222" s="34" t="n">
        <f aca="false">IFERROR(IF(ISNUMBER(F222),F222-E222,"n/a"),"n/a")</f>
        <v>-0.00474579712678036</v>
      </c>
      <c r="H222" s="55" t="n">
        <v>0.005000001</v>
      </c>
      <c r="I222" s="52" t="str">
        <f aca="false">IFERROR(IF(ISNUMBER(F222),IF(ABS(F222-E222)&lt;=H222,"PASS","FAIL"),"FAIL"),"FAIL")</f>
        <v>PASS</v>
      </c>
    </row>
    <row r="223" customFormat="false" ht="15" hidden="false" customHeight="false" outlineLevel="0" collapsed="false">
      <c r="B223" s="53" t="n">
        <v>214</v>
      </c>
      <c r="C223" s="9" t="s">
        <v>705</v>
      </c>
      <c r="D223" s="9" t="s">
        <v>798</v>
      </c>
      <c r="E223" s="12" t="n">
        <v>0.97</v>
      </c>
      <c r="F223" s="17" t="n">
        <f aca="false">BDCs!$E$49</f>
        <v>0.966131231744345</v>
      </c>
      <c r="G223" s="34" t="n">
        <f aca="false">IFERROR(IF(ISNUMBER(F223),F223-E223,"n/a"),"n/a")</f>
        <v>-0.00386876825565508</v>
      </c>
      <c r="H223" s="55" t="n">
        <v>0.005000001</v>
      </c>
      <c r="I223" s="52" t="str">
        <f aca="false">IFERROR(IF(ISNUMBER(F223),IF(ABS(F223-E223)&lt;=H223,"PASS","FAIL"),"FAIL"),"FAIL")</f>
        <v>PASS</v>
      </c>
    </row>
    <row r="224" customFormat="false" ht="15" hidden="false" customHeight="false" outlineLevel="0" collapsed="false">
      <c r="B224" s="53" t="n">
        <v>215</v>
      </c>
      <c r="C224" s="9" t="s">
        <v>705</v>
      </c>
      <c r="D224" s="9" t="s">
        <v>799</v>
      </c>
      <c r="E224" s="12" t="n">
        <v>0.96</v>
      </c>
      <c r="F224" s="17" t="n">
        <f aca="false">BDCs!$E$50</f>
        <v>0.956870758282319</v>
      </c>
      <c r="G224" s="34" t="n">
        <f aca="false">IFERROR(IF(ISNUMBER(F224),F224-E224,"n/a"),"n/a")</f>
        <v>-0.00312924171768125</v>
      </c>
      <c r="H224" s="55" t="n">
        <v>0.005000001</v>
      </c>
      <c r="I224" s="52" t="str">
        <f aca="false">IFERROR(IF(ISNUMBER(F224),IF(ABS(F224-E224)&lt;=H224,"PASS","FAIL"),"FAIL"),"FAIL")</f>
        <v>PASS</v>
      </c>
    </row>
    <row r="225" customFormat="false" ht="15" hidden="false" customHeight="false" outlineLevel="0" collapsed="false">
      <c r="B225" s="53" t="n">
        <v>216</v>
      </c>
      <c r="C225" s="9" t="s">
        <v>590</v>
      </c>
      <c r="D225" s="9" t="s">
        <v>800</v>
      </c>
      <c r="E225" s="21" t="n">
        <v>0.04</v>
      </c>
      <c r="F225" s="59" t="n">
        <f aca="false">Assumptions!$E$60</f>
        <v>0.04</v>
      </c>
      <c r="G225" s="34" t="n">
        <f aca="false">IFERROR(IF(ISNUMBER(F225),F225-E225,"n/a"),"n/a")</f>
        <v>0</v>
      </c>
      <c r="H225" s="55" t="n">
        <v>0.000500001</v>
      </c>
      <c r="I225" s="52" t="str">
        <f aca="false">IFERROR(IF(ISNUMBER(F225),IF(ABS(F225-E225)&lt;=H225,"PASS","FAIL"),"FAIL"),"FAIL")</f>
        <v>PASS</v>
      </c>
    </row>
    <row r="226" customFormat="false" ht="15" hidden="false" customHeight="false" outlineLevel="0" collapsed="false">
      <c r="B226" s="53" t="n">
        <v>217</v>
      </c>
      <c r="C226" s="9" t="s">
        <v>590</v>
      </c>
      <c r="D226" s="9" t="s">
        <v>801</v>
      </c>
      <c r="E226" s="21" t="n">
        <v>0.07</v>
      </c>
      <c r="F226" s="59" t="n">
        <f aca="false">Assumptions!$E$61</f>
        <v>0.07</v>
      </c>
      <c r="G226" s="34" t="n">
        <f aca="false">IFERROR(IF(ISNUMBER(F226),F226-E226,"n/a"),"n/a")</f>
        <v>0</v>
      </c>
      <c r="H226" s="55" t="n">
        <v>0.000500001</v>
      </c>
      <c r="I226" s="52" t="str">
        <f aca="false">IFERROR(IF(ISNUMBER(F226),IF(ABS(F226-E226)&lt;=H226,"PASS","FAIL"),"FAIL"),"FAIL")</f>
        <v>PASS</v>
      </c>
    </row>
    <row r="227" customFormat="false" ht="15" hidden="false" customHeight="false" outlineLevel="0" collapsed="false">
      <c r="B227" s="53" t="n">
        <v>218</v>
      </c>
      <c r="C227" s="9" t="s">
        <v>590</v>
      </c>
      <c r="D227" s="9" t="s">
        <v>802</v>
      </c>
      <c r="E227" s="21" t="n">
        <v>0.09</v>
      </c>
      <c r="F227" s="59" t="n">
        <f aca="false">Assumptions!$E$62</f>
        <v>0.09</v>
      </c>
      <c r="G227" s="34" t="n">
        <f aca="false">IFERROR(IF(ISNUMBER(F227),F227-E227,"n/a"),"n/a")</f>
        <v>0</v>
      </c>
      <c r="H227" s="55" t="n">
        <v>0.000500001</v>
      </c>
      <c r="I227" s="52" t="str">
        <f aca="false">IFERROR(IF(ISNUMBER(F227),IF(ABS(F227-E227)&lt;=H227,"PASS","FAIL"),"FAIL"),"FAIL")</f>
        <v>PASS</v>
      </c>
    </row>
    <row r="228" customFormat="false" ht="15" hidden="false" customHeight="false" outlineLevel="0" collapsed="false">
      <c r="B228" s="53" t="n">
        <v>219</v>
      </c>
      <c r="C228" s="9" t="s">
        <v>590</v>
      </c>
      <c r="D228" s="9" t="s">
        <v>803</v>
      </c>
      <c r="E228" s="18" t="n">
        <v>0.33</v>
      </c>
      <c r="F228" s="47" t="n">
        <f aca="false">Assumptions!$E$52</f>
        <v>0.33</v>
      </c>
      <c r="G228" s="34" t="n">
        <f aca="false">IFERROR(IF(ISNUMBER(F228),F228-E228,"n/a"),"n/a")</f>
        <v>0</v>
      </c>
      <c r="H228" s="55" t="n">
        <v>0.005000001</v>
      </c>
      <c r="I228" s="52" t="str">
        <f aca="false">IFERROR(IF(ISNUMBER(F228),IF(ABS(F228-E228)&lt;=H228,"PASS","FAIL"),"FAIL"),"FAIL")</f>
        <v>PASS</v>
      </c>
    </row>
    <row r="229" customFormat="false" ht="15" hidden="false" customHeight="false" outlineLevel="0" collapsed="false">
      <c r="B229" s="53" t="n">
        <v>220</v>
      </c>
      <c r="C229" s="9" t="s">
        <v>590</v>
      </c>
      <c r="D229" s="9" t="s">
        <v>804</v>
      </c>
      <c r="E229" s="18" t="n">
        <v>0.25</v>
      </c>
      <c r="F229" s="47" t="n">
        <f aca="false">Assumptions!$E$64</f>
        <v>0.25</v>
      </c>
      <c r="G229" s="34" t="n">
        <f aca="false">IFERROR(IF(ISNUMBER(F229),F229-E229,"n/a"),"n/a")</f>
        <v>0</v>
      </c>
      <c r="H229" s="55" t="n">
        <v>0.005000001</v>
      </c>
      <c r="I229" s="52" t="str">
        <f aca="false">IFERROR(IF(ISNUMBER(F229),IF(ABS(F229-E229)&lt;=H229,"PASS","FAIL"),"FAIL"),"FAIL")</f>
        <v>PASS</v>
      </c>
    </row>
    <row r="230" customFormat="false" ht="15" hidden="false" customHeight="false" outlineLevel="0" collapsed="false">
      <c r="B230" s="53" t="n">
        <v>221</v>
      </c>
      <c r="C230" s="9" t="s">
        <v>590</v>
      </c>
      <c r="D230" s="9" t="s">
        <v>805</v>
      </c>
      <c r="E230" s="56" t="n">
        <v>6</v>
      </c>
      <c r="F230" s="31" t="n">
        <f aca="false">Assumptions!$E$63</f>
        <v>6</v>
      </c>
      <c r="G230" s="34" t="n">
        <f aca="false">IFERROR(IF(ISNUMBER(F230),F230-E230,"n/a"),"n/a")</f>
        <v>0</v>
      </c>
      <c r="H230" s="55" t="n">
        <v>0.500000001</v>
      </c>
      <c r="I230" s="52" t="str">
        <f aca="false">IFERROR(IF(ISNUMBER(F230),IF(ABS(F230-E230)&lt;=H230,"PASS","FAIL"),"FAIL"),"FAIL")</f>
        <v>PASS</v>
      </c>
    </row>
    <row r="231" customFormat="false" ht="15" hidden="false" customHeight="false" outlineLevel="0" collapsed="false">
      <c r="B231" s="53" t="n">
        <v>222</v>
      </c>
      <c r="C231" s="9" t="s">
        <v>590</v>
      </c>
      <c r="D231" s="9" t="s">
        <v>806</v>
      </c>
      <c r="E231" s="10" t="n">
        <v>0.02</v>
      </c>
      <c r="F231" s="54" t="n">
        <f aca="false">Assumptions!$D$57</f>
        <v>0.02</v>
      </c>
      <c r="G231" s="34" t="n">
        <f aca="false">IFERROR(IF(ISNUMBER(F231),F231-E231,"n/a"),"n/a")</f>
        <v>0</v>
      </c>
      <c r="H231" s="55" t="n">
        <v>5.0001E-005</v>
      </c>
      <c r="I231" s="52" t="str">
        <f aca="false">IFERROR(IF(ISNUMBER(F231),IF(ABS(F231-E231)&lt;=H231,"PASS","FAIL"),"FAIL"),"FAIL")</f>
        <v>PASS</v>
      </c>
    </row>
    <row r="232" customFormat="false" ht="15" hidden="false" customHeight="false" outlineLevel="0" collapsed="false">
      <c r="B232" s="53" t="n">
        <v>223</v>
      </c>
      <c r="C232" s="9" t="s">
        <v>705</v>
      </c>
      <c r="D232" s="9" t="s">
        <v>807</v>
      </c>
      <c r="E232" s="44" t="n">
        <v>2</v>
      </c>
      <c r="F232" s="49" t="n">
        <f aca="false">BDCs!$C$54</f>
        <v>2</v>
      </c>
      <c r="G232" s="34" t="n">
        <f aca="false">IFERROR(IF(ISNUMBER(F232),F232-E232,"n/a"),"n/a")</f>
        <v>0</v>
      </c>
      <c r="H232" s="55" t="n">
        <v>0.050000001</v>
      </c>
      <c r="I232" s="52" t="str">
        <f aca="false">IFERROR(IF(ISNUMBER(F232),IF(ABS(F232-E232)&lt;=H232,"PASS","FAIL"),"FAIL"),"FAIL")</f>
        <v>PASS</v>
      </c>
    </row>
    <row r="233" customFormat="false" ht="15" hidden="false" customHeight="false" outlineLevel="0" collapsed="false">
      <c r="B233" s="53" t="n">
        <v>224</v>
      </c>
      <c r="C233" s="9" t="s">
        <v>705</v>
      </c>
      <c r="D233" s="9" t="s">
        <v>808</v>
      </c>
      <c r="E233" s="44" t="n">
        <v>1</v>
      </c>
      <c r="F233" s="49" t="n">
        <f aca="false">BDCs!$C$56</f>
        <v>1</v>
      </c>
      <c r="G233" s="34" t="n">
        <f aca="false">IFERROR(IF(ISNUMBER(F233),F233-E233,"n/a"),"n/a")</f>
        <v>0</v>
      </c>
      <c r="H233" s="55" t="n">
        <v>0.050000001</v>
      </c>
      <c r="I233" s="52" t="str">
        <f aca="false">IFERROR(IF(ISNUMBER(F233),IF(ABS(F233-E233)&lt;=H233,"PASS","FAIL"),"FAIL"),"FAIL")</f>
        <v>PASS</v>
      </c>
    </row>
    <row r="234" customFormat="false" ht="15" hidden="false" customHeight="false" outlineLevel="0" collapsed="false">
      <c r="B234" s="53" t="n">
        <v>225</v>
      </c>
      <c r="C234" s="9" t="s">
        <v>705</v>
      </c>
      <c r="D234" s="9" t="s">
        <v>809</v>
      </c>
      <c r="E234" s="10" t="n">
        <v>0.0315</v>
      </c>
      <c r="F234" s="54" t="n">
        <f aca="false">BDCs!$C$59</f>
        <v>0.0315</v>
      </c>
      <c r="G234" s="34" t="n">
        <f aca="false">IFERROR(IF(ISNUMBER(F234),F234-E234,"n/a"),"n/a")</f>
        <v>0</v>
      </c>
      <c r="H234" s="55" t="n">
        <v>5.0001E-005</v>
      </c>
      <c r="I234" s="52" t="str">
        <f aca="false">IFERROR(IF(ISNUMBER(F234),IF(ABS(F234-E234)&lt;=H234,"PASS","FAIL"),"FAIL"),"FAIL")</f>
        <v>PASS</v>
      </c>
    </row>
    <row r="235" customFormat="false" ht="15" hidden="false" customHeight="false" outlineLevel="0" collapsed="false">
      <c r="B235" s="53" t="n">
        <v>226</v>
      </c>
      <c r="C235" s="9" t="s">
        <v>705</v>
      </c>
      <c r="D235" s="9" t="s">
        <v>810</v>
      </c>
      <c r="E235" s="10" t="n">
        <v>0.009</v>
      </c>
      <c r="F235" s="54" t="n">
        <f aca="false">BDCs!$C$60</f>
        <v>0.009</v>
      </c>
      <c r="G235" s="34" t="n">
        <f aca="false">IFERROR(IF(ISNUMBER(F235),F235-E235,"n/a"),"n/a")</f>
        <v>0</v>
      </c>
      <c r="H235" s="55" t="n">
        <v>5.0001E-005</v>
      </c>
      <c r="I235" s="52" t="str">
        <f aca="false">IFERROR(IF(ISNUMBER(F235),IF(ABS(F235-E235)&lt;=H235,"PASS","FAIL"),"FAIL"),"FAIL")</f>
        <v>PASS</v>
      </c>
    </row>
    <row r="236" customFormat="false" ht="15" hidden="false" customHeight="false" outlineLevel="0" collapsed="false">
      <c r="B236" s="53" t="n">
        <v>227</v>
      </c>
      <c r="C236" s="9" t="s">
        <v>705</v>
      </c>
      <c r="D236" s="9" t="s">
        <v>811</v>
      </c>
      <c r="E236" s="10" t="n">
        <v>0.021</v>
      </c>
      <c r="F236" s="54" t="n">
        <f aca="false">BDCs!$C$61</f>
        <v>0.021019425</v>
      </c>
      <c r="G236" s="34" t="n">
        <f aca="false">IFERROR(IF(ISNUMBER(F236),F236-E236,"n/a"),"n/a")</f>
        <v>1.94250000000035E-005</v>
      </c>
      <c r="H236" s="55" t="n">
        <v>5.0001E-005</v>
      </c>
      <c r="I236" s="52" t="str">
        <f aca="false">IFERROR(IF(ISNUMBER(F236),IF(ABS(F236-E236)&lt;=H236,"PASS","FAIL"),"FAIL"),"FAIL")</f>
        <v>PASS</v>
      </c>
    </row>
    <row r="237" customFormat="false" ht="15" hidden="false" customHeight="false" outlineLevel="0" collapsed="false">
      <c r="B237" s="53" t="n">
        <v>228</v>
      </c>
      <c r="C237" s="9" t="s">
        <v>705</v>
      </c>
      <c r="D237" s="9" t="s">
        <v>812</v>
      </c>
      <c r="E237" s="10" t="n">
        <v>0.0615</v>
      </c>
      <c r="F237" s="54" t="n">
        <f aca="false">BDCs!$C$62</f>
        <v>0.061519425</v>
      </c>
      <c r="G237" s="34" t="n">
        <f aca="false">IFERROR(IF(ISNUMBER(F237),F237-E237,"n/a"),"n/a")</f>
        <v>1.94249999999896E-005</v>
      </c>
      <c r="H237" s="55" t="n">
        <v>5.0001E-005</v>
      </c>
      <c r="I237" s="52" t="str">
        <f aca="false">IFERROR(IF(ISNUMBER(F237),IF(ABS(F237-E237)&lt;=H237,"PASS","FAIL"),"FAIL"),"FAIL")</f>
        <v>PASS</v>
      </c>
    </row>
    <row r="238" customFormat="false" ht="15" hidden="false" customHeight="false" outlineLevel="0" collapsed="false">
      <c r="B238" s="53" t="n">
        <v>229</v>
      </c>
      <c r="C238" s="9" t="s">
        <v>705</v>
      </c>
      <c r="D238" s="9" t="s">
        <v>813</v>
      </c>
      <c r="E238" s="10" t="n">
        <v>0.0315</v>
      </c>
      <c r="F238" s="54" t="n">
        <f aca="false">BDCs!$C$65</f>
        <v>0.0315</v>
      </c>
      <c r="G238" s="34" t="n">
        <f aca="false">IFERROR(IF(ISNUMBER(F238),F238-E238,"n/a"),"n/a")</f>
        <v>0</v>
      </c>
      <c r="H238" s="55" t="n">
        <v>5.0001E-005</v>
      </c>
      <c r="I238" s="52" t="str">
        <f aca="false">IFERROR(IF(ISNUMBER(F238),IF(ABS(F238-E238)&lt;=H238,"PASS","FAIL"),"FAIL"),"FAIL")</f>
        <v>PASS</v>
      </c>
    </row>
    <row r="239" customFormat="false" ht="15" hidden="false" customHeight="false" outlineLevel="0" collapsed="false">
      <c r="B239" s="53" t="n">
        <v>230</v>
      </c>
      <c r="C239" s="9" t="s">
        <v>705</v>
      </c>
      <c r="D239" s="9" t="s">
        <v>814</v>
      </c>
      <c r="E239" s="10" t="n">
        <v>0.009</v>
      </c>
      <c r="F239" s="54" t="n">
        <f aca="false">BDCs!$C$66</f>
        <v>0.009</v>
      </c>
      <c r="G239" s="34" t="n">
        <f aca="false">IFERROR(IF(ISNUMBER(F239),F239-E239,"n/a"),"n/a")</f>
        <v>0</v>
      </c>
      <c r="H239" s="55" t="n">
        <v>5.0001E-005</v>
      </c>
      <c r="I239" s="52" t="str">
        <f aca="false">IFERROR(IF(ISNUMBER(F239),IF(ABS(F239-E239)&lt;=H239,"PASS","FAIL"),"FAIL"),"FAIL")</f>
        <v>PASS</v>
      </c>
    </row>
    <row r="240" customFormat="false" ht="15" hidden="false" customHeight="false" outlineLevel="0" collapsed="false">
      <c r="B240" s="53" t="n">
        <v>231</v>
      </c>
      <c r="C240" s="9" t="s">
        <v>705</v>
      </c>
      <c r="D240" s="9" t="s">
        <v>815</v>
      </c>
      <c r="E240" s="10" t="n">
        <v>0.021</v>
      </c>
      <c r="F240" s="54" t="n">
        <f aca="false">BDCs!$C$67</f>
        <v>0.021019425</v>
      </c>
      <c r="G240" s="34" t="n">
        <f aca="false">IFERROR(IF(ISNUMBER(F240),F240-E240,"n/a"),"n/a")</f>
        <v>1.94250000000035E-005</v>
      </c>
      <c r="H240" s="55" t="n">
        <v>5.0001E-005</v>
      </c>
      <c r="I240" s="52" t="str">
        <f aca="false">IFERROR(IF(ISNUMBER(F240),IF(ABS(F240-E240)&lt;=H240,"PASS","FAIL"),"FAIL"),"FAIL")</f>
        <v>PASS</v>
      </c>
    </row>
    <row r="241" customFormat="false" ht="15" hidden="false" customHeight="false" outlineLevel="0" collapsed="false">
      <c r="B241" s="53" t="n">
        <v>232</v>
      </c>
      <c r="C241" s="9" t="s">
        <v>705</v>
      </c>
      <c r="D241" s="9" t="s">
        <v>816</v>
      </c>
      <c r="E241" s="10" t="n">
        <v>0.0615</v>
      </c>
      <c r="F241" s="54" t="n">
        <f aca="false">BDCs!$C$68</f>
        <v>0.061519425</v>
      </c>
      <c r="G241" s="34" t="n">
        <f aca="false">IFERROR(IF(ISNUMBER(F241),F241-E241,"n/a"),"n/a")</f>
        <v>1.94249999999896E-005</v>
      </c>
      <c r="H241" s="55" t="n">
        <v>5.0001E-005</v>
      </c>
      <c r="I241" s="52" t="str">
        <f aca="false">IFERROR(IF(ISNUMBER(F241),IF(ABS(F241-E241)&lt;=H241,"PASS","FAIL"),"FAIL"),"FAIL")</f>
        <v>PASS</v>
      </c>
    </row>
    <row r="242" customFormat="false" ht="15" hidden="false" customHeight="false" outlineLevel="0" collapsed="false">
      <c r="B242" s="53" t="n">
        <v>233</v>
      </c>
      <c r="C242" s="9" t="s">
        <v>705</v>
      </c>
      <c r="D242" s="9" t="s">
        <v>817</v>
      </c>
      <c r="E242" s="10" t="n">
        <v>0.066</v>
      </c>
      <c r="F242" s="54" t="n">
        <f aca="false">BDCs!$C$69</f>
        <v>0.066</v>
      </c>
      <c r="G242" s="34" t="n">
        <f aca="false">IFERROR(IF(ISNUMBER(F242),F242-E242,"n/a"),"n/a")</f>
        <v>0</v>
      </c>
      <c r="H242" s="55" t="n">
        <v>5.0001E-005</v>
      </c>
      <c r="I242" s="52" t="str">
        <f aca="false">IFERROR(IF(ISNUMBER(F242),IF(ABS(F242-E242)&lt;=H242,"PASS","FAIL"),"FAIL"),"FAIL")</f>
        <v>PASS</v>
      </c>
    </row>
    <row r="243" customFormat="false" ht="15" hidden="false" customHeight="false" outlineLevel="0" collapsed="false">
      <c r="B243" s="53" t="n">
        <v>234</v>
      </c>
      <c r="C243" s="9" t="s">
        <v>705</v>
      </c>
      <c r="D243" s="9" t="s">
        <v>818</v>
      </c>
      <c r="E243" s="10" t="n">
        <v>0.1275</v>
      </c>
      <c r="F243" s="54" t="n">
        <f aca="false">BDCs!$C$70</f>
        <v>0.127519425</v>
      </c>
      <c r="G243" s="34" t="n">
        <f aca="false">IFERROR(IF(ISNUMBER(F243),F243-E243,"n/a"),"n/a")</f>
        <v>1.94250000000173E-005</v>
      </c>
      <c r="H243" s="55" t="n">
        <v>5.0001E-005</v>
      </c>
      <c r="I243" s="52" t="str">
        <f aca="false">IFERROR(IF(ISNUMBER(F243),IF(ABS(F243-E243)&lt;=H243,"PASS","FAIL"),"FAIL"),"FAIL")</f>
        <v>PASS</v>
      </c>
    </row>
    <row r="244" customFormat="false" ht="15" hidden="false" customHeight="false" outlineLevel="0" collapsed="false">
      <c r="B244" s="53" t="n">
        <v>235</v>
      </c>
      <c r="C244" s="9" t="s">
        <v>705</v>
      </c>
      <c r="D244" s="9" t="s">
        <v>819</v>
      </c>
      <c r="E244" s="10" t="n">
        <v>0</v>
      </c>
      <c r="F244" s="54" t="n">
        <f aca="false">BDCs!$C$73</f>
        <v>0</v>
      </c>
      <c r="G244" s="34" t="n">
        <f aca="false">IFERROR(IF(ISNUMBER(F244),F244-E244,"n/a"),"n/a")</f>
        <v>0</v>
      </c>
      <c r="H244" s="55" t="n">
        <v>5.0001E-005</v>
      </c>
      <c r="I244" s="52" t="str">
        <f aca="false">IFERROR(IF(ISNUMBER(F244),IF(ABS(F244-E244)&lt;=H244,"PASS","FAIL"),"FAIL"),"FAIL")</f>
        <v>PASS</v>
      </c>
    </row>
    <row r="245" customFormat="false" ht="15" hidden="false" customHeight="false" outlineLevel="0" collapsed="false">
      <c r="B245" s="53" t="n">
        <v>236</v>
      </c>
      <c r="C245" s="9" t="s">
        <v>705</v>
      </c>
      <c r="D245" s="9" t="s">
        <v>820</v>
      </c>
      <c r="E245" s="10" t="n">
        <v>0.02</v>
      </c>
      <c r="F245" s="54" t="n">
        <f aca="false">BDCs!$C$74</f>
        <v>0.02</v>
      </c>
      <c r="G245" s="34" t="n">
        <f aca="false">IFERROR(IF(ISNUMBER(F245),F245-E245,"n/a"),"n/a")</f>
        <v>0</v>
      </c>
      <c r="H245" s="55" t="n">
        <v>5.0001E-005</v>
      </c>
      <c r="I245" s="52" t="str">
        <f aca="false">IFERROR(IF(ISNUMBER(F245),IF(ABS(F245-E245)&lt;=H245,"PASS","FAIL"),"FAIL"),"FAIL")</f>
        <v>PASS</v>
      </c>
    </row>
    <row r="246" customFormat="false" ht="15" hidden="false" customHeight="false" outlineLevel="0" collapsed="false">
      <c r="B246" s="53" t="n">
        <v>237</v>
      </c>
      <c r="C246" s="9" t="s">
        <v>705</v>
      </c>
      <c r="D246" s="9" t="s">
        <v>821</v>
      </c>
      <c r="E246" s="10" t="n">
        <v>0</v>
      </c>
      <c r="F246" s="54" t="n">
        <f aca="false">BDCs!$C$75</f>
        <v>0</v>
      </c>
      <c r="G246" s="34" t="n">
        <f aca="false">IFERROR(IF(ISNUMBER(F246),F246-E246,"n/a"),"n/a")</f>
        <v>0</v>
      </c>
      <c r="H246" s="55" t="n">
        <v>5.0001E-005</v>
      </c>
      <c r="I246" s="52" t="str">
        <f aca="false">IFERROR(IF(ISNUMBER(F246),IF(ABS(F246-E246)&lt;=H246,"PASS","FAIL"),"FAIL"),"FAIL")</f>
        <v>PASS</v>
      </c>
    </row>
    <row r="247" customFormat="false" ht="15" hidden="false" customHeight="false" outlineLevel="0" collapsed="false">
      <c r="B247" s="53" t="n">
        <v>238</v>
      </c>
      <c r="C247" s="9" t="s">
        <v>705</v>
      </c>
      <c r="D247" s="9" t="s">
        <v>822</v>
      </c>
      <c r="E247" s="10" t="n">
        <v>0.02</v>
      </c>
      <c r="F247" s="54" t="n">
        <f aca="false">BDCs!$C$76</f>
        <v>0.02</v>
      </c>
      <c r="G247" s="34" t="n">
        <f aca="false">IFERROR(IF(ISNUMBER(F247),F247-E247,"n/a"),"n/a")</f>
        <v>0</v>
      </c>
      <c r="H247" s="55" t="n">
        <v>5.0001E-005</v>
      </c>
      <c r="I247" s="52" t="str">
        <f aca="false">IFERROR(IF(ISNUMBER(F247),IF(ABS(F247-E247)&lt;=H247,"PASS","FAIL"),"FAIL"),"FAIL")</f>
        <v>PASS</v>
      </c>
    </row>
    <row r="248" customFormat="false" ht="15" hidden="false" customHeight="false" outlineLevel="0" collapsed="false">
      <c r="B248" s="53" t="n">
        <v>239</v>
      </c>
      <c r="C248" s="9" t="s">
        <v>705</v>
      </c>
      <c r="D248" s="9" t="s">
        <v>823</v>
      </c>
      <c r="E248" s="10" t="n">
        <v>0.058</v>
      </c>
      <c r="F248" s="54" t="n">
        <f aca="false">BDCs!$C$77</f>
        <v>0.058</v>
      </c>
      <c r="G248" s="34" t="n">
        <f aca="false">IFERROR(IF(ISNUMBER(F248),F248-E248,"n/a"),"n/a")</f>
        <v>0</v>
      </c>
      <c r="H248" s="55" t="n">
        <v>5.0001E-005</v>
      </c>
      <c r="I248" s="52" t="str">
        <f aca="false">IFERROR(IF(ISNUMBER(F248),IF(ABS(F248-E248)&lt;=H248,"PASS","FAIL"),"FAIL"),"FAIL")</f>
        <v>PASS</v>
      </c>
    </row>
    <row r="249" customFormat="false" ht="15" hidden="false" customHeight="false" outlineLevel="0" collapsed="false">
      <c r="B249" s="53" t="n">
        <v>240</v>
      </c>
      <c r="C249" s="9" t="s">
        <v>705</v>
      </c>
      <c r="D249" s="9" t="s">
        <v>824</v>
      </c>
      <c r="E249" s="10" t="n">
        <v>0.078</v>
      </c>
      <c r="F249" s="54" t="n">
        <f aca="false">BDCs!$C$78</f>
        <v>0.078</v>
      </c>
      <c r="G249" s="34" t="n">
        <f aca="false">IFERROR(IF(ISNUMBER(F249),F249-E249,"n/a"),"n/a")</f>
        <v>0</v>
      </c>
      <c r="H249" s="55" t="n">
        <v>5.0001E-005</v>
      </c>
      <c r="I249" s="52" t="str">
        <f aca="false">IFERROR(IF(ISNUMBER(F249),IF(ABS(F249-E249)&lt;=H249,"PASS","FAIL"),"FAIL"),"FAIL")</f>
        <v>PASS</v>
      </c>
    </row>
    <row r="250" customFormat="false" ht="15" hidden="false" customHeight="false" outlineLevel="0" collapsed="false">
      <c r="B250" s="53" t="n">
        <v>241</v>
      </c>
      <c r="C250" s="9" t="s">
        <v>705</v>
      </c>
      <c r="D250" s="9" t="s">
        <v>825</v>
      </c>
      <c r="E250" s="10" t="n">
        <v>0.0411</v>
      </c>
      <c r="F250" s="54" t="n">
        <f aca="false">BDCs!$C$81</f>
        <v>0.041125</v>
      </c>
      <c r="G250" s="34" t="n">
        <f aca="false">IFERROR(IF(ISNUMBER(F250),F250-E250,"n/a"),"n/a")</f>
        <v>2.50000000000111E-005</v>
      </c>
      <c r="H250" s="55" t="n">
        <v>5.0001E-005</v>
      </c>
      <c r="I250" s="52" t="str">
        <f aca="false">IFERROR(IF(ISNUMBER(F250),IF(ABS(F250-E250)&lt;=H250,"PASS","FAIL"),"FAIL"),"FAIL")</f>
        <v>PASS</v>
      </c>
    </row>
    <row r="251" customFormat="false" ht="15" hidden="false" customHeight="false" outlineLevel="0" collapsed="false">
      <c r="B251" s="53" t="n">
        <v>242</v>
      </c>
      <c r="C251" s="9" t="s">
        <v>705</v>
      </c>
      <c r="D251" s="9" t="s">
        <v>826</v>
      </c>
      <c r="E251" s="10" t="n">
        <v>0.011</v>
      </c>
      <c r="F251" s="54" t="n">
        <f aca="false">BDCs!$C$82</f>
        <v>0.011</v>
      </c>
      <c r="G251" s="34" t="n">
        <f aca="false">IFERROR(IF(ISNUMBER(F251),F251-E251,"n/a"),"n/a")</f>
        <v>0</v>
      </c>
      <c r="H251" s="55" t="n">
        <v>5.0001E-005</v>
      </c>
      <c r="I251" s="52" t="str">
        <f aca="false">IFERROR(IF(ISNUMBER(F251),IF(ABS(F251-E251)&lt;=H251,"PASS","FAIL"),"FAIL"),"FAIL")</f>
        <v>PASS</v>
      </c>
    </row>
    <row r="252" customFormat="false" ht="15" hidden="false" customHeight="false" outlineLevel="0" collapsed="false">
      <c r="B252" s="53" t="n">
        <v>243</v>
      </c>
      <c r="C252" s="9" t="s">
        <v>705</v>
      </c>
      <c r="D252" s="9" t="s">
        <v>827</v>
      </c>
      <c r="E252" s="10" t="n">
        <v>0.0267</v>
      </c>
      <c r="F252" s="54" t="n">
        <f aca="false">BDCs!$C$83</f>
        <v>0.0267126</v>
      </c>
      <c r="G252" s="34" t="n">
        <f aca="false">IFERROR(IF(ISNUMBER(F252),F252-E252,"n/a"),"n/a")</f>
        <v>1.2599999999998E-005</v>
      </c>
      <c r="H252" s="55" t="n">
        <v>5.0001E-005</v>
      </c>
      <c r="I252" s="52" t="str">
        <f aca="false">IFERROR(IF(ISNUMBER(F252),IF(ABS(F252-E252)&lt;=H252,"PASS","FAIL"),"FAIL"),"FAIL")</f>
        <v>PASS</v>
      </c>
    </row>
    <row r="253" customFormat="false" ht="15" hidden="false" customHeight="false" outlineLevel="0" collapsed="false">
      <c r="B253" s="53" t="n">
        <v>244</v>
      </c>
      <c r="C253" s="9" t="s">
        <v>705</v>
      </c>
      <c r="D253" s="9" t="s">
        <v>828</v>
      </c>
      <c r="E253" s="10" t="n">
        <v>0.0788</v>
      </c>
      <c r="F253" s="54" t="n">
        <f aca="false">BDCs!$C$84</f>
        <v>0.0788376</v>
      </c>
      <c r="G253" s="34" t="n">
        <f aca="false">IFERROR(IF(ISNUMBER(F253),F253-E253,"n/a"),"n/a")</f>
        <v>3.76000000000126E-005</v>
      </c>
      <c r="H253" s="55" t="n">
        <v>5.0001E-005</v>
      </c>
      <c r="I253" s="52" t="str">
        <f aca="false">IFERROR(IF(ISNUMBER(F253),IF(ABS(F253-E253)&lt;=H253,"PASS","FAIL"),"FAIL"),"FAIL")</f>
        <v>PASS</v>
      </c>
    </row>
    <row r="254" customFormat="false" ht="15" hidden="false" customHeight="false" outlineLevel="0" collapsed="false">
      <c r="B254" s="53" t="n">
        <v>245</v>
      </c>
      <c r="C254" s="9" t="s">
        <v>705</v>
      </c>
      <c r="D254" s="9" t="s">
        <v>829</v>
      </c>
      <c r="E254" s="10" t="n">
        <v>0.0918</v>
      </c>
      <c r="F254" s="54" t="n">
        <f aca="false">BDCs!$C$85</f>
        <v>0.0918</v>
      </c>
      <c r="G254" s="34" t="n">
        <f aca="false">IFERROR(IF(ISNUMBER(F254),F254-E254,"n/a"),"n/a")</f>
        <v>0</v>
      </c>
      <c r="H254" s="55" t="n">
        <v>5.0001E-005</v>
      </c>
      <c r="I254" s="52" t="str">
        <f aca="false">IFERROR(IF(ISNUMBER(F254),IF(ABS(F254-E254)&lt;=H254,"PASS","FAIL"),"FAIL"),"FAIL")</f>
        <v>PASS</v>
      </c>
    </row>
    <row r="255" customFormat="false" ht="15" hidden="false" customHeight="false" outlineLevel="0" collapsed="false">
      <c r="B255" s="53" t="n">
        <v>246</v>
      </c>
      <c r="C255" s="9" t="s">
        <v>705</v>
      </c>
      <c r="D255" s="9" t="s">
        <v>830</v>
      </c>
      <c r="E255" s="10" t="n">
        <v>0.1706</v>
      </c>
      <c r="F255" s="54" t="n">
        <f aca="false">BDCs!$C$86</f>
        <v>0.1706376</v>
      </c>
      <c r="G255" s="34" t="n">
        <f aca="false">IFERROR(IF(ISNUMBER(F255),F255-E255,"n/a"),"n/a")</f>
        <v>3.75999999999987E-005</v>
      </c>
      <c r="H255" s="55" t="n">
        <v>5.0001E-005</v>
      </c>
      <c r="I255" s="52" t="str">
        <f aca="false">IFERROR(IF(ISNUMBER(F255),IF(ABS(F255-E255)&lt;=H255,"PASS","FAIL"),"FAIL"),"FAIL")</f>
        <v>PASS</v>
      </c>
    </row>
    <row r="256" customFormat="false" ht="15" hidden="false" customHeight="false" outlineLevel="0" collapsed="false">
      <c r="B256" s="53" t="n">
        <v>247</v>
      </c>
      <c r="C256" s="9" t="s">
        <v>831</v>
      </c>
      <c r="D256" s="9" t="s">
        <v>832</v>
      </c>
      <c r="E256" s="18" t="n">
        <v>25</v>
      </c>
      <c r="F256" s="47" t="n">
        <f aca="false">Interval_Fund!$C$5</f>
        <v>25</v>
      </c>
      <c r="G256" s="34" t="n">
        <f aca="false">IFERROR(IF(ISNUMBER(F256),F256-E256,"n/a"),"n/a")</f>
        <v>0</v>
      </c>
      <c r="H256" s="55" t="n">
        <v>0.005000001</v>
      </c>
      <c r="I256" s="52" t="str">
        <f aca="false">IFERROR(IF(ISNUMBER(F256),IF(ABS(F256-E256)&lt;=H256,"PASS","FAIL"),"FAIL"),"FAIL")</f>
        <v>PASS</v>
      </c>
    </row>
    <row r="257" customFormat="false" ht="15" hidden="false" customHeight="false" outlineLevel="0" collapsed="false">
      <c r="B257" s="53" t="n">
        <v>248</v>
      </c>
      <c r="C257" s="9" t="s">
        <v>831</v>
      </c>
      <c r="D257" s="9" t="s">
        <v>833</v>
      </c>
      <c r="E257" s="56" t="n">
        <v>4000</v>
      </c>
      <c r="F257" s="31" t="n">
        <f aca="false">Interval_Fund!$C$6</f>
        <v>4000</v>
      </c>
      <c r="G257" s="34" t="n">
        <f aca="false">IFERROR(IF(ISNUMBER(F257),F257-E257,"n/a"),"n/a")</f>
        <v>0</v>
      </c>
      <c r="H257" s="55" t="n">
        <v>0.500000001</v>
      </c>
      <c r="I257" s="52" t="str">
        <f aca="false">IFERROR(IF(ISNUMBER(F257),IF(ABS(F257-E257)&lt;=H257,"PASS","FAIL"),"FAIL"),"FAIL")</f>
        <v>PASS</v>
      </c>
    </row>
    <row r="258" customFormat="false" ht="15" hidden="false" customHeight="false" outlineLevel="0" collapsed="false">
      <c r="B258" s="53" t="n">
        <v>249</v>
      </c>
      <c r="C258" s="9" t="s">
        <v>831</v>
      </c>
      <c r="D258" s="9" t="s">
        <v>600</v>
      </c>
      <c r="E258" s="57" t="n">
        <v>0.5625</v>
      </c>
      <c r="F258" s="58" t="n">
        <f aca="false">Interval_Fund!$C$7</f>
        <v>0.5625</v>
      </c>
      <c r="G258" s="34" t="n">
        <f aca="false">IFERROR(IF(ISNUMBER(F258),F258-E258,"n/a"),"n/a")</f>
        <v>0</v>
      </c>
      <c r="H258" s="55" t="n">
        <v>5.0001E-005</v>
      </c>
      <c r="I258" s="52" t="str">
        <f aca="false">IFERROR(IF(ISNUMBER(F258),IF(ABS(F258-E258)&lt;=H258,"PASS","FAIL"),"FAIL"),"FAIL")</f>
        <v>PASS</v>
      </c>
    </row>
    <row r="259" customFormat="false" ht="15" hidden="false" customHeight="false" outlineLevel="0" collapsed="false">
      <c r="B259" s="53" t="n">
        <v>250</v>
      </c>
      <c r="C259" s="9" t="s">
        <v>831</v>
      </c>
      <c r="D259" s="9" t="s">
        <v>834</v>
      </c>
      <c r="E259" s="10" t="n">
        <v>0.09</v>
      </c>
      <c r="F259" s="54" t="n">
        <f aca="false">Interval_Fund!$C$8</f>
        <v>0.09</v>
      </c>
      <c r="G259" s="34" t="n">
        <f aca="false">IFERROR(IF(ISNUMBER(F259),F259-E259,"n/a"),"n/a")</f>
        <v>0</v>
      </c>
      <c r="H259" s="55" t="n">
        <v>5.0001E-005</v>
      </c>
      <c r="I259" s="52" t="str">
        <f aca="false">IFERROR(IF(ISNUMBER(F259),IF(ABS(F259-E259)&lt;=H259,"PASS","FAIL"),"FAIL"),"FAIL")</f>
        <v>PASS</v>
      </c>
    </row>
    <row r="260" customFormat="false" ht="15" hidden="false" customHeight="false" outlineLevel="0" collapsed="false">
      <c r="B260" s="53" t="n">
        <v>251</v>
      </c>
      <c r="C260" s="9" t="s">
        <v>831</v>
      </c>
      <c r="D260" s="9" t="s">
        <v>835</v>
      </c>
      <c r="E260" s="10" t="n">
        <v>0.0575</v>
      </c>
      <c r="F260" s="54" t="n">
        <f aca="false">Interval_Fund!$C$9</f>
        <v>0.0575</v>
      </c>
      <c r="G260" s="34" t="n">
        <f aca="false">IFERROR(IF(ISNUMBER(F260),F260-E260,"n/a"),"n/a")</f>
        <v>0</v>
      </c>
      <c r="H260" s="55" t="n">
        <v>5.0001E-005</v>
      </c>
      <c r="I260" s="52" t="str">
        <f aca="false">IFERROR(IF(ISNUMBER(F260),IF(ABS(F260-E260)&lt;=H260,"PASS","FAIL"),"FAIL"),"FAIL")</f>
        <v>PASS</v>
      </c>
    </row>
    <row r="261" customFormat="false" ht="15" hidden="false" customHeight="false" outlineLevel="0" collapsed="false">
      <c r="B261" s="53" t="n">
        <v>252</v>
      </c>
      <c r="C261" s="9" t="s">
        <v>831</v>
      </c>
      <c r="D261" s="9" t="s">
        <v>836</v>
      </c>
      <c r="E261" s="10" t="n">
        <v>0.005</v>
      </c>
      <c r="F261" s="54" t="n">
        <f aca="false">Interval_Fund!$C$10</f>
        <v>0.005</v>
      </c>
      <c r="G261" s="34" t="n">
        <f aca="false">IFERROR(IF(ISNUMBER(F261),F261-E261,"n/a"),"n/a")</f>
        <v>0</v>
      </c>
      <c r="H261" s="55" t="n">
        <v>5.0001E-005</v>
      </c>
      <c r="I261" s="52" t="str">
        <f aca="false">IFERROR(IF(ISNUMBER(F261),IF(ABS(F261-E261)&lt;=H261,"PASS","FAIL"),"FAIL"),"FAIL")</f>
        <v>PASS</v>
      </c>
    </row>
    <row r="262" customFormat="false" ht="15" hidden="false" customHeight="false" outlineLevel="0" collapsed="false">
      <c r="B262" s="53" t="n">
        <v>253</v>
      </c>
      <c r="C262" s="9" t="s">
        <v>831</v>
      </c>
      <c r="D262" s="9" t="s">
        <v>837</v>
      </c>
      <c r="E262" s="10" t="n">
        <v>0.1025</v>
      </c>
      <c r="F262" s="54" t="n">
        <f aca="false">Interval_Fund!$C$11</f>
        <v>0.1025</v>
      </c>
      <c r="G262" s="34" t="n">
        <f aca="false">IFERROR(IF(ISNUMBER(F262),F262-E262,"n/a"),"n/a")</f>
        <v>0</v>
      </c>
      <c r="H262" s="55" t="n">
        <v>5.0001E-005</v>
      </c>
      <c r="I262" s="52" t="str">
        <f aca="false">IFERROR(IF(ISNUMBER(F262),IF(ABS(F262-E262)&lt;=H262,"PASS","FAIL"),"FAIL"),"FAIL")</f>
        <v>PASS</v>
      </c>
    </row>
    <row r="263" customFormat="false" ht="15" hidden="false" customHeight="false" outlineLevel="0" collapsed="false">
      <c r="B263" s="53" t="n">
        <v>254</v>
      </c>
      <c r="C263" s="9" t="s">
        <v>831</v>
      </c>
      <c r="D263" s="9" t="s">
        <v>838</v>
      </c>
      <c r="E263" s="18" t="n">
        <v>0.75</v>
      </c>
      <c r="F263" s="47" t="n">
        <f aca="false">Interval_Fund!$C$12</f>
        <v>0.75</v>
      </c>
      <c r="G263" s="34" t="n">
        <f aca="false">IFERROR(IF(ISNUMBER(F263),F263-E263,"n/a"),"n/a")</f>
        <v>0</v>
      </c>
      <c r="H263" s="55" t="n">
        <v>0.005000001</v>
      </c>
      <c r="I263" s="52" t="str">
        <f aca="false">IFERROR(IF(ISNUMBER(F263),IF(ABS(F263-E263)&lt;=H263,"PASS","FAIL"),"FAIL"),"FAIL")</f>
        <v>PASS</v>
      </c>
    </row>
    <row r="264" customFormat="false" ht="15" hidden="false" customHeight="false" outlineLevel="0" collapsed="false">
      <c r="B264" s="53" t="n">
        <v>255</v>
      </c>
      <c r="C264" s="9" t="s">
        <v>831</v>
      </c>
      <c r="D264" s="9" t="s">
        <v>839</v>
      </c>
      <c r="E264" s="18" t="n">
        <v>1.75</v>
      </c>
      <c r="F264" s="47" t="n">
        <f aca="false">Interval_Fund!$C$13</f>
        <v>1.75</v>
      </c>
      <c r="G264" s="34" t="n">
        <f aca="false">IFERROR(IF(ISNUMBER(F264),F264-E264,"n/a"),"n/a")</f>
        <v>0</v>
      </c>
      <c r="H264" s="55" t="n">
        <v>0.005000001</v>
      </c>
      <c r="I264" s="52" t="str">
        <f aca="false">IFERROR(IF(ISNUMBER(F264),IF(ABS(F264-E264)&lt;=H264,"PASS","FAIL"),"FAIL"),"FAIL")</f>
        <v>PASS</v>
      </c>
    </row>
    <row r="265" customFormat="false" ht="15" hidden="false" customHeight="false" outlineLevel="0" collapsed="false">
      <c r="B265" s="53" t="n">
        <v>256</v>
      </c>
      <c r="C265" s="9" t="s">
        <v>831</v>
      </c>
      <c r="D265" s="9" t="s">
        <v>840</v>
      </c>
      <c r="E265" s="10" t="n">
        <v>0.1794</v>
      </c>
      <c r="F265" s="54" t="n">
        <f aca="false">Interval_Fund!$C$14</f>
        <v>0.179375</v>
      </c>
      <c r="G265" s="34" t="n">
        <f aca="false">IFERROR(IF(ISNUMBER(F265),F265-E265,"n/a"),"n/a")</f>
        <v>-2.49999999999972E-005</v>
      </c>
      <c r="H265" s="55" t="n">
        <v>5.0001E-005</v>
      </c>
      <c r="I265" s="52" t="str">
        <f aca="false">IFERROR(IF(ISNUMBER(F265),IF(ABS(F265-E265)&lt;=H265,"PASS","FAIL"),"FAIL"),"FAIL")</f>
        <v>PASS</v>
      </c>
    </row>
    <row r="266" customFormat="false" ht="15" hidden="false" customHeight="false" outlineLevel="0" collapsed="false">
      <c r="B266" s="53" t="n">
        <v>257</v>
      </c>
      <c r="C266" s="9" t="s">
        <v>831</v>
      </c>
      <c r="D266" s="9" t="s">
        <v>599</v>
      </c>
      <c r="E266" s="10" t="n">
        <v>0.0225</v>
      </c>
      <c r="F266" s="54" t="n">
        <f aca="false">Interval_Fund!$C$15</f>
        <v>0.0225</v>
      </c>
      <c r="G266" s="34" t="n">
        <f aca="false">IFERROR(IF(ISNUMBER(F266),F266-E266,"n/a"),"n/a")</f>
        <v>0</v>
      </c>
      <c r="H266" s="55" t="n">
        <v>5.0001E-005</v>
      </c>
      <c r="I266" s="52" t="str">
        <f aca="false">IFERROR(IF(ISNUMBER(F266),IF(ABS(F266-E266)&lt;=H266,"PASS","FAIL"),"FAIL"),"FAIL")</f>
        <v>PASS</v>
      </c>
    </row>
    <row r="267" customFormat="false" ht="15" hidden="false" customHeight="false" outlineLevel="0" collapsed="false">
      <c r="B267" s="53" t="n">
        <v>258</v>
      </c>
      <c r="C267" s="9" t="s">
        <v>831</v>
      </c>
      <c r="D267" s="9" t="s">
        <v>841</v>
      </c>
      <c r="E267" s="10" t="n">
        <v>0.0469</v>
      </c>
      <c r="F267" s="54" t="n">
        <f aca="false">Interval_Fund!$C$16</f>
        <v>0.046875</v>
      </c>
      <c r="G267" s="34" t="n">
        <f aca="false">IFERROR(IF(ISNUMBER(F267),F267-E267,"n/a"),"n/a")</f>
        <v>-2.49999999999972E-005</v>
      </c>
      <c r="H267" s="55" t="n">
        <v>5.0001E-005</v>
      </c>
      <c r="I267" s="52" t="str">
        <f aca="false">IFERROR(IF(ISNUMBER(F267),IF(ABS(F267-E267)&lt;=H267,"PASS","FAIL"),"FAIL"),"FAIL")</f>
        <v>PASS</v>
      </c>
    </row>
    <row r="268" customFormat="false" ht="15" hidden="false" customHeight="false" outlineLevel="0" collapsed="false">
      <c r="B268" s="53" t="n">
        <v>259</v>
      </c>
      <c r="C268" s="9" t="s">
        <v>831</v>
      </c>
      <c r="D268" s="9" t="s">
        <v>842</v>
      </c>
      <c r="E268" s="10" t="n">
        <v>0.0125</v>
      </c>
      <c r="F268" s="54" t="n">
        <f aca="false">Interval_Fund!$C$17</f>
        <v>0.0125</v>
      </c>
      <c r="G268" s="34" t="n">
        <f aca="false">IFERROR(IF(ISNUMBER(F268),F268-E268,"n/a"),"n/a")</f>
        <v>0</v>
      </c>
      <c r="H268" s="55" t="n">
        <v>5.0001E-005</v>
      </c>
      <c r="I268" s="52" t="str">
        <f aca="false">IFERROR(IF(ISNUMBER(F268),IF(ABS(F268-E268)&lt;=H268,"PASS","FAIL"),"FAIL"),"FAIL")</f>
        <v>PASS</v>
      </c>
    </row>
    <row r="269" customFormat="false" ht="15" hidden="false" customHeight="false" outlineLevel="0" collapsed="false">
      <c r="B269" s="53" t="n">
        <v>260</v>
      </c>
      <c r="C269" s="9" t="s">
        <v>831</v>
      </c>
      <c r="D269" s="9" t="s">
        <v>843</v>
      </c>
      <c r="E269" s="10" t="n">
        <v>0.0219</v>
      </c>
      <c r="F269" s="54" t="n">
        <f aca="false">Interval_Fund!$C$18</f>
        <v>0.021875</v>
      </c>
      <c r="G269" s="34" t="n">
        <f aca="false">IFERROR(IF(ISNUMBER(F269),F269-E269,"n/a"),"n/a")</f>
        <v>-2.49999999999972E-005</v>
      </c>
      <c r="H269" s="55" t="n">
        <v>5.0001E-005</v>
      </c>
      <c r="I269" s="52" t="str">
        <f aca="false">IFERROR(IF(ISNUMBER(F269),IF(ABS(F269-E269)&lt;=H269,"PASS","FAIL"),"FAIL"),"FAIL")</f>
        <v>PASS</v>
      </c>
    </row>
    <row r="270" customFormat="false" ht="15" hidden="false" customHeight="false" outlineLevel="0" collapsed="false">
      <c r="B270" s="53" t="n">
        <v>261</v>
      </c>
      <c r="C270" s="9" t="s">
        <v>831</v>
      </c>
      <c r="D270" s="9" t="s">
        <v>844</v>
      </c>
      <c r="E270" s="10" t="n">
        <v>0.006</v>
      </c>
      <c r="F270" s="54" t="n">
        <f aca="false">Interval_Fund!$C$19</f>
        <v>0.006</v>
      </c>
      <c r="G270" s="34" t="n">
        <f aca="false">IFERROR(IF(ISNUMBER(F270),F270-E270,"n/a"),"n/a")</f>
        <v>0</v>
      </c>
      <c r="H270" s="55" t="n">
        <v>5.0001E-005</v>
      </c>
      <c r="I270" s="52" t="str">
        <f aca="false">IFERROR(IF(ISNUMBER(F270),IF(ABS(F270-E270)&lt;=H270,"PASS","FAIL"),"FAIL"),"FAIL")</f>
        <v>PASS</v>
      </c>
    </row>
    <row r="271" customFormat="false" ht="15" hidden="false" customHeight="false" outlineLevel="0" collapsed="false">
      <c r="B271" s="53" t="n">
        <v>262</v>
      </c>
      <c r="C271" s="9" t="s">
        <v>831</v>
      </c>
      <c r="D271" s="9" t="s">
        <v>845</v>
      </c>
      <c r="E271" s="10" t="n">
        <v>0.0025</v>
      </c>
      <c r="F271" s="54" t="n">
        <f aca="false">Interval_Fund!$C$20</f>
        <v>0.0025</v>
      </c>
      <c r="G271" s="34" t="n">
        <f aca="false">IFERROR(IF(ISNUMBER(F271),F271-E271,"n/a"),"n/a")</f>
        <v>0</v>
      </c>
      <c r="H271" s="55" t="n">
        <v>5.0001E-005</v>
      </c>
      <c r="I271" s="52" t="str">
        <f aca="false">IFERROR(IF(ISNUMBER(F271),IF(ABS(F271-E271)&lt;=H271,"PASS","FAIL"),"FAIL"),"FAIL")</f>
        <v>PASS</v>
      </c>
    </row>
    <row r="272" customFormat="false" ht="15" hidden="false" customHeight="false" outlineLevel="0" collapsed="false">
      <c r="B272" s="53" t="n">
        <v>263</v>
      </c>
      <c r="C272" s="9" t="s">
        <v>831</v>
      </c>
      <c r="D272" s="9" t="s">
        <v>846</v>
      </c>
      <c r="E272" s="10" t="n">
        <v>0.0085</v>
      </c>
      <c r="F272" s="54" t="n">
        <f aca="false">Interval_Fund!$C$21</f>
        <v>0.0085</v>
      </c>
      <c r="G272" s="34" t="n">
        <f aca="false">IFERROR(IF(ISNUMBER(F272),F272-E272,"n/a"),"n/a")</f>
        <v>0</v>
      </c>
      <c r="H272" s="55" t="n">
        <v>5.0001E-005</v>
      </c>
      <c r="I272" s="52" t="str">
        <f aca="false">IFERROR(IF(ISNUMBER(F272),IF(ABS(F272-E272)&lt;=H272,"PASS","FAIL"),"FAIL"),"FAIL")</f>
        <v>PASS</v>
      </c>
    </row>
    <row r="273" customFormat="false" ht="15" hidden="false" customHeight="false" outlineLevel="0" collapsed="false">
      <c r="B273" s="53" t="n">
        <v>264</v>
      </c>
      <c r="C273" s="9" t="s">
        <v>831</v>
      </c>
      <c r="D273" s="9" t="s">
        <v>847</v>
      </c>
      <c r="E273" s="10" t="n">
        <v>0.1021</v>
      </c>
      <c r="F273" s="54" t="n">
        <f aca="false">Interval_Fund!$C$22</f>
        <v>0.102125</v>
      </c>
      <c r="G273" s="34" t="n">
        <f aca="false">IFERROR(IF(ISNUMBER(F273),F273-E273,"n/a"),"n/a")</f>
        <v>2.49999999999972E-005</v>
      </c>
      <c r="H273" s="55" t="n">
        <v>5.0001E-005</v>
      </c>
      <c r="I273" s="52" t="str">
        <f aca="false">IFERROR(IF(ISNUMBER(F273),IF(ABS(F273-E273)&lt;=H273,"PASS","FAIL"),"FAIL"),"FAIL")</f>
        <v>PASS</v>
      </c>
    </row>
    <row r="274" customFormat="false" ht="15" hidden="false" customHeight="false" outlineLevel="0" collapsed="false">
      <c r="B274" s="53" t="n">
        <v>265</v>
      </c>
      <c r="C274" s="9" t="s">
        <v>831</v>
      </c>
      <c r="D274" s="9" t="s">
        <v>848</v>
      </c>
      <c r="E274" s="21" t="n">
        <v>0.125</v>
      </c>
      <c r="F274" s="59" t="n">
        <f aca="false">Interval_Fund!$C$23</f>
        <v>0.125</v>
      </c>
      <c r="G274" s="34" t="n">
        <f aca="false">IFERROR(IF(ISNUMBER(F274),F274-E274,"n/a"),"n/a")</f>
        <v>0</v>
      </c>
      <c r="H274" s="55" t="n">
        <v>0.000500001</v>
      </c>
      <c r="I274" s="52" t="str">
        <f aca="false">IFERROR(IF(ISNUMBER(F274),IF(ABS(F274-E274)&lt;=H274,"PASS","FAIL"),"FAIL"),"FAIL")</f>
        <v>PASS</v>
      </c>
    </row>
    <row r="275" customFormat="false" ht="15" hidden="false" customHeight="false" outlineLevel="0" collapsed="false">
      <c r="B275" s="53" t="n">
        <v>266</v>
      </c>
      <c r="C275" s="9" t="s">
        <v>831</v>
      </c>
      <c r="D275" s="9" t="s">
        <v>849</v>
      </c>
      <c r="E275" s="21" t="n">
        <v>0.05</v>
      </c>
      <c r="F275" s="59" t="n">
        <f aca="false">Interval_Fund!$C$24</f>
        <v>0.05</v>
      </c>
      <c r="G275" s="34" t="n">
        <f aca="false">IFERROR(IF(ISNUMBER(F275),F275-E275,"n/a"),"n/a")</f>
        <v>0</v>
      </c>
      <c r="H275" s="55" t="n">
        <v>0.000500001</v>
      </c>
      <c r="I275" s="52" t="str">
        <f aca="false">IFERROR(IF(ISNUMBER(F275),IF(ABS(F275-E275)&lt;=H275,"PASS","FAIL"),"FAIL"),"FAIL")</f>
        <v>PASS</v>
      </c>
    </row>
    <row r="276" customFormat="false" ht="15" hidden="false" customHeight="false" outlineLevel="0" collapsed="false">
      <c r="B276" s="53" t="n">
        <v>267</v>
      </c>
      <c r="C276" s="9" t="s">
        <v>831</v>
      </c>
      <c r="D276" s="9" t="s">
        <v>850</v>
      </c>
      <c r="E276" s="10" t="n">
        <v>0.0128</v>
      </c>
      <c r="F276" s="54" t="n">
        <f aca="false">Interval_Fund!$C$25</f>
        <v>0.012765625</v>
      </c>
      <c r="G276" s="34" t="n">
        <f aca="false">IFERROR(IF(ISNUMBER(F276),F276-E276,"n/a"),"n/a")</f>
        <v>-3.43750000000014E-005</v>
      </c>
      <c r="H276" s="55" t="n">
        <v>5.0001E-005</v>
      </c>
      <c r="I276" s="52" t="str">
        <f aca="false">IFERROR(IF(ISNUMBER(F276),IF(ABS(F276-E276)&lt;=H276,"PASS","FAIL"),"FAIL"),"FAIL")</f>
        <v>PASS</v>
      </c>
    </row>
    <row r="277" customFormat="false" ht="15" hidden="false" customHeight="false" outlineLevel="0" collapsed="false">
      <c r="B277" s="53" t="n">
        <v>268</v>
      </c>
      <c r="C277" s="9" t="s">
        <v>831</v>
      </c>
      <c r="D277" s="9" t="s">
        <v>851</v>
      </c>
      <c r="E277" s="10" t="n">
        <v>0.0894</v>
      </c>
      <c r="F277" s="54" t="n">
        <f aca="false">Interval_Fund!$C$26</f>
        <v>0.089359375</v>
      </c>
      <c r="G277" s="34" t="n">
        <f aca="false">IFERROR(IF(ISNUMBER(F277),F277-E277,"n/a"),"n/a")</f>
        <v>-4.06250000000025E-005</v>
      </c>
      <c r="H277" s="55" t="n">
        <v>5.0001E-005</v>
      </c>
      <c r="I277" s="52" t="str">
        <f aca="false">IFERROR(IF(ISNUMBER(F277),IF(ABS(F277-E277)&lt;=H277,"PASS","FAIL"),"FAIL"),"FAIL")</f>
        <v>PASS</v>
      </c>
    </row>
    <row r="278" customFormat="false" ht="15" hidden="false" customHeight="false" outlineLevel="0" collapsed="false">
      <c r="B278" s="53" t="n">
        <v>269</v>
      </c>
      <c r="C278" s="9" t="s">
        <v>831</v>
      </c>
      <c r="D278" s="9" t="s">
        <v>852</v>
      </c>
      <c r="E278" s="21" t="n">
        <v>0.025</v>
      </c>
      <c r="F278" s="59" t="n">
        <f aca="false">Interval_Fund!$C$27</f>
        <v>0.025</v>
      </c>
      <c r="G278" s="34" t="n">
        <f aca="false">IFERROR(IF(ISNUMBER(F278),F278-E278,"n/a"),"n/a")</f>
        <v>0</v>
      </c>
      <c r="H278" s="55" t="n">
        <v>0.000500001</v>
      </c>
      <c r="I278" s="52" t="str">
        <f aca="false">IFERROR(IF(ISNUMBER(F278),IF(ABS(F278-E278)&lt;=H278,"PASS","FAIL"),"FAIL"),"FAIL")</f>
        <v>PASS</v>
      </c>
    </row>
    <row r="279" customFormat="false" ht="15" hidden="false" customHeight="false" outlineLevel="0" collapsed="false">
      <c r="B279" s="53" t="n">
        <v>270</v>
      </c>
      <c r="C279" s="9" t="s">
        <v>831</v>
      </c>
      <c r="D279" s="9" t="s">
        <v>853</v>
      </c>
      <c r="E279" s="12" t="n">
        <v>0.4</v>
      </c>
      <c r="F279" s="17" t="n">
        <f aca="false">Interval_Fund!$C$28</f>
        <v>0.4</v>
      </c>
      <c r="G279" s="34" t="n">
        <f aca="false">IFERROR(IF(ISNUMBER(F279),F279-E279,"n/a"),"n/a")</f>
        <v>0</v>
      </c>
      <c r="H279" s="55" t="n">
        <v>0.005000001</v>
      </c>
      <c r="I279" s="52" t="str">
        <f aca="false">IFERROR(IF(ISNUMBER(F279),IF(ABS(F279-E279)&lt;=H279,"PASS","FAIL"),"FAIL"),"FAIL")</f>
        <v>PASS</v>
      </c>
    </row>
    <row r="280" customFormat="false" ht="15" hidden="false" customHeight="false" outlineLevel="0" collapsed="false">
      <c r="B280" s="53" t="n">
        <v>271</v>
      </c>
      <c r="C280" s="9" t="s">
        <v>831</v>
      </c>
      <c r="D280" s="9" t="s">
        <v>854</v>
      </c>
      <c r="E280" s="10" t="n">
        <v>0.0175</v>
      </c>
      <c r="F280" s="54" t="n">
        <f aca="false">Interval_Fund!$C$29</f>
        <v>0.0175</v>
      </c>
      <c r="G280" s="34" t="n">
        <f aca="false">IFERROR(IF(ISNUMBER(F280),F280-E280,"n/a"),"n/a")</f>
        <v>0</v>
      </c>
      <c r="H280" s="55" t="n">
        <v>5.0001E-005</v>
      </c>
      <c r="I280" s="52" t="str">
        <f aca="false">IFERROR(IF(ISNUMBER(F280),IF(ABS(F280-E280)&lt;=H280,"PASS","FAIL"),"FAIL"),"FAIL")</f>
        <v>PASS</v>
      </c>
    </row>
    <row r="281" customFormat="false" ht="15" hidden="false" customHeight="false" outlineLevel="0" collapsed="false">
      <c r="B281" s="53" t="n">
        <v>272</v>
      </c>
      <c r="C281" s="9" t="s">
        <v>831</v>
      </c>
      <c r="D281" s="9" t="s">
        <v>855</v>
      </c>
      <c r="E281" s="10" t="n">
        <v>0.0719</v>
      </c>
      <c r="F281" s="54" t="n">
        <f aca="false">Interval_Fund!$C$30</f>
        <v>0.071859375</v>
      </c>
      <c r="G281" s="34" t="n">
        <f aca="false">IFERROR(IF(ISNUMBER(F281),F281-E281,"n/a"),"n/a")</f>
        <v>-4.06250000000163E-005</v>
      </c>
      <c r="H281" s="55" t="n">
        <v>5.0001E-005</v>
      </c>
      <c r="I281" s="52" t="str">
        <f aca="false">IFERROR(IF(ISNUMBER(F281),IF(ABS(F281-E281)&lt;=H281,"PASS","FAIL"),"FAIL"),"FAIL")</f>
        <v>PASS</v>
      </c>
    </row>
    <row r="282" customFormat="false" ht="15" hidden="false" customHeight="false" outlineLevel="0" collapsed="false">
      <c r="B282" s="53" t="n">
        <v>273</v>
      </c>
      <c r="C282" s="9" t="s">
        <v>831</v>
      </c>
      <c r="D282" s="9" t="s">
        <v>856</v>
      </c>
      <c r="E282" s="10" t="n">
        <v>0.0431</v>
      </c>
      <c r="F282" s="54" t="n">
        <f aca="false">Interval_Fund!$C$31</f>
        <v>0.043140625</v>
      </c>
      <c r="G282" s="34" t="n">
        <f aca="false">IFERROR(IF(ISNUMBER(F282),F282-E282,"n/a"),"n/a")</f>
        <v>4.06250000000025E-005</v>
      </c>
      <c r="H282" s="55" t="n">
        <v>5.0001E-005</v>
      </c>
      <c r="I282" s="52" t="str">
        <f aca="false">IFERROR(IF(ISNUMBER(F282),IF(ABS(F282-E282)&lt;=H282,"PASS","FAIL"),"FAIL"),"FAIL")</f>
        <v>PASS</v>
      </c>
    </row>
    <row r="283" customFormat="false" ht="15" hidden="false" customHeight="false" outlineLevel="0" collapsed="false">
      <c r="B283" s="53" t="n">
        <v>274</v>
      </c>
      <c r="C283" s="9" t="s">
        <v>831</v>
      </c>
      <c r="D283" s="9" t="s">
        <v>857</v>
      </c>
      <c r="E283" s="10" t="n">
        <v>0.09</v>
      </c>
      <c r="F283" s="54" t="n">
        <f aca="false">Interval_Fund!$C$32</f>
        <v>0.090015625</v>
      </c>
      <c r="G283" s="34" t="n">
        <f aca="false">IFERROR(IF(ISNUMBER(F283),F283-E283,"n/a"),"n/a")</f>
        <v>1.56250000000052E-005</v>
      </c>
      <c r="H283" s="55" t="n">
        <v>5.0001E-005</v>
      </c>
      <c r="I283" s="52" t="str">
        <f aca="false">IFERROR(IF(ISNUMBER(F283),IF(ABS(F283-E283)&lt;=H283,"PASS","FAIL"),"FAIL"),"FAIL")</f>
        <v>PASS</v>
      </c>
    </row>
    <row r="284" customFormat="false" ht="15" hidden="false" customHeight="false" outlineLevel="0" collapsed="false">
      <c r="B284" s="53" t="n">
        <v>275</v>
      </c>
      <c r="C284" s="9" t="s">
        <v>831</v>
      </c>
      <c r="D284" s="9" t="s">
        <v>858</v>
      </c>
      <c r="E284" s="21" t="n">
        <v>0.241</v>
      </c>
      <c r="F284" s="59" t="n">
        <f aca="false">Interval_Fund!$C$33</f>
        <v>0.240505226480836</v>
      </c>
      <c r="G284" s="34" t="n">
        <f aca="false">IFERROR(IF(ISNUMBER(F284),F284-E284,"n/a"),"n/a")</f>
        <v>-0.000494773519163744</v>
      </c>
      <c r="H284" s="55" t="n">
        <v>0.000500001</v>
      </c>
      <c r="I284" s="52" t="str">
        <f aca="false">IFERROR(IF(ISNUMBER(F284),IF(ABS(F284-E284)&lt;=H284,"PASS","FAIL"),"FAIL"),"FAIL")</f>
        <v>PASS</v>
      </c>
    </row>
    <row r="285" customFormat="false" ht="15" hidden="false" customHeight="false" outlineLevel="0" collapsed="false">
      <c r="B285" s="53" t="n">
        <v>276</v>
      </c>
      <c r="C285" s="9" t="s">
        <v>831</v>
      </c>
      <c r="D285" s="9" t="s">
        <v>859</v>
      </c>
      <c r="E285" s="21" t="n">
        <v>0.502</v>
      </c>
      <c r="F285" s="59" t="n">
        <f aca="false">Interval_Fund!$C$34</f>
        <v>0.501829268292683</v>
      </c>
      <c r="G285" s="34" t="n">
        <f aca="false">IFERROR(IF(ISNUMBER(F285),F285-E285,"n/a"),"n/a")</f>
        <v>-0.000170731707317073</v>
      </c>
      <c r="H285" s="55" t="n">
        <v>0.000500001</v>
      </c>
      <c r="I285" s="52" t="str">
        <f aca="false">IFERROR(IF(ISNUMBER(F285),IF(ABS(F285-E285)&lt;=H285,"PASS","FAIL"),"FAIL"),"FAIL")</f>
        <v>PASS</v>
      </c>
    </row>
    <row r="286" customFormat="false" ht="15" hidden="false" customHeight="false" outlineLevel="0" collapsed="false">
      <c r="B286" s="53" t="n">
        <v>277</v>
      </c>
      <c r="C286" s="9" t="s">
        <v>831</v>
      </c>
      <c r="D286" s="9" t="s">
        <v>860</v>
      </c>
      <c r="E286" s="56" t="n">
        <v>2188</v>
      </c>
      <c r="F286" s="31" t="n">
        <f aca="false">Interval_Fund!$C$35</f>
        <v>2187.5</v>
      </c>
      <c r="G286" s="34" t="n">
        <f aca="false">IFERROR(IF(ISNUMBER(F286),F286-E286,"n/a"),"n/a")</f>
        <v>-0.5</v>
      </c>
      <c r="H286" s="55" t="n">
        <v>0.500000001</v>
      </c>
      <c r="I286" s="52" t="str">
        <f aca="false">IFERROR(IF(ISNUMBER(F286),IF(ABS(F286-E286)&lt;=H286,"PASS","FAIL"),"FAIL"),"FAIL")</f>
        <v>PASS</v>
      </c>
    </row>
    <row r="287" customFormat="false" ht="15" hidden="false" customHeight="false" outlineLevel="0" collapsed="false">
      <c r="B287" s="53" t="n">
        <v>278</v>
      </c>
      <c r="C287" s="9" t="s">
        <v>831</v>
      </c>
      <c r="D287" s="9" t="s">
        <v>861</v>
      </c>
      <c r="E287" s="56" t="n">
        <v>850</v>
      </c>
      <c r="F287" s="31" t="n">
        <f aca="false">Interval_Fund!$C$36</f>
        <v>850</v>
      </c>
      <c r="G287" s="34" t="n">
        <f aca="false">IFERROR(IF(ISNUMBER(F287),F287-E287,"n/a"),"n/a")</f>
        <v>0</v>
      </c>
      <c r="H287" s="55" t="n">
        <v>0.500000001</v>
      </c>
      <c r="I287" s="52" t="str">
        <f aca="false">IFERROR(IF(ISNUMBER(F287),IF(ABS(F287-E287)&lt;=H287,"PASS","FAIL"),"FAIL"),"FAIL")</f>
        <v>PASS</v>
      </c>
    </row>
    <row r="288" customFormat="false" ht="15" hidden="false" customHeight="false" outlineLevel="0" collapsed="false">
      <c r="B288" s="53" t="n">
        <v>279</v>
      </c>
      <c r="C288" s="9" t="s">
        <v>831</v>
      </c>
      <c r="D288" s="9" t="s">
        <v>862</v>
      </c>
      <c r="E288" s="56" t="n">
        <v>1277</v>
      </c>
      <c r="F288" s="31" t="n">
        <f aca="false">Interval_Fund!$C$37</f>
        <v>1276.5625</v>
      </c>
      <c r="G288" s="34" t="n">
        <f aca="false">IFERROR(IF(ISNUMBER(F288),F288-E288,"n/a"),"n/a")</f>
        <v>-0.4375</v>
      </c>
      <c r="H288" s="55" t="n">
        <v>0.500000001</v>
      </c>
      <c r="I288" s="52" t="str">
        <f aca="false">IFERROR(IF(ISNUMBER(F288),IF(ABS(F288-E288)&lt;=H288,"PASS","FAIL"),"FAIL"),"FAIL")</f>
        <v>PASS</v>
      </c>
    </row>
    <row r="289" customFormat="false" ht="15" hidden="false" customHeight="false" outlineLevel="0" collapsed="false">
      <c r="B289" s="53" t="n">
        <v>280</v>
      </c>
      <c r="C289" s="9" t="s">
        <v>831</v>
      </c>
      <c r="D289" s="9" t="s">
        <v>863</v>
      </c>
      <c r="E289" s="56" t="n">
        <v>4314</v>
      </c>
      <c r="F289" s="31" t="n">
        <f aca="false">Interval_Fund!$C$38</f>
        <v>4314.0625</v>
      </c>
      <c r="G289" s="34" t="n">
        <f aca="false">IFERROR(IF(ISNUMBER(F289),F289-E289,"n/a"),"n/a")</f>
        <v>0.0625</v>
      </c>
      <c r="H289" s="55" t="n">
        <v>0.500000001</v>
      </c>
      <c r="I289" s="52" t="str">
        <f aca="false">IFERROR(IF(ISNUMBER(F289),IF(ABS(F289-E289)&lt;=H289,"PASS","FAIL"),"FAIL"),"FAIL")</f>
        <v>PASS</v>
      </c>
    </row>
    <row r="290" customFormat="false" ht="15" hidden="false" customHeight="false" outlineLevel="0" collapsed="false">
      <c r="B290" s="53" t="n">
        <v>281</v>
      </c>
      <c r="C290" s="9" t="s">
        <v>831</v>
      </c>
      <c r="D290" s="9" t="s">
        <v>864</v>
      </c>
      <c r="E290" s="56" t="n">
        <v>4688</v>
      </c>
      <c r="F290" s="31" t="n">
        <f aca="false">Interval_Fund!$C$39</f>
        <v>4687.5</v>
      </c>
      <c r="G290" s="34" t="n">
        <f aca="false">IFERROR(IF(ISNUMBER(F290),F290-E290,"n/a"),"n/a")</f>
        <v>-0.5</v>
      </c>
      <c r="H290" s="55" t="n">
        <v>0.500000001</v>
      </c>
      <c r="I290" s="52" t="str">
        <f aca="false">IFERROR(IF(ISNUMBER(F290),IF(ABS(F290-E290)&lt;=H290,"PASS","FAIL"),"FAIL"),"FAIL")</f>
        <v>PASS</v>
      </c>
    </row>
    <row r="291" customFormat="false" ht="15" hidden="false" customHeight="false" outlineLevel="0" collapsed="false">
      <c r="B291" s="53" t="n">
        <v>282</v>
      </c>
      <c r="C291" s="9" t="s">
        <v>831</v>
      </c>
      <c r="D291" s="9" t="s">
        <v>865</v>
      </c>
      <c r="E291" s="10" t="n">
        <v>0.0619</v>
      </c>
      <c r="F291" s="54" t="n">
        <f aca="false">Interval_Fund!$C$41</f>
        <v>0.061859375</v>
      </c>
      <c r="G291" s="34" t="n">
        <f aca="false">IFERROR(IF(ISNUMBER(F291),F291-E291,"n/a"),"n/a")</f>
        <v>-4.06250000000094E-005</v>
      </c>
      <c r="H291" s="55" t="n">
        <v>5.0001E-005</v>
      </c>
      <c r="I291" s="52" t="str">
        <f aca="false">IFERROR(IF(ISNUMBER(F291),IF(ABS(F291-E291)&lt;=H291,"PASS","FAIL"),"FAIL"),"FAIL")</f>
        <v>PASS</v>
      </c>
    </row>
    <row r="292" customFormat="false" ht="15" hidden="false" customHeight="false" outlineLevel="0" collapsed="false">
      <c r="B292" s="53" t="n">
        <v>283</v>
      </c>
      <c r="C292" s="9" t="s">
        <v>831</v>
      </c>
      <c r="D292" s="9" t="s">
        <v>866</v>
      </c>
      <c r="E292" s="62" t="n">
        <v>24.534</v>
      </c>
      <c r="F292" s="50" t="n">
        <f aca="false">Interval_Fund!$C$42</f>
        <v>24.5341163459868</v>
      </c>
      <c r="G292" s="34" t="n">
        <f aca="false">IFERROR(IF(ISNUMBER(F292),F292-E292,"n/a"),"n/a")</f>
        <v>0.000116345986754141</v>
      </c>
      <c r="H292" s="55" t="n">
        <v>0.000500001</v>
      </c>
      <c r="I292" s="52" t="str">
        <f aca="false">IFERROR(IF(ISNUMBER(F292),IF(ABS(F292-E292)&lt;=H292,"PASS","FAIL"),"FAIL"),"FAIL")</f>
        <v>PASS</v>
      </c>
    </row>
    <row r="293" customFormat="false" ht="15" hidden="false" customHeight="false" outlineLevel="0" collapsed="false">
      <c r="B293" s="53" t="n">
        <v>284</v>
      </c>
      <c r="C293" s="9" t="s">
        <v>831</v>
      </c>
      <c r="D293" s="9" t="s">
        <v>867</v>
      </c>
      <c r="E293" s="62" t="n">
        <v>24.034</v>
      </c>
      <c r="F293" s="50" t="n">
        <f aca="false">Interval_Fund!$C$43</f>
        <v>24.0338415871958</v>
      </c>
      <c r="G293" s="34" t="n">
        <f aca="false">IFERROR(IF(ISNUMBER(F293),F293-E293,"n/a"),"n/a")</f>
        <v>-0.000158412804232455</v>
      </c>
      <c r="H293" s="55" t="n">
        <v>0.000500001</v>
      </c>
      <c r="I293" s="52" t="str">
        <f aca="false">IFERROR(IF(ISNUMBER(F293),IF(ABS(F293-E293)&lt;=H293,"PASS","FAIL"),"FAIL"),"FAIL")</f>
        <v>PASS</v>
      </c>
    </row>
    <row r="294" customFormat="false" ht="15" hidden="false" customHeight="false" outlineLevel="0" collapsed="false">
      <c r="B294" s="53" t="n">
        <v>285</v>
      </c>
      <c r="C294" s="9" t="s">
        <v>831</v>
      </c>
      <c r="D294" s="9" t="s">
        <v>868</v>
      </c>
      <c r="E294" s="62" t="n">
        <v>23.497</v>
      </c>
      <c r="F294" s="50" t="n">
        <f aca="false">Interval_Fund!$C$44</f>
        <v>23.4966370037607</v>
      </c>
      <c r="G294" s="34" t="n">
        <f aca="false">IFERROR(IF(ISNUMBER(F294),F294-E294,"n/a"),"n/a")</f>
        <v>-0.000362996239278601</v>
      </c>
      <c r="H294" s="55" t="n">
        <v>0.000500001</v>
      </c>
      <c r="I294" s="52" t="str">
        <f aca="false">IFERROR(IF(ISNUMBER(F294),IF(ABS(F294-E294)&lt;=H294,"PASS","FAIL"),"FAIL"),"FAIL")</f>
        <v>PASS</v>
      </c>
    </row>
    <row r="295" customFormat="false" ht="15" hidden="false" customHeight="false" outlineLevel="0" collapsed="false">
      <c r="B295" s="53" t="n">
        <v>286</v>
      </c>
      <c r="C295" s="9" t="s">
        <v>831</v>
      </c>
      <c r="D295" s="9" t="s">
        <v>869</v>
      </c>
      <c r="E295" s="21" t="n">
        <v>-0.06</v>
      </c>
      <c r="F295" s="59" t="n">
        <f aca="false">Interval_Fund!$C$45</f>
        <v>-0.0601345198495712</v>
      </c>
      <c r="G295" s="34" t="n">
        <f aca="false">IFERROR(IF(ISNUMBER(F295),F295-E295,"n/a"),"n/a")</f>
        <v>-0.000134519849571191</v>
      </c>
      <c r="H295" s="55" t="n">
        <v>0.000500001</v>
      </c>
      <c r="I295" s="52" t="str">
        <f aca="false">IFERROR(IF(ISNUMBER(F295),IF(ABS(F295-E295)&lt;=H295,"PASS","FAIL"),"FAIL"),"FAIL")</f>
        <v>PASS</v>
      </c>
    </row>
    <row r="296" customFormat="false" ht="15" hidden="false" customHeight="false" outlineLevel="0" collapsed="false">
      <c r="B296" s="53" t="n">
        <v>287</v>
      </c>
      <c r="C296" s="9" t="s">
        <v>831</v>
      </c>
      <c r="D296" s="9" t="s">
        <v>870</v>
      </c>
      <c r="E296" s="57" t="n">
        <v>0.5585</v>
      </c>
      <c r="F296" s="58" t="n">
        <f aca="false">Interval_Fund!$C$46</f>
        <v>0.55849609375</v>
      </c>
      <c r="G296" s="34" t="n">
        <f aca="false">IFERROR(IF(ISNUMBER(F296),F296-E296,"n/a"),"n/a")</f>
        <v>-3.90625000001865E-006</v>
      </c>
      <c r="H296" s="55" t="n">
        <v>5.0001E-005</v>
      </c>
      <c r="I296" s="52" t="str">
        <f aca="false">IFERROR(IF(ISNUMBER(F296),IF(ABS(F296-E296)&lt;=H296,"PASS","FAIL"),"FAIL"),"FAIL")</f>
        <v>PASS</v>
      </c>
    </row>
    <row r="297" customFormat="false" ht="15" hidden="false" customHeight="false" outlineLevel="0" collapsed="false">
      <c r="B297" s="53" t="n">
        <v>288</v>
      </c>
      <c r="C297" s="9" t="s">
        <v>831</v>
      </c>
      <c r="D297" s="9" t="s">
        <v>871</v>
      </c>
      <c r="E297" s="21" t="n">
        <v>0.993</v>
      </c>
      <c r="F297" s="59" t="n">
        <f aca="false">Interval_Fund!$C$47</f>
        <v>0.992881944444444</v>
      </c>
      <c r="G297" s="34" t="n">
        <f aca="false">IFERROR(IF(ISNUMBER(F297),F297-E297,"n/a"),"n/a")</f>
        <v>-0.000118055555555552</v>
      </c>
      <c r="H297" s="55" t="n">
        <v>0.000500001</v>
      </c>
      <c r="I297" s="52" t="str">
        <f aca="false">IFERROR(IF(ISNUMBER(F297),IF(ABS(F297-E297)&lt;=H297,"PASS","FAIL"),"FAIL"),"FAIL")</f>
        <v>PASS</v>
      </c>
    </row>
    <row r="298" customFormat="false" ht="15" hidden="false" customHeight="false" outlineLevel="0" collapsed="false">
      <c r="B298" s="53" t="n">
        <v>289</v>
      </c>
      <c r="C298" s="9" t="s">
        <v>831</v>
      </c>
      <c r="D298" s="9" t="s">
        <v>872</v>
      </c>
      <c r="E298" s="56" t="n">
        <v>27000</v>
      </c>
      <c r="F298" s="31" t="n">
        <f aca="false">Interval_Fund!$C$48</f>
        <v>27000</v>
      </c>
      <c r="G298" s="34" t="n">
        <f aca="false">IFERROR(IF(ISNUMBER(F298),F298-E298,"n/a"),"n/a")</f>
        <v>0</v>
      </c>
      <c r="H298" s="55" t="n">
        <v>0.500000001</v>
      </c>
      <c r="I298" s="52" t="str">
        <f aca="false">IFERROR(IF(ISNUMBER(F298),IF(ABS(F298-E298)&lt;=H298,"PASS","FAIL"),"FAIL"),"FAIL")</f>
        <v>PASS</v>
      </c>
    </row>
    <row r="299" customFormat="false" ht="15" hidden="false" customHeight="false" outlineLevel="0" collapsed="false">
      <c r="B299" s="53" t="n">
        <v>290</v>
      </c>
      <c r="C299" s="9" t="s">
        <v>831</v>
      </c>
      <c r="D299" s="9" t="s">
        <v>873</v>
      </c>
      <c r="E299" s="56" t="n">
        <v>93987</v>
      </c>
      <c r="F299" s="31" t="n">
        <f aca="false">Interval_Fund!$C$49</f>
        <v>93986.5480150429</v>
      </c>
      <c r="G299" s="34" t="n">
        <f aca="false">IFERROR(IF(ISNUMBER(F299),F299-E299,"n/a"),"n/a")</f>
        <v>-0.451984957107925</v>
      </c>
      <c r="H299" s="55" t="n">
        <v>0.500000001</v>
      </c>
      <c r="I299" s="52" t="str">
        <f aca="false">IFERROR(IF(ISNUMBER(F299),IF(ABS(F299-E299)&lt;=H299,"PASS","FAIL"),"FAIL"),"FAIL")</f>
        <v>PASS</v>
      </c>
    </row>
    <row r="300" customFormat="false" ht="15" hidden="false" customHeight="false" outlineLevel="0" collapsed="false">
      <c r="B300" s="53" t="n">
        <v>291</v>
      </c>
      <c r="C300" s="9" t="s">
        <v>831</v>
      </c>
      <c r="D300" s="9" t="s">
        <v>874</v>
      </c>
      <c r="E300" s="10" t="n">
        <v>0.0738</v>
      </c>
      <c r="F300" s="54" t="n">
        <f aca="false">Interval_Fund!$C$50</f>
        <v>0.07381908440334</v>
      </c>
      <c r="G300" s="34" t="n">
        <f aca="false">IFERROR(IF(ISNUMBER(F300),F300-E300,"n/a"),"n/a")</f>
        <v>1.90844033399473E-005</v>
      </c>
      <c r="H300" s="55" t="n">
        <v>5.0001E-005</v>
      </c>
      <c r="I300" s="52" t="str">
        <f aca="false">IFERROR(IF(ISNUMBER(F300),IF(ABS(F300-E300)&lt;=H300,"PASS","FAIL"),"FAIL"),"FAIL")</f>
        <v>PASS</v>
      </c>
    </row>
    <row r="301" customFormat="false" ht="15" hidden="false" customHeight="false" outlineLevel="0" collapsed="false">
      <c r="B301" s="53" t="n">
        <v>292</v>
      </c>
      <c r="C301" s="9" t="s">
        <v>831</v>
      </c>
      <c r="D301" s="9" t="s">
        <v>875</v>
      </c>
      <c r="E301" s="10" t="n">
        <v>0.0887</v>
      </c>
      <c r="F301" s="54" t="n">
        <f aca="false">Interval_Fund!$C$51</f>
        <v>0.08866358319116</v>
      </c>
      <c r="G301" s="34" t="n">
        <f aca="false">IFERROR(IF(ISNUMBER(F301),F301-E301,"n/a"),"n/a")</f>
        <v>-3.64168088400202E-005</v>
      </c>
      <c r="H301" s="55" t="n">
        <v>5.0001E-005</v>
      </c>
      <c r="I301" s="52" t="str">
        <f aca="false">IFERROR(IF(ISNUMBER(F301),IF(ABS(F301-E301)&lt;=H301,"PASS","FAIL"),"FAIL"),"FAIL")</f>
        <v>PASS</v>
      </c>
    </row>
    <row r="302" customFormat="false" ht="15" hidden="false" customHeight="false" outlineLevel="0" collapsed="false">
      <c r="B302" s="53" t="n">
        <v>293</v>
      </c>
      <c r="C302" s="9" t="s">
        <v>831</v>
      </c>
      <c r="D302" s="9" t="s">
        <v>876</v>
      </c>
      <c r="E302" s="10" t="n">
        <v>0.0537</v>
      </c>
      <c r="F302" s="54" t="n">
        <f aca="false">Interval_Fund!$C$52</f>
        <v>0.0537268981731835</v>
      </c>
      <c r="G302" s="34" t="n">
        <f aca="false">IFERROR(IF(ISNUMBER(F302),F302-E302,"n/a"),"n/a")</f>
        <v>2.68981731835483E-005</v>
      </c>
      <c r="H302" s="55" t="n">
        <v>5.0001E-005</v>
      </c>
      <c r="I302" s="52" t="str">
        <f aca="false">IFERROR(IF(ISNUMBER(F302),IF(ABS(F302-E302)&lt;=H302,"PASS","FAIL"),"FAIL"),"FAIL")</f>
        <v>PASS</v>
      </c>
    </row>
    <row r="303" customFormat="false" ht="15" hidden="false" customHeight="false" outlineLevel="0" collapsed="false">
      <c r="B303" s="53" t="n">
        <v>294</v>
      </c>
      <c r="C303" s="9" t="s">
        <v>831</v>
      </c>
      <c r="D303" s="9" t="s">
        <v>877</v>
      </c>
      <c r="E303" s="12" t="n">
        <v>0.05</v>
      </c>
      <c r="F303" s="17" t="n">
        <f aca="false">Interval_Fund!$C$53</f>
        <v>0.05</v>
      </c>
      <c r="G303" s="34" t="n">
        <f aca="false">IFERROR(IF(ISNUMBER(F303),F303-E303,"n/a"),"n/a")</f>
        <v>0</v>
      </c>
      <c r="H303" s="55" t="n">
        <v>0.005000001</v>
      </c>
      <c r="I303" s="52" t="str">
        <f aca="false">IFERROR(IF(ISNUMBER(F303),IF(ABS(F303-E303)&lt;=H303,"PASS","FAIL"),"FAIL"),"FAIL")</f>
        <v>PASS</v>
      </c>
    </row>
    <row r="304" customFormat="false" ht="15" hidden="false" customHeight="false" outlineLevel="0" collapsed="false">
      <c r="B304" s="53" t="n">
        <v>295</v>
      </c>
      <c r="C304" s="9" t="s">
        <v>831</v>
      </c>
      <c r="D304" s="9" t="s">
        <v>878</v>
      </c>
      <c r="E304" s="57" t="n">
        <v>0.5625</v>
      </c>
      <c r="F304" s="58" t="n">
        <f aca="false">Interval_Fund!$C$7</f>
        <v>0.5625</v>
      </c>
      <c r="G304" s="34" t="n">
        <f aca="false">IFERROR(IF(ISNUMBER(F304),F304-E304,"n/a"),"n/a")</f>
        <v>0</v>
      </c>
      <c r="H304" s="55" t="n">
        <v>5.0001E-005</v>
      </c>
      <c r="I304" s="52" t="str">
        <f aca="false">IFERROR(IF(ISNUMBER(F304),IF(ABS(F304-E304)&lt;=H304,"PASS","FAIL"),"FAIL"),"FAIL")</f>
        <v>PASS</v>
      </c>
    </row>
    <row r="305" customFormat="false" ht="15" hidden="false" customHeight="false" outlineLevel="0" collapsed="false">
      <c r="B305" s="53" t="n">
        <v>296</v>
      </c>
      <c r="C305" s="9" t="s">
        <v>831</v>
      </c>
      <c r="D305" s="9" t="s">
        <v>879</v>
      </c>
      <c r="E305" s="10" t="n">
        <v>0.0431</v>
      </c>
      <c r="F305" s="54" t="n">
        <f aca="false">Interval_Fund!$C$31</f>
        <v>0.043140625</v>
      </c>
      <c r="G305" s="34" t="n">
        <f aca="false">IFERROR(IF(ISNUMBER(F305),F305-E305,"n/a"),"n/a")</f>
        <v>4.06250000000025E-005</v>
      </c>
      <c r="H305" s="55" t="n">
        <v>5.0001E-005</v>
      </c>
      <c r="I305" s="52" t="str">
        <f aca="false">IFERROR(IF(ISNUMBER(F305),IF(ABS(F305-E305)&lt;=H305,"PASS","FAIL"),"FAIL"),"FAIL")</f>
        <v>PASS</v>
      </c>
    </row>
    <row r="306" customFormat="false" ht="15" hidden="false" customHeight="true" outlineLevel="0" collapsed="false">
      <c r="B306" s="53" t="n">
        <v>297</v>
      </c>
      <c r="C306" s="9" t="s">
        <v>831</v>
      </c>
      <c r="D306" s="60" t="s">
        <v>880</v>
      </c>
      <c r="E306" s="48" t="s">
        <v>632</v>
      </c>
      <c r="F306" s="61" t="str">
        <f aca="false">IFERROR(IF(ABS(Interval_Fund!$C$14-Interval_Fund!$C$16-Interval_Fund!$C$18-Interval_Fund!$C$21-Interval_Fund!$C$25-Interval_Fund!$C$26)&lt;0.000000000001,"holds","does not hold"),"error")</f>
        <v>holds</v>
      </c>
      <c r="G306" s="9"/>
      <c r="H306" s="9"/>
      <c r="I306" s="52" t="str">
        <f aca="false">IFERROR(IF(ABS(Interval_Fund!$C$14-Interval_Fund!$C$16-Interval_Fund!$C$18-Interval_Fund!$C$21-Interval_Fund!$C$25-Interval_Fund!$C$26)&lt;0.000000000001,"PASS","FAIL"),"FAIL")</f>
        <v>PASS</v>
      </c>
    </row>
    <row r="307" customFormat="false" ht="30" hidden="false" customHeight="true" outlineLevel="0" collapsed="false">
      <c r="B307" s="53" t="n">
        <v>298</v>
      </c>
      <c r="C307" s="9" t="s">
        <v>831</v>
      </c>
      <c r="D307" s="60" t="s">
        <v>881</v>
      </c>
      <c r="E307" s="48" t="s">
        <v>632</v>
      </c>
      <c r="F307" s="61" t="str">
        <f aca="false">IFERROR(IF(AND(Interval_Fund!$C$44&lt;Interval_Fund!$C$5,Interval_Fund!$C$30&lt;Interval_Fund!$C$8),"holds","does not hold"),"error")</f>
        <v>holds</v>
      </c>
      <c r="G307" s="9"/>
      <c r="H307" s="9"/>
      <c r="I307" s="52" t="str">
        <f aca="false">IFERROR(IF(AND(Interval_Fund!$C$44&lt;Interval_Fund!$C$5,Interval_Fund!$C$30&lt;Interval_Fund!$C$8),"PASS","FAIL"),"FAIL")</f>
        <v>PASS</v>
      </c>
    </row>
    <row r="308" customFormat="false" ht="15" hidden="false" customHeight="false" outlineLevel="0" collapsed="false">
      <c r="B308" s="53" t="n">
        <v>299</v>
      </c>
      <c r="C308" s="9" t="s">
        <v>882</v>
      </c>
      <c r="D308" s="9" t="s">
        <v>883</v>
      </c>
      <c r="E308" s="56" t="n">
        <v>1</v>
      </c>
      <c r="F308" s="31" t="n">
        <f aca="false">Liquidity!$D$9</f>
        <v>1</v>
      </c>
      <c r="G308" s="34" t="n">
        <f aca="false">IFERROR(IF(ISNUMBER(F308),F308-E308,"n/a"),"n/a")</f>
        <v>0</v>
      </c>
      <c r="H308" s="55" t="n">
        <v>0.500000001</v>
      </c>
      <c r="I308" s="52" t="str">
        <f aca="false">IFERROR(IF(ISNUMBER(F308),IF(ABS(F308-E308)&lt;=H308,"PASS","FAIL"),"FAIL"),"FAIL")</f>
        <v>PASS</v>
      </c>
    </row>
    <row r="309" customFormat="false" ht="15" hidden="false" customHeight="false" outlineLevel="0" collapsed="false">
      <c r="B309" s="53" t="n">
        <v>300</v>
      </c>
      <c r="C309" s="9" t="s">
        <v>882</v>
      </c>
      <c r="D309" s="9" t="s">
        <v>884</v>
      </c>
      <c r="E309" s="56" t="n">
        <v>1</v>
      </c>
      <c r="F309" s="31" t="n">
        <f aca="false">Liquidity!$E$9</f>
        <v>1</v>
      </c>
      <c r="G309" s="34" t="n">
        <f aca="false">IFERROR(IF(ISNUMBER(F309),F309-E309,"n/a"),"n/a")</f>
        <v>0</v>
      </c>
      <c r="H309" s="55" t="n">
        <v>0.500000001</v>
      </c>
      <c r="I309" s="52" t="str">
        <f aca="false">IFERROR(IF(ISNUMBER(F309),IF(ABS(F309-E309)&lt;=H309,"PASS","FAIL"),"FAIL"),"FAIL")</f>
        <v>PASS</v>
      </c>
    </row>
    <row r="310" customFormat="false" ht="15" hidden="false" customHeight="false" outlineLevel="0" collapsed="false">
      <c r="B310" s="53" t="n">
        <v>301</v>
      </c>
      <c r="C310" s="9" t="s">
        <v>882</v>
      </c>
      <c r="D310" s="9" t="s">
        <v>885</v>
      </c>
      <c r="E310" s="21" t="n">
        <v>1</v>
      </c>
      <c r="F310" s="59" t="n">
        <f aca="false">Liquidity!$C$9</f>
        <v>1</v>
      </c>
      <c r="G310" s="34" t="n">
        <f aca="false">IFERROR(IF(ISNUMBER(F310),F310-E310,"n/a"),"n/a")</f>
        <v>0</v>
      </c>
      <c r="H310" s="55" t="n">
        <v>0.000500001</v>
      </c>
      <c r="I310" s="52" t="str">
        <f aca="false">IFERROR(IF(ISNUMBER(F310),IF(ABS(F310-E310)&lt;=H310,"PASS","FAIL"),"FAIL"),"FAIL")</f>
        <v>PASS</v>
      </c>
    </row>
    <row r="311" customFormat="false" ht="15" hidden="false" customHeight="false" outlineLevel="0" collapsed="false">
      <c r="B311" s="53" t="n">
        <v>302</v>
      </c>
      <c r="C311" s="9" t="s">
        <v>882</v>
      </c>
      <c r="D311" s="9" t="s">
        <v>886</v>
      </c>
      <c r="E311" s="56" t="n">
        <v>1</v>
      </c>
      <c r="F311" s="31" t="n">
        <f aca="false">Liquidity!$D$10</f>
        <v>1</v>
      </c>
      <c r="G311" s="34" t="n">
        <f aca="false">IFERROR(IF(ISNUMBER(F311),F311-E311,"n/a"),"n/a")</f>
        <v>0</v>
      </c>
      <c r="H311" s="55" t="n">
        <v>0.500000001</v>
      </c>
      <c r="I311" s="52" t="str">
        <f aca="false">IFERROR(IF(ISNUMBER(F311),IF(ABS(F311-E311)&lt;=H311,"PASS","FAIL"),"FAIL"),"FAIL")</f>
        <v>PASS</v>
      </c>
    </row>
    <row r="312" customFormat="false" ht="15" hidden="false" customHeight="false" outlineLevel="0" collapsed="false">
      <c r="B312" s="53" t="n">
        <v>303</v>
      </c>
      <c r="C312" s="9" t="s">
        <v>882</v>
      </c>
      <c r="D312" s="9" t="s">
        <v>887</v>
      </c>
      <c r="E312" s="56" t="n">
        <v>3</v>
      </c>
      <c r="F312" s="31" t="n">
        <f aca="false">Liquidity!$E$10</f>
        <v>3</v>
      </c>
      <c r="G312" s="34" t="n">
        <f aca="false">IFERROR(IF(ISNUMBER(F312),F312-E312,"n/a"),"n/a")</f>
        <v>0</v>
      </c>
      <c r="H312" s="55" t="n">
        <v>0.500000001</v>
      </c>
      <c r="I312" s="52" t="str">
        <f aca="false">IFERROR(IF(ISNUMBER(F312),IF(ABS(F312-E312)&lt;=H312,"PASS","FAIL"),"FAIL"),"FAIL")</f>
        <v>PASS</v>
      </c>
    </row>
    <row r="313" customFormat="false" ht="15" hidden="false" customHeight="false" outlineLevel="0" collapsed="false">
      <c r="B313" s="53" t="n">
        <v>304</v>
      </c>
      <c r="C313" s="9" t="s">
        <v>882</v>
      </c>
      <c r="D313" s="9" t="s">
        <v>888</v>
      </c>
      <c r="E313" s="21" t="n">
        <v>0.667</v>
      </c>
      <c r="F313" s="59" t="n">
        <f aca="false">Liquidity!$C$10</f>
        <v>0.666666666666667</v>
      </c>
      <c r="G313" s="34" t="n">
        <f aca="false">IFERROR(IF(ISNUMBER(F313),F313-E313,"n/a"),"n/a")</f>
        <v>-0.000333333333333297</v>
      </c>
      <c r="H313" s="55" t="n">
        <v>0.000500001</v>
      </c>
      <c r="I313" s="52" t="str">
        <f aca="false">IFERROR(IF(ISNUMBER(F313),IF(ABS(F313-E313)&lt;=H313,"PASS","FAIL"),"FAIL"),"FAIL")</f>
        <v>PASS</v>
      </c>
    </row>
    <row r="314" customFormat="false" ht="15" hidden="false" customHeight="false" outlineLevel="0" collapsed="false">
      <c r="B314" s="53" t="n">
        <v>305</v>
      </c>
      <c r="C314" s="9" t="s">
        <v>882</v>
      </c>
      <c r="D314" s="9" t="s">
        <v>889</v>
      </c>
      <c r="E314" s="56" t="n">
        <v>1</v>
      </c>
      <c r="F314" s="31" t="n">
        <f aca="false">Liquidity!$D$11</f>
        <v>1</v>
      </c>
      <c r="G314" s="34" t="n">
        <f aca="false">IFERROR(IF(ISNUMBER(F314),F314-E314,"n/a"),"n/a")</f>
        <v>0</v>
      </c>
      <c r="H314" s="55" t="n">
        <v>0.500000001</v>
      </c>
      <c r="I314" s="52" t="str">
        <f aca="false">IFERROR(IF(ISNUMBER(F314),IF(ABS(F314-E314)&lt;=H314,"PASS","FAIL"),"FAIL"),"FAIL")</f>
        <v>PASS</v>
      </c>
    </row>
    <row r="315" customFormat="false" ht="15" hidden="false" customHeight="false" outlineLevel="0" collapsed="false">
      <c r="B315" s="53" t="n">
        <v>306</v>
      </c>
      <c r="C315" s="9" t="s">
        <v>882</v>
      </c>
      <c r="D315" s="9" t="s">
        <v>890</v>
      </c>
      <c r="E315" s="56" t="n">
        <v>4</v>
      </c>
      <c r="F315" s="31" t="n">
        <f aca="false">Liquidity!$E$11</f>
        <v>4</v>
      </c>
      <c r="G315" s="34" t="n">
        <f aca="false">IFERROR(IF(ISNUMBER(F315),F315-E315,"n/a"),"n/a")</f>
        <v>0</v>
      </c>
      <c r="H315" s="55" t="n">
        <v>0.500000001</v>
      </c>
      <c r="I315" s="52" t="str">
        <f aca="false">IFERROR(IF(ISNUMBER(F315),IF(ABS(F315-E315)&lt;=H315,"PASS","FAIL"),"FAIL"),"FAIL")</f>
        <v>PASS</v>
      </c>
    </row>
    <row r="316" customFormat="false" ht="15" hidden="false" customHeight="false" outlineLevel="0" collapsed="false">
      <c r="B316" s="53" t="n">
        <v>307</v>
      </c>
      <c r="C316" s="9" t="s">
        <v>882</v>
      </c>
      <c r="D316" s="9" t="s">
        <v>891</v>
      </c>
      <c r="E316" s="21" t="n">
        <v>0.5</v>
      </c>
      <c r="F316" s="59" t="n">
        <f aca="false">Liquidity!$C$11</f>
        <v>0.5</v>
      </c>
      <c r="G316" s="34" t="n">
        <f aca="false">IFERROR(IF(ISNUMBER(F316),F316-E316,"n/a"),"n/a")</f>
        <v>0</v>
      </c>
      <c r="H316" s="55" t="n">
        <v>0.000500001</v>
      </c>
      <c r="I316" s="52" t="str">
        <f aca="false">IFERROR(IF(ISNUMBER(F316),IF(ABS(F316-E316)&lt;=H316,"PASS","FAIL"),"FAIL"),"FAIL")</f>
        <v>PASS</v>
      </c>
    </row>
    <row r="317" customFormat="false" ht="15" hidden="false" customHeight="false" outlineLevel="0" collapsed="false">
      <c r="B317" s="53" t="n">
        <v>308</v>
      </c>
      <c r="C317" s="9" t="s">
        <v>882</v>
      </c>
      <c r="D317" s="9" t="s">
        <v>892</v>
      </c>
      <c r="E317" s="56" t="n">
        <v>2</v>
      </c>
      <c r="F317" s="31" t="n">
        <f aca="false">Liquidity!$D$12</f>
        <v>2</v>
      </c>
      <c r="G317" s="34" t="n">
        <f aca="false">IFERROR(IF(ISNUMBER(F317),F317-E317,"n/a"),"n/a")</f>
        <v>0</v>
      </c>
      <c r="H317" s="55" t="n">
        <v>0.500000001</v>
      </c>
      <c r="I317" s="52" t="str">
        <f aca="false">IFERROR(IF(ISNUMBER(F317),IF(ABS(F317-E317)&lt;=H317,"PASS","FAIL"),"FAIL"),"FAIL")</f>
        <v>PASS</v>
      </c>
    </row>
    <row r="318" customFormat="false" ht="15" hidden="false" customHeight="false" outlineLevel="0" collapsed="false">
      <c r="B318" s="53" t="n">
        <v>309</v>
      </c>
      <c r="C318" s="9" t="s">
        <v>882</v>
      </c>
      <c r="D318" s="9" t="s">
        <v>893</v>
      </c>
      <c r="E318" s="56" t="n">
        <v>6</v>
      </c>
      <c r="F318" s="31" t="n">
        <f aca="false">Liquidity!$E$12</f>
        <v>6</v>
      </c>
      <c r="G318" s="34" t="n">
        <f aca="false">IFERROR(IF(ISNUMBER(F318),F318-E318,"n/a"),"n/a")</f>
        <v>0</v>
      </c>
      <c r="H318" s="55" t="n">
        <v>0.500000001</v>
      </c>
      <c r="I318" s="52" t="str">
        <f aca="false">IFERROR(IF(ISNUMBER(F318),IF(ABS(F318-E318)&lt;=H318,"PASS","FAIL"),"FAIL"),"FAIL")</f>
        <v>PASS</v>
      </c>
    </row>
    <row r="319" customFormat="false" ht="15" hidden="false" customHeight="false" outlineLevel="0" collapsed="false">
      <c r="B319" s="53" t="n">
        <v>310</v>
      </c>
      <c r="C319" s="9" t="s">
        <v>882</v>
      </c>
      <c r="D319" s="9" t="s">
        <v>894</v>
      </c>
      <c r="E319" s="21" t="n">
        <v>0.333</v>
      </c>
      <c r="F319" s="59" t="n">
        <f aca="false">Liquidity!$C$12</f>
        <v>0.333333333333333</v>
      </c>
      <c r="G319" s="34" t="n">
        <f aca="false">IFERROR(IF(ISNUMBER(F319),F319-E319,"n/a"),"n/a")</f>
        <v>0.000333333333333352</v>
      </c>
      <c r="H319" s="55" t="n">
        <v>0.000500001</v>
      </c>
      <c r="I319" s="52" t="str">
        <f aca="false">IFERROR(IF(ISNUMBER(F319),IF(ABS(F319-E319)&lt;=H319,"PASS","FAIL"),"FAIL"),"FAIL")</f>
        <v>PASS</v>
      </c>
    </row>
    <row r="320" customFormat="false" ht="15" hidden="false" customHeight="false" outlineLevel="0" collapsed="false">
      <c r="B320" s="53" t="n">
        <v>311</v>
      </c>
      <c r="C320" s="9" t="s">
        <v>882</v>
      </c>
      <c r="D320" s="9" t="s">
        <v>895</v>
      </c>
      <c r="E320" s="56" t="n">
        <v>3</v>
      </c>
      <c r="F320" s="31" t="n">
        <f aca="false">Liquidity!$D$13</f>
        <v>3</v>
      </c>
      <c r="G320" s="34" t="n">
        <f aca="false">IFERROR(IF(ISNUMBER(F320),F320-E320,"n/a"),"n/a")</f>
        <v>0</v>
      </c>
      <c r="H320" s="55" t="n">
        <v>0.500000001</v>
      </c>
      <c r="I320" s="52" t="str">
        <f aca="false">IFERROR(IF(ISNUMBER(F320),IF(ABS(F320-E320)&lt;=H320,"PASS","FAIL"),"FAIL"),"FAIL")</f>
        <v>PASS</v>
      </c>
    </row>
    <row r="321" customFormat="false" ht="15" hidden="false" customHeight="false" outlineLevel="0" collapsed="false">
      <c r="B321" s="53" t="n">
        <v>312</v>
      </c>
      <c r="C321" s="9" t="s">
        <v>882</v>
      </c>
      <c r="D321" s="9" t="s">
        <v>896</v>
      </c>
      <c r="E321" s="56" t="n">
        <v>9</v>
      </c>
      <c r="F321" s="31" t="n">
        <f aca="false">Liquidity!$E$13</f>
        <v>9</v>
      </c>
      <c r="G321" s="34" t="n">
        <f aca="false">IFERROR(IF(ISNUMBER(F321),F321-E321,"n/a"),"n/a")</f>
        <v>0</v>
      </c>
      <c r="H321" s="55" t="n">
        <v>0.500000001</v>
      </c>
      <c r="I321" s="52" t="str">
        <f aca="false">IFERROR(IF(ISNUMBER(F321),IF(ABS(F321-E321)&lt;=H321,"PASS","FAIL"),"FAIL"),"FAIL")</f>
        <v>PASS</v>
      </c>
    </row>
    <row r="322" customFormat="false" ht="15" hidden="false" customHeight="false" outlineLevel="0" collapsed="false">
      <c r="B322" s="53" t="n">
        <v>313</v>
      </c>
      <c r="C322" s="9" t="s">
        <v>882</v>
      </c>
      <c r="D322" s="9" t="s">
        <v>897</v>
      </c>
      <c r="E322" s="21" t="n">
        <v>0.25</v>
      </c>
      <c r="F322" s="59" t="n">
        <f aca="false">Liquidity!$C$13</f>
        <v>0.25</v>
      </c>
      <c r="G322" s="34" t="n">
        <f aca="false">IFERROR(IF(ISNUMBER(F322),F322-E322,"n/a"),"n/a")</f>
        <v>0</v>
      </c>
      <c r="H322" s="55" t="n">
        <v>0.000500001</v>
      </c>
      <c r="I322" s="52" t="str">
        <f aca="false">IFERROR(IF(ISNUMBER(F322),IF(ABS(F322-E322)&lt;=H322,"PASS","FAIL"),"FAIL"),"FAIL")</f>
        <v>PASS</v>
      </c>
    </row>
    <row r="323" customFormat="false" ht="15" hidden="false" customHeight="false" outlineLevel="0" collapsed="false">
      <c r="B323" s="53" t="n">
        <v>314</v>
      </c>
      <c r="C323" s="9" t="s">
        <v>882</v>
      </c>
      <c r="D323" s="9" t="s">
        <v>898</v>
      </c>
      <c r="E323" s="56" t="n">
        <v>4</v>
      </c>
      <c r="F323" s="31" t="n">
        <f aca="false">Liquidity!$D$14</f>
        <v>4</v>
      </c>
      <c r="G323" s="34" t="n">
        <f aca="false">IFERROR(IF(ISNUMBER(F323),F323-E323,"n/a"),"n/a")</f>
        <v>0</v>
      </c>
      <c r="H323" s="55" t="n">
        <v>0.500000001</v>
      </c>
      <c r="I323" s="52" t="str">
        <f aca="false">IFERROR(IF(ISNUMBER(F323),IF(ABS(F323-E323)&lt;=H323,"PASS","FAIL"),"FAIL"),"FAIL")</f>
        <v>PASS</v>
      </c>
    </row>
    <row r="324" customFormat="false" ht="15" hidden="false" customHeight="false" outlineLevel="0" collapsed="false">
      <c r="B324" s="53" t="n">
        <v>315</v>
      </c>
      <c r="C324" s="9" t="s">
        <v>882</v>
      </c>
      <c r="D324" s="9" t="s">
        <v>899</v>
      </c>
      <c r="E324" s="56" t="n">
        <v>11</v>
      </c>
      <c r="F324" s="31" t="n">
        <f aca="false">Liquidity!$E$14</f>
        <v>11</v>
      </c>
      <c r="G324" s="34" t="n">
        <f aca="false">IFERROR(IF(ISNUMBER(F324),F324-E324,"n/a"),"n/a")</f>
        <v>0</v>
      </c>
      <c r="H324" s="55" t="n">
        <v>0.500000001</v>
      </c>
      <c r="I324" s="52" t="str">
        <f aca="false">IFERROR(IF(ISNUMBER(F324),IF(ABS(F324-E324)&lt;=H324,"PASS","FAIL"),"FAIL"),"FAIL")</f>
        <v>PASS</v>
      </c>
    </row>
    <row r="325" customFormat="false" ht="15" hidden="false" customHeight="false" outlineLevel="0" collapsed="false">
      <c r="B325" s="53" t="n">
        <v>316</v>
      </c>
      <c r="C325" s="9" t="s">
        <v>882</v>
      </c>
      <c r="D325" s="9" t="s">
        <v>900</v>
      </c>
      <c r="E325" s="21" t="n">
        <v>0.2</v>
      </c>
      <c r="F325" s="59" t="n">
        <f aca="false">Liquidity!$C$14</f>
        <v>0.2</v>
      </c>
      <c r="G325" s="34" t="n">
        <f aca="false">IFERROR(IF(ISNUMBER(F325),F325-E325,"n/a"),"n/a")</f>
        <v>0</v>
      </c>
      <c r="H325" s="55" t="n">
        <v>0.000500001</v>
      </c>
      <c r="I325" s="52" t="str">
        <f aca="false">IFERROR(IF(ISNUMBER(F325),IF(ABS(F325-E325)&lt;=H325,"PASS","FAIL"),"FAIL"),"FAIL")</f>
        <v>PASS</v>
      </c>
    </row>
    <row r="326" customFormat="false" ht="15" hidden="false" customHeight="false" outlineLevel="0" collapsed="false">
      <c r="B326" s="53" t="n">
        <v>317</v>
      </c>
      <c r="C326" s="9" t="s">
        <v>882</v>
      </c>
      <c r="D326" s="9" t="s">
        <v>901</v>
      </c>
      <c r="E326" s="12" t="n">
        <v>0.25</v>
      </c>
      <c r="F326" s="17" t="n">
        <f aca="false">Liquidity!$C$17</f>
        <v>0.25</v>
      </c>
      <c r="G326" s="34" t="n">
        <f aca="false">IFERROR(IF(ISNUMBER(F326),F326-E326,"n/a"),"n/a")</f>
        <v>0</v>
      </c>
      <c r="H326" s="55" t="n">
        <v>0.005000001</v>
      </c>
      <c r="I326" s="52" t="str">
        <f aca="false">IFERROR(IF(ISNUMBER(F326),IF(ABS(F326-E326)&lt;=H326,"PASS","FAIL"),"FAIL"),"FAIL")</f>
        <v>PASS</v>
      </c>
    </row>
    <row r="327" customFormat="false" ht="15" hidden="false" customHeight="false" outlineLevel="0" collapsed="false">
      <c r="B327" s="53" t="n">
        <v>318</v>
      </c>
      <c r="C327" s="9" t="s">
        <v>882</v>
      </c>
      <c r="D327" s="9" t="s">
        <v>902</v>
      </c>
      <c r="E327" s="56" t="n">
        <v>4</v>
      </c>
      <c r="F327" s="31" t="n">
        <f aca="false">Liquidity!$C$18</f>
        <v>4</v>
      </c>
      <c r="G327" s="34" t="n">
        <f aca="false">IFERROR(IF(ISNUMBER(F327),F327-E327,"n/a"),"n/a")</f>
        <v>0</v>
      </c>
      <c r="H327" s="55" t="n">
        <v>0.500000001</v>
      </c>
      <c r="I327" s="52" t="str">
        <f aca="false">IFERROR(IF(ISNUMBER(F327),IF(ABS(F327-E327)&lt;=H327,"PASS","FAIL"),"FAIL"),"FAIL")</f>
        <v>PASS</v>
      </c>
    </row>
    <row r="328" customFormat="false" ht="15" hidden="false" customHeight="false" outlineLevel="0" collapsed="false">
      <c r="B328" s="53" t="n">
        <v>319</v>
      </c>
      <c r="C328" s="9" t="s">
        <v>882</v>
      </c>
      <c r="D328" s="9" t="s">
        <v>903</v>
      </c>
      <c r="E328" s="21" t="n">
        <v>0.316</v>
      </c>
      <c r="F328" s="59" t="n">
        <f aca="false">Liquidity!$C$24</f>
        <v>0.31640625</v>
      </c>
      <c r="G328" s="34" t="n">
        <f aca="false">IFERROR(IF(ISNUMBER(F328),F328-E328,"n/a"),"n/a")</f>
        <v>0.000406249999999997</v>
      </c>
      <c r="H328" s="55" t="n">
        <v>0.000500001</v>
      </c>
      <c r="I328" s="52" t="str">
        <f aca="false">IFERROR(IF(ISNUMBER(F328),IF(ABS(F328-E328)&lt;=H328,"PASS","FAIL"),"FAIL"),"FAIL")</f>
        <v>PASS</v>
      </c>
    </row>
    <row r="329" customFormat="false" ht="15" hidden="false" customHeight="false" outlineLevel="0" collapsed="false">
      <c r="B329" s="53" t="n">
        <v>320</v>
      </c>
      <c r="C329" s="9" t="s">
        <v>882</v>
      </c>
      <c r="D329" s="9" t="s">
        <v>904</v>
      </c>
      <c r="E329" s="56" t="n">
        <v>25747</v>
      </c>
      <c r="F329" s="31" t="n">
        <f aca="false">Liquidity!$C$19</f>
        <v>25746.6370037607</v>
      </c>
      <c r="G329" s="34" t="n">
        <f aca="false">IFERROR(IF(ISNUMBER(F329),F329-E329,"n/a"),"n/a")</f>
        <v>-0.362996239276981</v>
      </c>
      <c r="H329" s="55" t="n">
        <v>0.500000001</v>
      </c>
      <c r="I329" s="52" t="str">
        <f aca="false">IFERROR(IF(ISNUMBER(F329),IF(ABS(F329-E329)&lt;=H329,"PASS","FAIL"),"FAIL"),"FAIL")</f>
        <v>PASS</v>
      </c>
    </row>
    <row r="330" customFormat="false" ht="15" hidden="false" customHeight="false" outlineLevel="0" collapsed="false">
      <c r="B330" s="53" t="n">
        <v>321</v>
      </c>
      <c r="C330" s="9" t="s">
        <v>882</v>
      </c>
      <c r="D330" s="9" t="s">
        <v>905</v>
      </c>
      <c r="E330" s="56" t="n">
        <v>19205</v>
      </c>
      <c r="F330" s="31" t="n">
        <f aca="false">Liquidity!$C$20</f>
        <v>19204.6878121378</v>
      </c>
      <c r="G330" s="34" t="n">
        <f aca="false">IFERROR(IF(ISNUMBER(F330),F330-E330,"n/a"),"n/a")</f>
        <v>-0.312187862185965</v>
      </c>
      <c r="H330" s="55" t="n">
        <v>0.500000001</v>
      </c>
      <c r="I330" s="52" t="str">
        <f aca="false">IFERROR(IF(ISNUMBER(F330),IF(ABS(F330-E330)&lt;=H330,"PASS","FAIL"),"FAIL"),"FAIL")</f>
        <v>PASS</v>
      </c>
    </row>
    <row r="331" customFormat="false" ht="15" hidden="false" customHeight="false" outlineLevel="0" collapsed="false">
      <c r="B331" s="53" t="n">
        <v>322</v>
      </c>
      <c r="C331" s="9" t="s">
        <v>882</v>
      </c>
      <c r="D331" s="9" t="s">
        <v>906</v>
      </c>
      <c r="E331" s="56" t="n">
        <v>14323</v>
      </c>
      <c r="F331" s="31" t="n">
        <f aca="false">Liquidity!$C$21</f>
        <v>14323.1297655917</v>
      </c>
      <c r="G331" s="34" t="n">
        <f aca="false">IFERROR(IF(ISNUMBER(F331),F331-E331,"n/a"),"n/a")</f>
        <v>0.129765591706018</v>
      </c>
      <c r="H331" s="55" t="n">
        <v>0.500000001</v>
      </c>
      <c r="I331" s="52" t="str">
        <f aca="false">IFERROR(IF(ISNUMBER(F331),IF(ABS(F331-E331)&lt;=H331,"PASS","FAIL"),"FAIL"),"FAIL")</f>
        <v>PASS</v>
      </c>
    </row>
    <row r="332" customFormat="false" ht="15" hidden="false" customHeight="false" outlineLevel="0" collapsed="false">
      <c r="B332" s="53" t="n">
        <v>323</v>
      </c>
      <c r="C332" s="9" t="s">
        <v>882</v>
      </c>
      <c r="D332" s="9" t="s">
        <v>907</v>
      </c>
      <c r="E332" s="56" t="n">
        <v>10681</v>
      </c>
      <c r="F332" s="31" t="n">
        <f aca="false">Liquidity!$C$22</f>
        <v>10680.9746613528</v>
      </c>
      <c r="G332" s="34" t="n">
        <f aca="false">IFERROR(IF(ISNUMBER(F332),F332-E332,"n/a"),"n/a")</f>
        <v>-0.0253386471704289</v>
      </c>
      <c r="H332" s="55" t="n">
        <v>0.500000001</v>
      </c>
      <c r="I332" s="52" t="str">
        <f aca="false">IFERROR(IF(ISNUMBER(F332),IF(ABS(F332-E332)&lt;=H332,"PASS","FAIL"),"FAIL"),"FAIL")</f>
        <v>PASS</v>
      </c>
    </row>
    <row r="333" customFormat="false" ht="15" hidden="false" customHeight="false" outlineLevel="0" collapsed="false">
      <c r="B333" s="53" t="n">
        <v>324</v>
      </c>
      <c r="C333" s="9" t="s">
        <v>882</v>
      </c>
      <c r="D333" s="9" t="s">
        <v>908</v>
      </c>
      <c r="E333" s="56" t="n">
        <v>29720</v>
      </c>
      <c r="F333" s="31" t="n">
        <f aca="false">Liquidity!$C$23</f>
        <v>29719.7561571403</v>
      </c>
      <c r="G333" s="34" t="n">
        <f aca="false">IFERROR(IF(ISNUMBER(F333),F333-E333,"n/a"),"n/a")</f>
        <v>-0.243842859730648</v>
      </c>
      <c r="H333" s="55" t="n">
        <v>0.500000001</v>
      </c>
      <c r="I333" s="52" t="str">
        <f aca="false">IFERROR(IF(ISNUMBER(F333),IF(ABS(F333-E333)&lt;=H333,"PASS","FAIL"),"FAIL"),"FAIL")</f>
        <v>PASS</v>
      </c>
    </row>
    <row r="334" customFormat="false" ht="30" hidden="false" customHeight="true" outlineLevel="0" collapsed="false">
      <c r="B334" s="53" t="n">
        <v>325</v>
      </c>
      <c r="C334" s="9" t="s">
        <v>882</v>
      </c>
      <c r="D334" s="60" t="s">
        <v>909</v>
      </c>
      <c r="E334" s="48" t="s">
        <v>632</v>
      </c>
      <c r="F334" s="61" t="str">
        <f aca="false">IFERROR(IF(ABS(Interval_Fund_Paths!$Y$139)&lt;0.000000001,"holds","does not hold"),"error")</f>
        <v>holds</v>
      </c>
      <c r="G334" s="9"/>
      <c r="H334" s="9"/>
      <c r="I334" s="52" t="str">
        <f aca="false">IFERROR(IF(ABS(Interval_Fund_Paths!$Y$139)&lt;0.000000001,"PASS","FAIL"),"FAIL")</f>
        <v>PASS</v>
      </c>
    </row>
    <row r="335" customFormat="false" ht="15" hidden="false" customHeight="true" outlineLevel="0" collapsed="false">
      <c r="B335" s="53" t="n">
        <v>326</v>
      </c>
      <c r="C335" s="9" t="s">
        <v>910</v>
      </c>
      <c r="D335" s="60" t="s">
        <v>631</v>
      </c>
      <c r="E335" s="48" t="s">
        <v>632</v>
      </c>
      <c r="F335" s="61" t="str">
        <f aca="false">IFERROR(IF(SUMPRODUCT(--ISNUMBER(Fees_Tax!$H$14:$H$14))=1,"holds","does not hold"),"error")</f>
        <v>holds</v>
      </c>
      <c r="G335" s="9"/>
      <c r="H335" s="9"/>
      <c r="I335" s="52" t="str">
        <f aca="false">IFERROR(IF(SUMPRODUCT(--ISNUMBER(Fees_Tax!$H$14:$H$14))=1,"PASS","FAIL"),"FAIL")</f>
        <v>PASS</v>
      </c>
    </row>
    <row r="336" customFormat="false" ht="15" hidden="false" customHeight="false" outlineLevel="0" collapsed="false">
      <c r="B336" s="53" t="n">
        <v>327</v>
      </c>
      <c r="C336" s="9" t="s">
        <v>910</v>
      </c>
      <c r="D336" s="9" t="s">
        <v>911</v>
      </c>
      <c r="E336" s="56" t="n">
        <v>25000</v>
      </c>
      <c r="F336" s="31" t="n">
        <f aca="false">Fees_Tax!$C$20</f>
        <v>25000</v>
      </c>
      <c r="G336" s="34" t="n">
        <f aca="false">IFERROR(IF(ISNUMBER(F336),F336-E336,"n/a"),"n/a")</f>
        <v>0</v>
      </c>
      <c r="H336" s="55" t="n">
        <v>0.500000001</v>
      </c>
      <c r="I336" s="52" t="str">
        <f aca="false">IFERROR(IF(ISNUMBER(F336),IF(ABS(F336-E336)&lt;=H336,"PASS","FAIL"),"FAIL"),"FAIL")</f>
        <v>PASS</v>
      </c>
    </row>
    <row r="337" customFormat="false" ht="15" hidden="false" customHeight="false" outlineLevel="0" collapsed="false">
      <c r="B337" s="53" t="n">
        <v>328</v>
      </c>
      <c r="C337" s="9" t="s">
        <v>910</v>
      </c>
      <c r="D337" s="9" t="s">
        <v>912</v>
      </c>
      <c r="E337" s="10" t="n">
        <v>0.048</v>
      </c>
      <c r="F337" s="54" t="n">
        <f aca="false">Fees_Tax!$D$20</f>
        <v>0.048</v>
      </c>
      <c r="G337" s="34" t="n">
        <f aca="false">IFERROR(IF(ISNUMBER(F337),F337-E337,"n/a"),"n/a")</f>
        <v>0</v>
      </c>
      <c r="H337" s="55" t="n">
        <v>5.0001E-005</v>
      </c>
      <c r="I337" s="52" t="str">
        <f aca="false">IFERROR(IF(ISNUMBER(F337),IF(ABS(F337-E337)&lt;=H337,"PASS","FAIL"),"FAIL"),"FAIL")</f>
        <v>PASS</v>
      </c>
    </row>
    <row r="338" customFormat="false" ht="15" hidden="false" customHeight="false" outlineLevel="0" collapsed="false">
      <c r="B338" s="53" t="n">
        <v>329</v>
      </c>
      <c r="C338" s="9" t="s">
        <v>910</v>
      </c>
      <c r="D338" s="9" t="s">
        <v>913</v>
      </c>
      <c r="E338" s="56" t="n">
        <v>25000</v>
      </c>
      <c r="F338" s="31" t="n">
        <f aca="false">Fees_Tax!$C$21</f>
        <v>25000</v>
      </c>
      <c r="G338" s="34" t="n">
        <f aca="false">IFERROR(IF(ISNUMBER(F338),F338-E338,"n/a"),"n/a")</f>
        <v>0</v>
      </c>
      <c r="H338" s="55" t="n">
        <v>0.500000001</v>
      </c>
      <c r="I338" s="52" t="str">
        <f aca="false">IFERROR(IF(ISNUMBER(F338),IF(ABS(F338-E338)&lt;=H338,"PASS","FAIL"),"FAIL"),"FAIL")</f>
        <v>PASS</v>
      </c>
    </row>
    <row r="339" customFormat="false" ht="15" hidden="false" customHeight="false" outlineLevel="0" collapsed="false">
      <c r="B339" s="53" t="n">
        <v>330</v>
      </c>
      <c r="C339" s="9" t="s">
        <v>910</v>
      </c>
      <c r="D339" s="9" t="s">
        <v>914</v>
      </c>
      <c r="E339" s="10" t="n">
        <v>0.0495</v>
      </c>
      <c r="F339" s="54" t="n">
        <f aca="false">Fees_Tax!$D$21</f>
        <v>0.0495</v>
      </c>
      <c r="G339" s="34" t="n">
        <f aca="false">IFERROR(IF(ISNUMBER(F339),F339-E339,"n/a"),"n/a")</f>
        <v>0</v>
      </c>
      <c r="H339" s="55" t="n">
        <v>5.0001E-005</v>
      </c>
      <c r="I339" s="52" t="str">
        <f aca="false">IFERROR(IF(ISNUMBER(F339),IF(ABS(F339-E339)&lt;=H339,"PASS","FAIL"),"FAIL"),"FAIL")</f>
        <v>PASS</v>
      </c>
    </row>
    <row r="340" customFormat="false" ht="15" hidden="false" customHeight="false" outlineLevel="0" collapsed="false">
      <c r="B340" s="53" t="n">
        <v>331</v>
      </c>
      <c r="C340" s="9" t="s">
        <v>910</v>
      </c>
      <c r="D340" s="9" t="s">
        <v>915</v>
      </c>
      <c r="E340" s="56" t="n">
        <v>25000</v>
      </c>
      <c r="F340" s="31" t="n">
        <f aca="false">Fees_Tax!$C$22</f>
        <v>25000</v>
      </c>
      <c r="G340" s="34" t="n">
        <f aca="false">IFERROR(IF(ISNUMBER(F340),F340-E340,"n/a"),"n/a")</f>
        <v>0</v>
      </c>
      <c r="H340" s="55" t="n">
        <v>0.500000001</v>
      </c>
      <c r="I340" s="52" t="str">
        <f aca="false">IFERROR(IF(ISNUMBER(F340),IF(ABS(F340-E340)&lt;=H340,"PASS","FAIL"),"FAIL"),"FAIL")</f>
        <v>PASS</v>
      </c>
    </row>
    <row r="341" customFormat="false" ht="15" hidden="false" customHeight="false" outlineLevel="0" collapsed="false">
      <c r="B341" s="53" t="n">
        <v>332</v>
      </c>
      <c r="C341" s="9" t="s">
        <v>910</v>
      </c>
      <c r="D341" s="9" t="s">
        <v>916</v>
      </c>
      <c r="E341" s="10" t="n">
        <v>0.0515</v>
      </c>
      <c r="F341" s="54" t="n">
        <f aca="false">Fees_Tax!$D$22</f>
        <v>0.0515</v>
      </c>
      <c r="G341" s="34" t="n">
        <f aca="false">IFERROR(IF(ISNUMBER(F341),F341-E341,"n/a"),"n/a")</f>
        <v>0</v>
      </c>
      <c r="H341" s="55" t="n">
        <v>5.0001E-005</v>
      </c>
      <c r="I341" s="52" t="str">
        <f aca="false">IFERROR(IF(ISNUMBER(F341),IF(ABS(F341-E341)&lt;=H341,"PASS","FAIL"),"FAIL"),"FAIL")</f>
        <v>PASS</v>
      </c>
    </row>
    <row r="342" customFormat="false" ht="15" hidden="false" customHeight="false" outlineLevel="0" collapsed="false">
      <c r="B342" s="53" t="n">
        <v>333</v>
      </c>
      <c r="C342" s="9" t="s">
        <v>910</v>
      </c>
      <c r="D342" s="9" t="s">
        <v>917</v>
      </c>
      <c r="E342" s="56" t="n">
        <v>25000</v>
      </c>
      <c r="F342" s="31" t="n">
        <f aca="false">Fees_Tax!$C$23</f>
        <v>25000</v>
      </c>
      <c r="G342" s="34" t="n">
        <f aca="false">IFERROR(IF(ISNUMBER(F342),F342-E342,"n/a"),"n/a")</f>
        <v>0</v>
      </c>
      <c r="H342" s="55" t="n">
        <v>0.500000001</v>
      </c>
      <c r="I342" s="52" t="str">
        <f aca="false">IFERROR(IF(ISNUMBER(F342),IF(ABS(F342-E342)&lt;=H342,"PASS","FAIL"),"FAIL"),"FAIL")</f>
        <v>PASS</v>
      </c>
    </row>
    <row r="343" customFormat="false" ht="15" hidden="false" customHeight="false" outlineLevel="0" collapsed="false">
      <c r="B343" s="53" t="n">
        <v>334</v>
      </c>
      <c r="C343" s="9" t="s">
        <v>910</v>
      </c>
      <c r="D343" s="9" t="s">
        <v>918</v>
      </c>
      <c r="E343" s="10" t="n">
        <v>0.053</v>
      </c>
      <c r="F343" s="54" t="n">
        <f aca="false">Fees_Tax!$D$23</f>
        <v>0.053</v>
      </c>
      <c r="G343" s="34" t="n">
        <f aca="false">IFERROR(IF(ISNUMBER(F343),F343-E343,"n/a"),"n/a")</f>
        <v>0</v>
      </c>
      <c r="H343" s="55" t="n">
        <v>5.0001E-005</v>
      </c>
      <c r="I343" s="52" t="str">
        <f aca="false">IFERROR(IF(ISNUMBER(F343),IF(ABS(F343-E343)&lt;=H343,"PASS","FAIL"),"FAIL"),"FAIL")</f>
        <v>PASS</v>
      </c>
    </row>
    <row r="344" customFormat="false" ht="15" hidden="false" customHeight="false" outlineLevel="0" collapsed="false">
      <c r="B344" s="53" t="n">
        <v>335</v>
      </c>
      <c r="C344" s="9" t="s">
        <v>910</v>
      </c>
      <c r="D344" s="9" t="s">
        <v>919</v>
      </c>
      <c r="E344" s="56" t="n">
        <v>25000</v>
      </c>
      <c r="F344" s="31" t="n">
        <f aca="false">Fees_Tax!$C$24</f>
        <v>25000</v>
      </c>
      <c r="G344" s="34" t="n">
        <f aca="false">IFERROR(IF(ISNUMBER(F344),F344-E344,"n/a"),"n/a")</f>
        <v>0</v>
      </c>
      <c r="H344" s="55" t="n">
        <v>0.500000001</v>
      </c>
      <c r="I344" s="52" t="str">
        <f aca="false">IFERROR(IF(ISNUMBER(F344),IF(ABS(F344-E344)&lt;=H344,"PASS","FAIL"),"FAIL"),"FAIL")</f>
        <v>PASS</v>
      </c>
    </row>
    <row r="345" customFormat="false" ht="15" hidden="false" customHeight="false" outlineLevel="0" collapsed="false">
      <c r="B345" s="53" t="n">
        <v>336</v>
      </c>
      <c r="C345" s="9" t="s">
        <v>910</v>
      </c>
      <c r="D345" s="9" t="s">
        <v>920</v>
      </c>
      <c r="E345" s="10" t="n">
        <v>0.0545</v>
      </c>
      <c r="F345" s="54" t="n">
        <f aca="false">Fees_Tax!$D$24</f>
        <v>0.0545</v>
      </c>
      <c r="G345" s="34" t="n">
        <f aca="false">IFERROR(IF(ISNUMBER(F345),F345-E345,"n/a"),"n/a")</f>
        <v>0</v>
      </c>
      <c r="H345" s="55" t="n">
        <v>5.0001E-005</v>
      </c>
      <c r="I345" s="52" t="str">
        <f aca="false">IFERROR(IF(ISNUMBER(F345),IF(ABS(F345-E345)&lt;=H345,"PASS","FAIL"),"FAIL"),"FAIL")</f>
        <v>PASS</v>
      </c>
    </row>
    <row r="346" customFormat="false" ht="15" hidden="false" customHeight="false" outlineLevel="0" collapsed="false">
      <c r="B346" s="53" t="n">
        <v>337</v>
      </c>
      <c r="C346" s="9" t="s">
        <v>910</v>
      </c>
      <c r="D346" s="9" t="s">
        <v>921</v>
      </c>
      <c r="E346" s="56" t="n">
        <v>12375</v>
      </c>
      <c r="F346" s="31" t="n">
        <f aca="false">Fees_Tax!$C$25</f>
        <v>12375</v>
      </c>
      <c r="G346" s="34" t="n">
        <f aca="false">IFERROR(IF(ISNUMBER(F346),F346-E346,"n/a"),"n/a")</f>
        <v>0</v>
      </c>
      <c r="H346" s="55" t="n">
        <v>0.500000001</v>
      </c>
      <c r="I346" s="52" t="str">
        <f aca="false">IFERROR(IF(ISNUMBER(F346),IF(ABS(F346-E346)&lt;=H346,"PASS","FAIL"),"FAIL"),"FAIL")</f>
        <v>PASS</v>
      </c>
    </row>
    <row r="347" customFormat="false" ht="15" hidden="false" customHeight="false" outlineLevel="0" collapsed="false">
      <c r="B347" s="53" t="n">
        <v>338</v>
      </c>
      <c r="C347" s="9" t="s">
        <v>910</v>
      </c>
      <c r="D347" s="9" t="s">
        <v>922</v>
      </c>
      <c r="E347" s="10" t="n">
        <v>0.0699</v>
      </c>
      <c r="F347" s="54" t="n">
        <f aca="false">Fees_Tax!$D$25</f>
        <v>0.0699042470751673</v>
      </c>
      <c r="G347" s="34" t="n">
        <f aca="false">IFERROR(IF(ISNUMBER(F347),F347-E347,"n/a"),"n/a")</f>
        <v>4.2470751672602E-006</v>
      </c>
      <c r="H347" s="55" t="n">
        <v>5.0001E-005</v>
      </c>
      <c r="I347" s="52" t="str">
        <f aca="false">IFERROR(IF(ISNUMBER(F347),IF(ABS(F347-E347)&lt;=H347,"PASS","FAIL"),"FAIL"),"FAIL")</f>
        <v>PASS</v>
      </c>
    </row>
    <row r="348" customFormat="false" ht="15" hidden="false" customHeight="false" outlineLevel="0" collapsed="false">
      <c r="B348" s="53" t="n">
        <v>339</v>
      </c>
      <c r="C348" s="9" t="s">
        <v>910</v>
      </c>
      <c r="D348" s="9" t="s">
        <v>923</v>
      </c>
      <c r="E348" s="56" t="n">
        <v>12313</v>
      </c>
      <c r="F348" s="31" t="n">
        <f aca="false">Fees_Tax!$C$26</f>
        <v>12312.5</v>
      </c>
      <c r="G348" s="34" t="n">
        <f aca="false">IFERROR(IF(ISNUMBER(F348),F348-E348,"n/a"),"n/a")</f>
        <v>-0.5</v>
      </c>
      <c r="H348" s="55" t="n">
        <v>0.500000001</v>
      </c>
      <c r="I348" s="52" t="str">
        <f aca="false">IFERROR(IF(ISNUMBER(F348),IF(ABS(F348-E348)&lt;=H348,"PASS","FAIL"),"FAIL"),"FAIL")</f>
        <v>PASS</v>
      </c>
    </row>
    <row r="349" customFormat="false" ht="15" hidden="false" customHeight="false" outlineLevel="0" collapsed="false">
      <c r="B349" s="53" t="n">
        <v>340</v>
      </c>
      <c r="C349" s="9" t="s">
        <v>910</v>
      </c>
      <c r="D349" s="9" t="s">
        <v>924</v>
      </c>
      <c r="E349" s="10" t="n">
        <v>0.0736</v>
      </c>
      <c r="F349" s="54" t="n">
        <f aca="false">Fees_Tax!$D$26</f>
        <v>0.0736404123832243</v>
      </c>
      <c r="G349" s="34" t="n">
        <f aca="false">IFERROR(IF(ISNUMBER(F349),F349-E349,"n/a"),"n/a")</f>
        <v>4.04123832242614E-005</v>
      </c>
      <c r="H349" s="55" t="n">
        <v>5.0001E-005</v>
      </c>
      <c r="I349" s="52" t="str">
        <f aca="false">IFERROR(IF(ISNUMBER(F349),IF(ABS(F349-E349)&lt;=H349,"PASS","FAIL"),"FAIL"),"FAIL")</f>
        <v>PASS</v>
      </c>
    </row>
    <row r="350" customFormat="false" ht="15" hidden="false" customHeight="false" outlineLevel="0" collapsed="false">
      <c r="B350" s="53" t="n">
        <v>341</v>
      </c>
      <c r="C350" s="9" t="s">
        <v>910</v>
      </c>
      <c r="D350" s="9" t="s">
        <v>925</v>
      </c>
      <c r="E350" s="56" t="n">
        <v>12250</v>
      </c>
      <c r="F350" s="31" t="n">
        <f aca="false">Fees_Tax!$C$27</f>
        <v>12250</v>
      </c>
      <c r="G350" s="34" t="n">
        <f aca="false">IFERROR(IF(ISNUMBER(F350),F350-E350,"n/a"),"n/a")</f>
        <v>0</v>
      </c>
      <c r="H350" s="55" t="n">
        <v>0.500000001</v>
      </c>
      <c r="I350" s="52" t="str">
        <f aca="false">IFERROR(IF(ISNUMBER(F350),IF(ABS(F350-E350)&lt;=H350,"PASS","FAIL"),"FAIL"),"FAIL")</f>
        <v>PASS</v>
      </c>
    </row>
    <row r="351" customFormat="false" ht="15" hidden="false" customHeight="false" outlineLevel="0" collapsed="false">
      <c r="B351" s="53" t="n">
        <v>342</v>
      </c>
      <c r="C351" s="9" t="s">
        <v>910</v>
      </c>
      <c r="D351" s="9" t="s">
        <v>926</v>
      </c>
      <c r="E351" s="10" t="n">
        <v>0.0774</v>
      </c>
      <c r="F351" s="54" t="n">
        <f aca="false">Fees_Tax!$D$27</f>
        <v>0.0773997713205988</v>
      </c>
      <c r="G351" s="34" t="n">
        <f aca="false">IFERROR(IF(ISNUMBER(F351),F351-E351,"n/a"),"n/a")</f>
        <v>-2.28679401206855E-007</v>
      </c>
      <c r="H351" s="55" t="n">
        <v>5.0001E-005</v>
      </c>
      <c r="I351" s="52" t="str">
        <f aca="false">IFERROR(IF(ISNUMBER(F351),IF(ABS(F351-E351)&lt;=H351,"PASS","FAIL"),"FAIL"),"FAIL")</f>
        <v>PASS</v>
      </c>
    </row>
    <row r="352" customFormat="false" ht="15" hidden="false" customHeight="false" outlineLevel="0" collapsed="false">
      <c r="B352" s="53" t="n">
        <v>343</v>
      </c>
      <c r="C352" s="9" t="s">
        <v>910</v>
      </c>
      <c r="D352" s="9" t="s">
        <v>927</v>
      </c>
      <c r="E352" s="56" t="n">
        <v>12188</v>
      </c>
      <c r="F352" s="31" t="n">
        <f aca="false">Fees_Tax!$C$28</f>
        <v>12187.5</v>
      </c>
      <c r="G352" s="34" t="n">
        <f aca="false">IFERROR(IF(ISNUMBER(F352),F352-E352,"n/a"),"n/a")</f>
        <v>-0.5</v>
      </c>
      <c r="H352" s="55" t="n">
        <v>0.500000001</v>
      </c>
      <c r="I352" s="52" t="str">
        <f aca="false">IFERROR(IF(ISNUMBER(F352),IF(ABS(F352-E352)&lt;=H352,"PASS","FAIL"),"FAIL"),"FAIL")</f>
        <v>PASS</v>
      </c>
    </row>
    <row r="353" customFormat="false" ht="15" hidden="false" customHeight="false" outlineLevel="0" collapsed="false">
      <c r="B353" s="53" t="n">
        <v>344</v>
      </c>
      <c r="C353" s="9" t="s">
        <v>910</v>
      </c>
      <c r="D353" s="9" t="s">
        <v>928</v>
      </c>
      <c r="E353" s="10" t="n">
        <v>0.0812</v>
      </c>
      <c r="F353" s="54" t="n">
        <f aca="false">Fees_Tax!$D$28</f>
        <v>0.0811827080590467</v>
      </c>
      <c r="G353" s="34" t="n">
        <f aca="false">IFERROR(IF(ISNUMBER(F353),F353-E353,"n/a"),"n/a")</f>
        <v>-1.72919409533456E-005</v>
      </c>
      <c r="H353" s="55" t="n">
        <v>5.0001E-005</v>
      </c>
      <c r="I353" s="52" t="str">
        <f aca="false">IFERROR(IF(ISNUMBER(F353),IF(ABS(F353-E353)&lt;=H353,"PASS","FAIL"),"FAIL"),"FAIL")</f>
        <v>PASS</v>
      </c>
    </row>
    <row r="354" customFormat="false" ht="15" hidden="false" customHeight="false" outlineLevel="0" collapsed="false">
      <c r="B354" s="53" t="n">
        <v>345</v>
      </c>
      <c r="C354" s="9" t="s">
        <v>910</v>
      </c>
      <c r="D354" s="9" t="s">
        <v>929</v>
      </c>
      <c r="E354" s="56" t="n">
        <v>12125</v>
      </c>
      <c r="F354" s="31" t="n">
        <f aca="false">Fees_Tax!$C$29</f>
        <v>12125</v>
      </c>
      <c r="G354" s="34" t="n">
        <f aca="false">IFERROR(IF(ISNUMBER(F354),F354-E354,"n/a"),"n/a")</f>
        <v>0</v>
      </c>
      <c r="H354" s="55" t="n">
        <v>0.500000001</v>
      </c>
      <c r="I354" s="52" t="str">
        <f aca="false">IFERROR(IF(ISNUMBER(F354),IF(ABS(F354-E354)&lt;=H354,"PASS","FAIL"),"FAIL"),"FAIL")</f>
        <v>PASS</v>
      </c>
    </row>
    <row r="355" customFormat="false" ht="15" hidden="false" customHeight="false" outlineLevel="0" collapsed="false">
      <c r="B355" s="53" t="n">
        <v>346</v>
      </c>
      <c r="C355" s="9" t="s">
        <v>910</v>
      </c>
      <c r="D355" s="9" t="s">
        <v>930</v>
      </c>
      <c r="E355" s="10" t="n">
        <v>0.0875</v>
      </c>
      <c r="F355" s="54" t="n">
        <f aca="false">Fees_Tax!$D$29</f>
        <v>0.0875368825411204</v>
      </c>
      <c r="G355" s="34" t="n">
        <f aca="false">IFERROR(IF(ISNUMBER(F355),F355-E355,"n/a"),"n/a")</f>
        <v>3.68825411204421E-005</v>
      </c>
      <c r="H355" s="55" t="n">
        <v>5.0001E-005</v>
      </c>
      <c r="I355" s="52" t="str">
        <f aca="false">IFERROR(IF(ISNUMBER(F355),IF(ABS(F355-E355)&lt;=H355,"PASS","FAIL"),"FAIL"),"FAIL")</f>
        <v>PASS</v>
      </c>
    </row>
    <row r="356" customFormat="false" ht="15" hidden="false" customHeight="false" outlineLevel="0" collapsed="false">
      <c r="B356" s="53" t="n">
        <v>347</v>
      </c>
      <c r="C356" s="9" t="s">
        <v>910</v>
      </c>
      <c r="D356" s="9" t="s">
        <v>931</v>
      </c>
      <c r="E356" s="56" t="n">
        <v>11750</v>
      </c>
      <c r="F356" s="31" t="n">
        <f aca="false">Fees_Tax!$C$30</f>
        <v>11750</v>
      </c>
      <c r="G356" s="34" t="n">
        <f aca="false">IFERROR(IF(ISNUMBER(F356),F356-E356,"n/a"),"n/a")</f>
        <v>0</v>
      </c>
      <c r="H356" s="55" t="n">
        <v>0.500000001</v>
      </c>
      <c r="I356" s="52" t="str">
        <f aca="false">IFERROR(IF(ISNUMBER(F356),IF(ABS(F356-E356)&lt;=H356,"PASS","FAIL"),"FAIL"),"FAIL")</f>
        <v>PASS</v>
      </c>
    </row>
    <row r="357" customFormat="false" ht="15" hidden="false" customHeight="false" outlineLevel="0" collapsed="false">
      <c r="B357" s="53" t="n">
        <v>348</v>
      </c>
      <c r="C357" s="9" t="s">
        <v>910</v>
      </c>
      <c r="D357" s="9" t="s">
        <v>932</v>
      </c>
      <c r="E357" s="10" t="n">
        <v>0.1006</v>
      </c>
      <c r="F357" s="54" t="n">
        <f aca="false">Fees_Tax!$D$30</f>
        <v>0.100561753609911</v>
      </c>
      <c r="G357" s="34" t="n">
        <f aca="false">IFERROR(IF(ISNUMBER(F357),F357-E357,"n/a"),"n/a")</f>
        <v>-3.8246390089175E-005</v>
      </c>
      <c r="H357" s="55" t="n">
        <v>5.0001E-005</v>
      </c>
      <c r="I357" s="52" t="str">
        <f aca="false">IFERROR(IF(ISNUMBER(F357),IF(ABS(F357-E357)&lt;=H357,"PASS","FAIL"),"FAIL"),"FAIL")</f>
        <v>PASS</v>
      </c>
    </row>
    <row r="358" customFormat="false" ht="15" hidden="false" customHeight="false" outlineLevel="0" collapsed="false">
      <c r="B358" s="53" t="n">
        <v>349</v>
      </c>
      <c r="C358" s="9" t="s">
        <v>910</v>
      </c>
      <c r="D358" s="9" t="s">
        <v>933</v>
      </c>
      <c r="E358" s="56" t="n">
        <v>75000</v>
      </c>
      <c r="F358" s="31" t="n">
        <f aca="false">Fees_Tax!$C$31</f>
        <v>75000</v>
      </c>
      <c r="G358" s="34" t="n">
        <f aca="false">IFERROR(IF(ISNUMBER(F358),F358-E358,"n/a"),"n/a")</f>
        <v>0</v>
      </c>
      <c r="H358" s="55" t="n">
        <v>0.500000001</v>
      </c>
      <c r="I358" s="52" t="str">
        <f aca="false">IFERROR(IF(ISNUMBER(F358),IF(ABS(F358-E358)&lt;=H358,"PASS","FAIL"),"FAIL"),"FAIL")</f>
        <v>PASS</v>
      </c>
    </row>
    <row r="359" customFormat="false" ht="15" hidden="false" customHeight="false" outlineLevel="0" collapsed="false">
      <c r="B359" s="53" t="n">
        <v>350</v>
      </c>
      <c r="C359" s="9" t="s">
        <v>910</v>
      </c>
      <c r="D359" s="9" t="s">
        <v>934</v>
      </c>
      <c r="E359" s="10" t="n">
        <v>0.0665</v>
      </c>
      <c r="F359" s="54" t="n">
        <f aca="false">Fees_Tax!$D$31</f>
        <v>0.0665</v>
      </c>
      <c r="G359" s="34" t="n">
        <f aca="false">IFERROR(IF(ISNUMBER(F359),F359-E359,"n/a"),"n/a")</f>
        <v>0</v>
      </c>
      <c r="H359" s="55" t="n">
        <v>5.0001E-005</v>
      </c>
      <c r="I359" s="52" t="str">
        <f aca="false">IFERROR(IF(ISNUMBER(F359),IF(ABS(F359-E359)&lt;=H359,"PASS","FAIL"),"FAIL"),"FAIL")</f>
        <v>PASS</v>
      </c>
    </row>
    <row r="360" customFormat="false" ht="15" hidden="false" customHeight="false" outlineLevel="0" collapsed="false">
      <c r="B360" s="53" t="n">
        <v>351</v>
      </c>
      <c r="C360" s="9" t="s">
        <v>910</v>
      </c>
      <c r="D360" s="9" t="s">
        <v>935</v>
      </c>
      <c r="E360" s="56" t="n">
        <v>25000</v>
      </c>
      <c r="F360" s="31" t="n">
        <f aca="false">Fees_Tax!$C$32</f>
        <v>25000</v>
      </c>
      <c r="G360" s="34" t="n">
        <f aca="false">IFERROR(IF(ISNUMBER(F360),F360-E360,"n/a"),"n/a")</f>
        <v>0</v>
      </c>
      <c r="H360" s="55" t="n">
        <v>0.500000001</v>
      </c>
      <c r="I360" s="52" t="str">
        <f aca="false">IFERROR(IF(ISNUMBER(F360),IF(ABS(F360-E360)&lt;=H360,"PASS","FAIL"),"FAIL"),"FAIL")</f>
        <v>PASS</v>
      </c>
    </row>
    <row r="361" customFormat="false" ht="15" hidden="false" customHeight="false" outlineLevel="0" collapsed="false">
      <c r="B361" s="53" t="n">
        <v>352</v>
      </c>
      <c r="C361" s="9" t="s">
        <v>910</v>
      </c>
      <c r="D361" s="9" t="s">
        <v>936</v>
      </c>
      <c r="E361" s="10" t="n">
        <v>0.1011</v>
      </c>
      <c r="F361" s="54" t="n">
        <f aca="false">Fees_Tax!$D$32</f>
        <v>0.101052631578947</v>
      </c>
      <c r="G361" s="34" t="n">
        <f aca="false">IFERROR(IF(ISNUMBER(F361),F361-E361,"n/a"),"n/a")</f>
        <v>-4.73684210526293E-005</v>
      </c>
      <c r="H361" s="55" t="n">
        <v>5.0001E-005</v>
      </c>
      <c r="I361" s="52" t="str">
        <f aca="false">IFERROR(IF(ISNUMBER(F361),IF(ABS(F361-E361)&lt;=H361,"PASS","FAIL"),"FAIL"),"FAIL")</f>
        <v>PASS</v>
      </c>
    </row>
    <row r="362" customFormat="false" ht="15" hidden="false" customHeight="false" outlineLevel="0" collapsed="false">
      <c r="B362" s="53" t="n">
        <v>353</v>
      </c>
      <c r="C362" s="9" t="s">
        <v>910</v>
      </c>
      <c r="D362" s="9" t="s">
        <v>937</v>
      </c>
      <c r="E362" s="56" t="n">
        <v>25000</v>
      </c>
      <c r="F362" s="31" t="n">
        <f aca="false">Fees_Tax!$C$33</f>
        <v>25000</v>
      </c>
      <c r="G362" s="34" t="n">
        <f aca="false">IFERROR(IF(ISNUMBER(F362),F362-E362,"n/a"),"n/a")</f>
        <v>0</v>
      </c>
      <c r="H362" s="55" t="n">
        <v>0.500000001</v>
      </c>
      <c r="I362" s="52" t="str">
        <f aca="false">IFERROR(IF(ISNUMBER(F362),IF(ABS(F362-E362)&lt;=H362,"PASS","FAIL"),"FAIL"),"FAIL")</f>
        <v>PASS</v>
      </c>
    </row>
    <row r="363" customFormat="false" ht="15" hidden="false" customHeight="false" outlineLevel="0" collapsed="false">
      <c r="B363" s="53" t="n">
        <v>354</v>
      </c>
      <c r="C363" s="9" t="s">
        <v>910</v>
      </c>
      <c r="D363" s="9" t="s">
        <v>938</v>
      </c>
      <c r="E363" s="10" t="n">
        <v>0.1067</v>
      </c>
      <c r="F363" s="54" t="n">
        <f aca="false">Fees_Tax!$D$33</f>
        <v>0.106666666666667</v>
      </c>
      <c r="G363" s="34" t="n">
        <f aca="false">IFERROR(IF(ISNUMBER(F363),F363-E363,"n/a"),"n/a")</f>
        <v>-3.33333333333297E-005</v>
      </c>
      <c r="H363" s="55" t="n">
        <v>5.0001E-005</v>
      </c>
      <c r="I363" s="52" t="str">
        <f aca="false">IFERROR(IF(ISNUMBER(F363),IF(ABS(F363-E363)&lt;=H363,"PASS","FAIL"),"FAIL"),"FAIL")</f>
        <v>PASS</v>
      </c>
    </row>
    <row r="364" customFormat="false" ht="15" hidden="false" customHeight="false" outlineLevel="0" collapsed="false">
      <c r="B364" s="53" t="n">
        <v>355</v>
      </c>
      <c r="C364" s="9" t="s">
        <v>910</v>
      </c>
      <c r="D364" s="9" t="s">
        <v>939</v>
      </c>
      <c r="E364" s="56" t="n">
        <v>25000</v>
      </c>
      <c r="F364" s="31" t="n">
        <f aca="false">Fees_Tax!$C$34</f>
        <v>25000</v>
      </c>
      <c r="G364" s="34" t="n">
        <f aca="false">IFERROR(IF(ISNUMBER(F364),F364-E364,"n/a"),"n/a")</f>
        <v>0</v>
      </c>
      <c r="H364" s="55" t="n">
        <v>0.500000001</v>
      </c>
      <c r="I364" s="52" t="str">
        <f aca="false">IFERROR(IF(ISNUMBER(F364),IF(ABS(F364-E364)&lt;=H364,"PASS","FAIL"),"FAIL"),"FAIL")</f>
        <v>PASS</v>
      </c>
    </row>
    <row r="365" customFormat="false" ht="15" hidden="false" customHeight="false" outlineLevel="0" collapsed="false">
      <c r="B365" s="53" t="n">
        <v>356</v>
      </c>
      <c r="C365" s="9" t="s">
        <v>910</v>
      </c>
      <c r="D365" s="9" t="s">
        <v>940</v>
      </c>
      <c r="E365" s="10" t="n">
        <v>0.1467</v>
      </c>
      <c r="F365" s="54" t="n">
        <f aca="false">Fees_Tax!$D$34</f>
        <v>0.146666666666667</v>
      </c>
      <c r="G365" s="34" t="n">
        <f aca="false">IFERROR(IF(ISNUMBER(F365),F365-E365,"n/a"),"n/a")</f>
        <v>-3.33333333333297E-005</v>
      </c>
      <c r="H365" s="55" t="n">
        <v>5.0001E-005</v>
      </c>
      <c r="I365" s="52" t="str">
        <f aca="false">IFERROR(IF(ISNUMBER(F365),IF(ABS(F365-E365)&lt;=H365,"PASS","FAIL"),"FAIL"),"FAIL")</f>
        <v>PASS</v>
      </c>
    </row>
    <row r="366" customFormat="false" ht="15" hidden="false" customHeight="false" outlineLevel="0" collapsed="false">
      <c r="B366" s="53" t="n">
        <v>357</v>
      </c>
      <c r="C366" s="9" t="s">
        <v>910</v>
      </c>
      <c r="D366" s="9" t="s">
        <v>941</v>
      </c>
      <c r="E366" s="56" t="n">
        <v>100000</v>
      </c>
      <c r="F366" s="31" t="n">
        <f aca="false">Fees_Tax!$C$35</f>
        <v>100000</v>
      </c>
      <c r="G366" s="34" t="n">
        <f aca="false">IFERROR(IF(ISNUMBER(F366),F366-E366,"n/a"),"n/a")</f>
        <v>0</v>
      </c>
      <c r="H366" s="55" t="n">
        <v>0.500000001</v>
      </c>
      <c r="I366" s="52" t="str">
        <f aca="false">IFERROR(IF(ISNUMBER(F366),IF(ABS(F366-E366)&lt;=H366,"PASS","FAIL"),"FAIL"),"FAIL")</f>
        <v>PASS</v>
      </c>
    </row>
    <row r="367" customFormat="false" ht="15" hidden="false" customHeight="false" outlineLevel="0" collapsed="false">
      <c r="B367" s="53" t="n">
        <v>358</v>
      </c>
      <c r="C367" s="9" t="s">
        <v>910</v>
      </c>
      <c r="D367" s="9" t="s">
        <v>942</v>
      </c>
      <c r="E367" s="10" t="n">
        <v>0.09</v>
      </c>
      <c r="F367" s="54" t="n">
        <f aca="false">Fees_Tax!$D$35</f>
        <v>0.09</v>
      </c>
      <c r="G367" s="34" t="n">
        <f aca="false">IFERROR(IF(ISNUMBER(F367),F367-E367,"n/a"),"n/a")</f>
        <v>0</v>
      </c>
      <c r="H367" s="55" t="n">
        <v>5.0001E-005</v>
      </c>
      <c r="I367" s="52" t="str">
        <f aca="false">IFERROR(IF(ISNUMBER(F367),IF(ABS(F367-E367)&lt;=H367,"PASS","FAIL"),"FAIL"),"FAIL")</f>
        <v>PASS</v>
      </c>
    </row>
    <row r="368" customFormat="false" ht="15" hidden="false" customHeight="false" outlineLevel="0" collapsed="false">
      <c r="B368" s="53" t="n">
        <v>359</v>
      </c>
      <c r="C368" s="9" t="s">
        <v>910</v>
      </c>
      <c r="D368" s="9" t="s">
        <v>943</v>
      </c>
      <c r="E368" s="56" t="n">
        <v>52000</v>
      </c>
      <c r="F368" s="31" t="n">
        <f aca="false">Fees_Tax!$C$36</f>
        <v>52000</v>
      </c>
      <c r="G368" s="34" t="n">
        <f aca="false">IFERROR(IF(ISNUMBER(F368),F368-E368,"n/a"),"n/a")</f>
        <v>0</v>
      </c>
      <c r="H368" s="55" t="n">
        <v>0.500000001</v>
      </c>
      <c r="I368" s="52" t="str">
        <f aca="false">IFERROR(IF(ISNUMBER(F368),IF(ABS(F368-E368)&lt;=H368,"PASS","FAIL"),"FAIL"),"FAIL")</f>
        <v>PASS</v>
      </c>
    </row>
    <row r="369" customFormat="false" ht="15" hidden="false" customHeight="false" outlineLevel="0" collapsed="false">
      <c r="B369" s="53" t="n">
        <v>360</v>
      </c>
      <c r="C369" s="9" t="s">
        <v>910</v>
      </c>
      <c r="D369" s="9" t="s">
        <v>944</v>
      </c>
      <c r="E369" s="10" t="n">
        <v>0.04</v>
      </c>
      <c r="F369" s="54" t="n">
        <f aca="false">Fees_Tax!$D$36</f>
        <v>0.04</v>
      </c>
      <c r="G369" s="34" t="n">
        <f aca="false">IFERROR(IF(ISNUMBER(F369),F369-E369,"n/a"),"n/a")</f>
        <v>0</v>
      </c>
      <c r="H369" s="55" t="n">
        <v>5.0001E-005</v>
      </c>
      <c r="I369" s="52" t="str">
        <f aca="false">IFERROR(IF(ISNUMBER(F369),IF(ABS(F369-E369)&lt;=H369,"PASS","FAIL"),"FAIL"),"FAIL")</f>
        <v>PASS</v>
      </c>
    </row>
    <row r="370" customFormat="false" ht="15" hidden="false" customHeight="false" outlineLevel="0" collapsed="false">
      <c r="B370" s="53" t="n">
        <v>361</v>
      </c>
      <c r="C370" s="9" t="s">
        <v>910</v>
      </c>
      <c r="D370" s="9" t="s">
        <v>945</v>
      </c>
      <c r="E370" s="56" t="n">
        <v>100000</v>
      </c>
      <c r="F370" s="31" t="n">
        <f aca="false">Fees_Tax!$C$37</f>
        <v>100000</v>
      </c>
      <c r="G370" s="34" t="n">
        <f aca="false">IFERROR(IF(ISNUMBER(F370),F370-E370,"n/a"),"n/a")</f>
        <v>0</v>
      </c>
      <c r="H370" s="55" t="n">
        <v>0.500000001</v>
      </c>
      <c r="I370" s="52" t="str">
        <f aca="false">IFERROR(IF(ISNUMBER(F370),IF(ABS(F370-E370)&lt;=H370,"PASS","FAIL"),"FAIL"),"FAIL")</f>
        <v>PASS</v>
      </c>
    </row>
    <row r="371" customFormat="false" ht="15" hidden="false" customHeight="false" outlineLevel="0" collapsed="false">
      <c r="B371" s="53" t="n">
        <v>362</v>
      </c>
      <c r="C371" s="9" t="s">
        <v>910</v>
      </c>
      <c r="D371" s="9" t="s">
        <v>946</v>
      </c>
      <c r="E371" s="10" t="n">
        <v>0.0602</v>
      </c>
      <c r="F371" s="54" t="n">
        <f aca="false">Fees_Tax!$C$42</f>
        <v>0.0602132863026841</v>
      </c>
      <c r="G371" s="34" t="n">
        <f aca="false">IFERROR(IF(ISNUMBER(F371),F371-E371,"n/a"),"n/a")</f>
        <v>1.32863026840804E-005</v>
      </c>
      <c r="H371" s="55" t="n">
        <v>5.0001E-005</v>
      </c>
      <c r="I371" s="52" t="str">
        <f aca="false">IFERROR(IF(ISNUMBER(F371),IF(ABS(F371-E371)&lt;=H371,"PASS","FAIL"),"FAIL"),"FAIL")</f>
        <v>PASS</v>
      </c>
    </row>
    <row r="372" customFormat="false" ht="15" hidden="false" customHeight="false" outlineLevel="0" collapsed="false">
      <c r="B372" s="53" t="n">
        <v>363</v>
      </c>
      <c r="C372" s="9" t="s">
        <v>910</v>
      </c>
      <c r="D372" s="9" t="s">
        <v>947</v>
      </c>
      <c r="E372" s="10" t="n">
        <v>0.0606</v>
      </c>
      <c r="F372" s="54" t="n">
        <f aca="false">Fees_Tax!$C$43</f>
        <v>0.0606008106787772</v>
      </c>
      <c r="G372" s="34" t="n">
        <f aca="false">IFERROR(IF(ISNUMBER(F372),F372-E372,"n/a"),"n/a")</f>
        <v>8.10678777218854E-007</v>
      </c>
      <c r="H372" s="55" t="n">
        <v>5.0001E-005</v>
      </c>
      <c r="I372" s="52" t="str">
        <f aca="false">IFERROR(IF(ISNUMBER(F372),IF(ABS(F372-E372)&lt;=H372,"PASS","FAIL"),"FAIL"),"FAIL")</f>
        <v>PASS</v>
      </c>
    </row>
    <row r="373" customFormat="false" ht="15" hidden="false" customHeight="false" outlineLevel="0" collapsed="false">
      <c r="B373" s="53" t="n">
        <v>364</v>
      </c>
      <c r="C373" s="9" t="s">
        <v>910</v>
      </c>
      <c r="D373" s="9" t="s">
        <v>948</v>
      </c>
      <c r="E373" s="12" t="n">
        <v>0.35</v>
      </c>
      <c r="F373" s="17" t="n">
        <f aca="false">Fees_Tax!$C$52</f>
        <v>0.35</v>
      </c>
      <c r="G373" s="34" t="n">
        <f aca="false">IFERROR(IF(ISNUMBER(F373),F373-E373,"n/a"),"n/a")</f>
        <v>0</v>
      </c>
      <c r="H373" s="55" t="n">
        <v>0.005000001</v>
      </c>
      <c r="I373" s="52" t="str">
        <f aca="false">IFERROR(IF(ISNUMBER(F373),IF(ABS(F373-E373)&lt;=H373,"PASS","FAIL"),"FAIL"),"FAIL")</f>
        <v>PASS</v>
      </c>
    </row>
    <row r="374" customFormat="false" ht="15" hidden="false" customHeight="false" outlineLevel="0" collapsed="false">
      <c r="B374" s="53" t="n">
        <v>365</v>
      </c>
      <c r="C374" s="9" t="s">
        <v>910</v>
      </c>
      <c r="D374" s="9" t="s">
        <v>949</v>
      </c>
      <c r="E374" s="10" t="n">
        <v>0.04</v>
      </c>
      <c r="F374" s="54" t="n">
        <f aca="false">Fees_Tax!$C$53</f>
        <v>0.04</v>
      </c>
      <c r="G374" s="34" t="n">
        <f aca="false">IFERROR(IF(ISNUMBER(F374),F374-E374,"n/a"),"n/a")</f>
        <v>0</v>
      </c>
      <c r="H374" s="55" t="n">
        <v>5.0001E-005</v>
      </c>
      <c r="I374" s="52" t="str">
        <f aca="false">IFERROR(IF(ISNUMBER(F374),IF(ABS(F374-E374)&lt;=H374,"PASS","FAIL"),"FAIL"),"FAIL")</f>
        <v>PASS</v>
      </c>
    </row>
    <row r="375" customFormat="false" ht="15" hidden="false" customHeight="false" outlineLevel="0" collapsed="false">
      <c r="B375" s="53" t="n">
        <v>366</v>
      </c>
      <c r="C375" s="9" t="s">
        <v>910</v>
      </c>
      <c r="D375" s="9" t="s">
        <v>950</v>
      </c>
      <c r="E375" s="10" t="n">
        <v>0.026</v>
      </c>
      <c r="F375" s="54" t="n">
        <f aca="false">Fees_Tax!$C$54</f>
        <v>0.026</v>
      </c>
      <c r="G375" s="34" t="n">
        <f aca="false">IFERROR(IF(ISNUMBER(F375),F375-E375,"n/a"),"n/a")</f>
        <v>0</v>
      </c>
      <c r="H375" s="55" t="n">
        <v>5.0001E-005</v>
      </c>
      <c r="I375" s="52" t="str">
        <f aca="false">IFERROR(IF(ISNUMBER(F375),IF(ABS(F375-E375)&lt;=H375,"PASS","FAIL"),"FAIL"),"FAIL")</f>
        <v>PASS</v>
      </c>
    </row>
    <row r="376" customFormat="false" ht="15" hidden="false" customHeight="false" outlineLevel="0" collapsed="false">
      <c r="B376" s="53" t="n">
        <v>367</v>
      </c>
      <c r="C376" s="9" t="s">
        <v>910</v>
      </c>
      <c r="D376" s="9" t="s">
        <v>951</v>
      </c>
      <c r="E376" s="10" t="n">
        <v>0.0485</v>
      </c>
      <c r="F376" s="54" t="n">
        <f aca="false">Fees_Tax!$C$55</f>
        <v>0.0484795460717167</v>
      </c>
      <c r="G376" s="34" t="n">
        <f aca="false">IFERROR(IF(ISNUMBER(F376),F376-E376,"n/a"),"n/a")</f>
        <v>-2.04539282832733E-005</v>
      </c>
      <c r="H376" s="55" t="n">
        <v>5.0001E-005</v>
      </c>
      <c r="I376" s="52" t="str">
        <f aca="false">IFERROR(IF(ISNUMBER(F376),IF(ABS(F376-E376)&lt;=H376,"PASS","FAIL"),"FAIL"),"FAIL")</f>
        <v>PASS</v>
      </c>
    </row>
    <row r="377" customFormat="false" ht="15" hidden="false" customHeight="false" outlineLevel="0" collapsed="false">
      <c r="B377" s="53" t="n">
        <v>368</v>
      </c>
      <c r="C377" s="9" t="s">
        <v>910</v>
      </c>
      <c r="D377" s="9" t="s">
        <v>952</v>
      </c>
      <c r="E377" s="10" t="n">
        <v>0.0391</v>
      </c>
      <c r="F377" s="54" t="n">
        <f aca="false">Fees_Tax!$C$56</f>
        <v>0.0391386360967447</v>
      </c>
      <c r="G377" s="34" t="n">
        <f aca="false">IFERROR(IF(ISNUMBER(F377),F377-E377,"n/a"),"n/a")</f>
        <v>3.86360967446486E-005</v>
      </c>
      <c r="H377" s="55" t="n">
        <v>5.0001E-005</v>
      </c>
      <c r="I377" s="52" t="str">
        <f aca="false">IFERROR(IF(ISNUMBER(F377),IF(ABS(F377-E377)&lt;=H377,"PASS","FAIL"),"FAIL"),"FAIL")</f>
        <v>PASS</v>
      </c>
    </row>
    <row r="378" customFormat="false" ht="15" hidden="false" customHeight="true" outlineLevel="0" collapsed="false">
      <c r="B378" s="53" t="n">
        <v>369</v>
      </c>
      <c r="C378" s="9" t="s">
        <v>910</v>
      </c>
      <c r="D378" s="60" t="s">
        <v>953</v>
      </c>
      <c r="E378" s="48" t="s">
        <v>632</v>
      </c>
      <c r="F378" s="61" t="str">
        <f aca="false">IFERROR(IF(ABS(SUM(Fees_Tax!C20:C36)-Assumptions!$C$7)&lt;0.000001,"holds","does not hold"),"error")</f>
        <v>holds</v>
      </c>
      <c r="G378" s="9"/>
      <c r="H378" s="9"/>
      <c r="I378" s="52" t="str">
        <f aca="false">IFERROR(IF(ABS(SUM(Fees_Tax!C20:C36)-Assumptions!$C$7)&lt;0.000001,"PASS","FAIL"),"FAIL")</f>
        <v>PASS</v>
      </c>
    </row>
    <row r="379" customFormat="false" ht="15" hidden="false" customHeight="false" outlineLevel="0" collapsed="false">
      <c r="B379" s="53" t="n">
        <v>370</v>
      </c>
      <c r="C379" s="9" t="s">
        <v>954</v>
      </c>
      <c r="D379" s="9" t="s">
        <v>955</v>
      </c>
      <c r="E379" s="18" t="n">
        <v>4.1</v>
      </c>
      <c r="F379" s="47" t="n">
        <f aca="false">Derived!$D$6</f>
        <v>4.1</v>
      </c>
      <c r="G379" s="34" t="n">
        <f aca="false">IFERROR(IF(ISNUMBER(F379),F379-E379,"n/a"),"n/a")</f>
        <v>0</v>
      </c>
      <c r="H379" s="55" t="n">
        <v>0.005000001</v>
      </c>
      <c r="I379" s="52" t="str">
        <f aca="false">IFERROR(IF(ISNUMBER(F379),IF(ABS(F379-E379)&lt;=H379,"PASS","FAIL"),"FAIL"),"FAIL")</f>
        <v>PASS</v>
      </c>
    </row>
    <row r="380" customFormat="false" ht="15" hidden="false" customHeight="false" outlineLevel="0" collapsed="false">
      <c r="B380" s="53" t="n">
        <v>371</v>
      </c>
      <c r="C380" s="9" t="s">
        <v>954</v>
      </c>
      <c r="D380" s="9" t="s">
        <v>956</v>
      </c>
      <c r="E380" s="18" t="n">
        <v>0.22</v>
      </c>
      <c r="F380" s="47" t="n">
        <f aca="false">Derived!$D$7</f>
        <v>0.22</v>
      </c>
      <c r="G380" s="34" t="n">
        <f aca="false">IFERROR(IF(ISNUMBER(F380),F380-E380,"n/a"),"n/a")</f>
        <v>0</v>
      </c>
      <c r="H380" s="55" t="n">
        <v>0.005000001</v>
      </c>
      <c r="I380" s="52" t="str">
        <f aca="false">IFERROR(IF(ISNUMBER(F380),IF(ABS(F380-E380)&lt;=H380,"PASS","FAIL"),"FAIL"),"FAIL")</f>
        <v>PASS</v>
      </c>
    </row>
    <row r="381" customFormat="false" ht="15" hidden="false" customHeight="false" outlineLevel="0" collapsed="false">
      <c r="B381" s="53" t="n">
        <v>372</v>
      </c>
      <c r="C381" s="9" t="s">
        <v>954</v>
      </c>
      <c r="D381" s="9" t="s">
        <v>957</v>
      </c>
      <c r="E381" s="18" t="n">
        <v>75000</v>
      </c>
      <c r="F381" s="47" t="n">
        <f aca="false">Derived!$D$8</f>
        <v>75000</v>
      </c>
      <c r="G381" s="34" t="n">
        <f aca="false">IFERROR(IF(ISNUMBER(F381),F381-E381,"n/a"),"n/a")</f>
        <v>0</v>
      </c>
      <c r="H381" s="55" t="n">
        <v>0.005000001</v>
      </c>
      <c r="I381" s="52" t="str">
        <f aca="false">IFERROR(IF(ISNUMBER(F381),IF(ABS(F381-E381)&lt;=H381,"PASS","FAIL"),"FAIL"),"FAIL")</f>
        <v>PASS</v>
      </c>
    </row>
    <row r="382" customFormat="false" ht="15" hidden="false" customHeight="false" outlineLevel="0" collapsed="false">
      <c r="B382" s="53" t="n">
        <v>373</v>
      </c>
      <c r="C382" s="9" t="s">
        <v>954</v>
      </c>
      <c r="D382" s="9" t="s">
        <v>958</v>
      </c>
      <c r="E382" s="18" t="n">
        <v>74212.5</v>
      </c>
      <c r="F382" s="47" t="n">
        <f aca="false">Derived!$D$9</f>
        <v>74212.5</v>
      </c>
      <c r="G382" s="34" t="n">
        <f aca="false">IFERROR(IF(ISNUMBER(F382),F382-E382,"n/a"),"n/a")</f>
        <v>0</v>
      </c>
      <c r="H382" s="55" t="n">
        <v>0.005000001</v>
      </c>
      <c r="I382" s="52" t="str">
        <f aca="false">IFERROR(IF(ISNUMBER(F382),IF(ABS(F382-E382)&lt;=H382,"PASS","FAIL"),"FAIL"),"FAIL")</f>
        <v>PASS</v>
      </c>
    </row>
    <row r="383" customFormat="false" ht="15" hidden="false" customHeight="false" outlineLevel="0" collapsed="false">
      <c r="B383" s="53" t="n">
        <v>374</v>
      </c>
      <c r="C383" s="9" t="s">
        <v>954</v>
      </c>
      <c r="D383" s="9" t="s">
        <v>959</v>
      </c>
      <c r="E383" s="18" t="n">
        <v>73440</v>
      </c>
      <c r="F383" s="47" t="n">
        <f aca="false">Derived!$D$10</f>
        <v>73440</v>
      </c>
      <c r="G383" s="34" t="n">
        <f aca="false">IFERROR(IF(ISNUMBER(F383),F383-E383,"n/a"),"n/a")</f>
        <v>0</v>
      </c>
      <c r="H383" s="55" t="n">
        <v>0.005000001</v>
      </c>
      <c r="I383" s="52" t="str">
        <f aca="false">IFERROR(IF(ISNUMBER(F383),IF(ABS(F383-E383)&lt;=H383,"PASS","FAIL"),"FAIL"),"FAIL")</f>
        <v>PASS</v>
      </c>
    </row>
    <row r="384" customFormat="false" ht="15" hidden="false" customHeight="false" outlineLevel="0" collapsed="false">
      <c r="B384" s="53" t="n">
        <v>375</v>
      </c>
      <c r="C384" s="9" t="s">
        <v>954</v>
      </c>
      <c r="D384" s="9" t="s">
        <v>960</v>
      </c>
      <c r="E384" s="18" t="n">
        <v>72675</v>
      </c>
      <c r="F384" s="47" t="n">
        <f aca="false">Derived!$D$11</f>
        <v>72675</v>
      </c>
      <c r="G384" s="34" t="n">
        <f aca="false">IFERROR(IF(ISNUMBER(F384),F384-E384,"n/a"),"n/a")</f>
        <v>0</v>
      </c>
      <c r="H384" s="55" t="n">
        <v>0.005000001</v>
      </c>
      <c r="I384" s="52" t="str">
        <f aca="false">IFERROR(IF(ISNUMBER(F384),IF(ABS(F384-E384)&lt;=H384,"PASS","FAIL"),"FAIL"),"FAIL")</f>
        <v>PASS</v>
      </c>
    </row>
    <row r="385" customFormat="false" ht="15" hidden="false" customHeight="false" outlineLevel="0" collapsed="false">
      <c r="B385" s="53" t="n">
        <v>376</v>
      </c>
      <c r="C385" s="9" t="s">
        <v>954</v>
      </c>
      <c r="D385" s="9" t="s">
        <v>961</v>
      </c>
      <c r="E385" s="44" t="n">
        <v>10.2</v>
      </c>
      <c r="F385" s="49" t="n">
        <f aca="false">Derived!$D$12</f>
        <v>10.2</v>
      </c>
      <c r="G385" s="34" t="n">
        <f aca="false">IFERROR(IF(ISNUMBER(F385),F385-E385,"n/a"),"n/a")</f>
        <v>0</v>
      </c>
      <c r="H385" s="55" t="n">
        <v>0.050000001</v>
      </c>
      <c r="I385" s="52" t="str">
        <f aca="false">IFERROR(IF(ISNUMBER(F385),IF(ABS(F385-E385)&lt;=H385,"PASS","FAIL"),"FAIL"),"FAIL")</f>
        <v>PASS</v>
      </c>
    </row>
    <row r="386" customFormat="false" ht="15" hidden="false" customHeight="false" outlineLevel="0" collapsed="false">
      <c r="B386" s="53" t="n">
        <v>377</v>
      </c>
      <c r="C386" s="9" t="s">
        <v>954</v>
      </c>
      <c r="D386" s="9" t="s">
        <v>962</v>
      </c>
      <c r="E386" s="56" t="n">
        <v>31</v>
      </c>
      <c r="F386" s="31" t="n">
        <f aca="false">Derived!$D$13</f>
        <v>31.0000000000001</v>
      </c>
      <c r="G386" s="34" t="n">
        <f aca="false">IFERROR(IF(ISNUMBER(F386),F386-E386,"n/a"),"n/a")</f>
        <v>0</v>
      </c>
      <c r="H386" s="55" t="n">
        <v>0.500000001</v>
      </c>
      <c r="I386" s="52" t="str">
        <f aca="false">IFERROR(IF(ISNUMBER(F386),IF(ABS(F386-E386)&lt;=H386,"PASS","FAIL"),"FAIL"),"FAIL")</f>
        <v>PASS</v>
      </c>
    </row>
    <row r="387" customFormat="false" ht="15" hidden="false" customHeight="false" outlineLevel="0" collapsed="false">
      <c r="B387" s="53" t="n">
        <v>378</v>
      </c>
      <c r="C387" s="9" t="s">
        <v>954</v>
      </c>
      <c r="D387" s="9" t="s">
        <v>963</v>
      </c>
      <c r="E387" s="56" t="n">
        <v>2325</v>
      </c>
      <c r="F387" s="31" t="n">
        <f aca="false">Derived!$D$14</f>
        <v>2325</v>
      </c>
      <c r="G387" s="34" t="n">
        <f aca="false">IFERROR(IF(ISNUMBER(F387),F387-E387,"n/a"),"n/a")</f>
        <v>0</v>
      </c>
      <c r="H387" s="55" t="n">
        <v>0.500000001</v>
      </c>
      <c r="I387" s="52" t="str">
        <f aca="false">IFERROR(IF(ISNUMBER(F387),IF(ABS(F387-E387)&lt;=H387,"PASS","FAIL"),"FAIL"),"FAIL")</f>
        <v>PASS</v>
      </c>
    </row>
    <row r="388" customFormat="false" ht="15" hidden="false" customHeight="false" outlineLevel="0" collapsed="false">
      <c r="B388" s="53" t="n">
        <v>379</v>
      </c>
      <c r="C388" s="9" t="s">
        <v>954</v>
      </c>
      <c r="D388" s="9" t="s">
        <v>964</v>
      </c>
      <c r="E388" s="18" t="n">
        <v>1.58</v>
      </c>
      <c r="F388" s="47" t="n">
        <f aca="false">Derived!$D$15</f>
        <v>1.58</v>
      </c>
      <c r="G388" s="34" t="n">
        <f aca="false">IFERROR(IF(ISNUMBER(F388),F388-E388,"n/a"),"n/a")</f>
        <v>0</v>
      </c>
      <c r="H388" s="55" t="n">
        <v>0.005000001</v>
      </c>
      <c r="I388" s="52" t="str">
        <f aca="false">IFERROR(IF(ISNUMBER(F388),IF(ABS(F388-E388)&lt;=H388,"PASS","FAIL"),"FAIL"),"FAIL")</f>
        <v>PASS</v>
      </c>
    </row>
    <row r="389" customFormat="false" ht="15" hidden="false" customHeight="false" outlineLevel="0" collapsed="false">
      <c r="B389" s="53" t="n">
        <v>380</v>
      </c>
      <c r="C389" s="9" t="s">
        <v>954</v>
      </c>
      <c r="D389" s="9" t="s">
        <v>965</v>
      </c>
      <c r="E389" s="18" t="n">
        <v>3.4</v>
      </c>
      <c r="F389" s="47" t="n">
        <f aca="false">Derived!$D$16</f>
        <v>3.4</v>
      </c>
      <c r="G389" s="34" t="n">
        <f aca="false">IFERROR(IF(ISNUMBER(F389),F389-E389,"n/a"),"n/a")</f>
        <v>0</v>
      </c>
      <c r="H389" s="55" t="n">
        <v>0.005000001</v>
      </c>
      <c r="I389" s="52" t="str">
        <f aca="false">IFERROR(IF(ISNUMBER(F389),IF(ABS(F389-E389)&lt;=H389,"PASS","FAIL"),"FAIL"),"FAIL")</f>
        <v>PASS</v>
      </c>
    </row>
    <row r="390" customFormat="false" ht="15" hidden="false" customHeight="false" outlineLevel="0" collapsed="false">
      <c r="B390" s="53" t="n">
        <v>381</v>
      </c>
      <c r="C390" s="9" t="s">
        <v>954</v>
      </c>
      <c r="D390" s="9" t="s">
        <v>966</v>
      </c>
      <c r="E390" s="44" t="n">
        <v>11.6</v>
      </c>
      <c r="F390" s="49" t="n">
        <f aca="false">Derived!$D$17</f>
        <v>11.6160847804512</v>
      </c>
      <c r="G390" s="34" t="n">
        <f aca="false">IFERROR(IF(ISNUMBER(F390),F390-E390,"n/a"),"n/a")</f>
        <v>0.0160847804512425</v>
      </c>
      <c r="H390" s="55" t="n">
        <v>0.050000001</v>
      </c>
      <c r="I390" s="52" t="str">
        <f aca="false">IFERROR(IF(ISNUMBER(F390),IF(ABS(F390-E390)&lt;=H390,"PASS","FAIL"),"FAIL"),"FAIL")</f>
        <v>PASS</v>
      </c>
    </row>
    <row r="391" customFormat="false" ht="15" hidden="false" customHeight="false" outlineLevel="0" collapsed="false">
      <c r="B391" s="53" t="n">
        <v>382</v>
      </c>
      <c r="C391" s="9" t="s">
        <v>954</v>
      </c>
      <c r="D391" s="9" t="s">
        <v>967</v>
      </c>
      <c r="E391" s="62" t="n">
        <v>1.543</v>
      </c>
      <c r="F391" s="50" t="n">
        <f aca="false">Derived!$D$18</f>
        <v>1.543</v>
      </c>
      <c r="G391" s="34" t="n">
        <f aca="false">IFERROR(IF(ISNUMBER(F391),F391-E391,"n/a"),"n/a")</f>
        <v>0</v>
      </c>
      <c r="H391" s="55" t="n">
        <v>0.000500001</v>
      </c>
      <c r="I391" s="52" t="str">
        <f aca="false">IFERROR(IF(ISNUMBER(F391),IF(ABS(F391-E391)&lt;=H391,"PASS","FAIL"),"FAIL"),"FAIL")</f>
        <v>PASS</v>
      </c>
    </row>
    <row r="392" customFormat="false" ht="15" hidden="false" customHeight="false" outlineLevel="0" collapsed="false">
      <c r="B392" s="53" t="n">
        <v>383</v>
      </c>
      <c r="C392" s="9" t="s">
        <v>954</v>
      </c>
      <c r="D392" s="9" t="s">
        <v>968</v>
      </c>
      <c r="E392" s="56" t="n">
        <v>4285</v>
      </c>
      <c r="F392" s="31" t="n">
        <f aca="false">Derived!$D$19</f>
        <v>4285</v>
      </c>
      <c r="G392" s="34" t="n">
        <f aca="false">IFERROR(IF(ISNUMBER(F392),F392-E392,"n/a"),"n/a")</f>
        <v>0</v>
      </c>
      <c r="H392" s="55" t="n">
        <v>0.500000001</v>
      </c>
      <c r="I392" s="52" t="str">
        <f aca="false">IFERROR(IF(ISNUMBER(F392),IF(ABS(F392-E392)&lt;=H392,"PASS","FAIL"),"FAIL"),"FAIL")</f>
        <v>PASS</v>
      </c>
    </row>
    <row r="393" customFormat="false" ht="15" hidden="false" customHeight="false" outlineLevel="0" collapsed="false">
      <c r="B393" s="53" t="n">
        <v>384</v>
      </c>
      <c r="C393" s="9" t="s">
        <v>954</v>
      </c>
      <c r="D393" s="9" t="s">
        <v>969</v>
      </c>
      <c r="E393" s="18" t="n">
        <v>22.89</v>
      </c>
      <c r="F393" s="47" t="n">
        <f aca="false">Derived!$D$20</f>
        <v>22.89</v>
      </c>
      <c r="G393" s="34" t="n">
        <f aca="false">IFERROR(IF(ISNUMBER(F393),F393-E393,"n/a"),"n/a")</f>
        <v>0</v>
      </c>
      <c r="H393" s="55" t="n">
        <v>0.005000001</v>
      </c>
      <c r="I393" s="52" t="str">
        <f aca="false">IFERROR(IF(ISNUMBER(F393),IF(ABS(F393-E393)&lt;=H393,"PASS","FAIL"),"FAIL"),"FAIL")</f>
        <v>PASS</v>
      </c>
    </row>
    <row r="394" customFormat="false" ht="15" hidden="false" customHeight="false" outlineLevel="0" collapsed="false">
      <c r="B394" s="53" t="n">
        <v>385</v>
      </c>
      <c r="C394" s="9" t="s">
        <v>954</v>
      </c>
      <c r="D394" s="9" t="s">
        <v>970</v>
      </c>
      <c r="E394" s="18" t="n">
        <v>22.66</v>
      </c>
      <c r="F394" s="47" t="n">
        <f aca="false">Derived!$D$21</f>
        <v>22.6611</v>
      </c>
      <c r="G394" s="34" t="n">
        <f aca="false">IFERROR(IF(ISNUMBER(F394),F394-E394,"n/a"),"n/a")</f>
        <v>0.00110000000000454</v>
      </c>
      <c r="H394" s="55" t="n">
        <v>0.005000001</v>
      </c>
      <c r="I394" s="52" t="str">
        <f aca="false">IFERROR(IF(ISNUMBER(F394),IF(ABS(F394-E394)&lt;=H394,"PASS","FAIL"),"FAIL"),"FAIL")</f>
        <v>PASS</v>
      </c>
    </row>
    <row r="395" customFormat="false" ht="15" hidden="false" customHeight="false" outlineLevel="0" collapsed="false">
      <c r="B395" s="53" t="n">
        <v>386</v>
      </c>
      <c r="C395" s="9" t="s">
        <v>954</v>
      </c>
      <c r="D395" s="9" t="s">
        <v>971</v>
      </c>
      <c r="E395" s="18" t="n">
        <v>28.91</v>
      </c>
      <c r="F395" s="47" t="n">
        <f aca="false">Derived!$D$22</f>
        <v>28.905</v>
      </c>
      <c r="G395" s="34" t="n">
        <f aca="false">IFERROR(IF(ISNUMBER(F395),F395-E395,"n/a"),"n/a")</f>
        <v>-0.00499999999999901</v>
      </c>
      <c r="H395" s="55" t="n">
        <v>0.005000001</v>
      </c>
      <c r="I395" s="52" t="str">
        <f aca="false">IFERROR(IF(ISNUMBER(F395),IF(ABS(F395-E395)&lt;=H395,"PASS","FAIL"),"FAIL"),"FAIL")</f>
        <v>PASS</v>
      </c>
    </row>
    <row r="396" customFormat="false" ht="15" hidden="false" customHeight="false" outlineLevel="0" collapsed="false">
      <c r="B396" s="53" t="n">
        <v>387</v>
      </c>
      <c r="C396" s="9" t="s">
        <v>954</v>
      </c>
      <c r="D396" s="9" t="s">
        <v>972</v>
      </c>
      <c r="E396" s="18" t="n">
        <v>2.67</v>
      </c>
      <c r="F396" s="47" t="n">
        <f aca="false">Derived!$D$23</f>
        <v>2.67</v>
      </c>
      <c r="G396" s="34" t="n">
        <f aca="false">IFERROR(IF(ISNUMBER(F396),F396-E396,"n/a"),"n/a")</f>
        <v>0</v>
      </c>
      <c r="H396" s="55" t="n">
        <v>0.005000001</v>
      </c>
      <c r="I396" s="52" t="str">
        <f aca="false">IFERROR(IF(ISNUMBER(F396),IF(ABS(F396-E396)&lt;=H396,"PASS","FAIL"),"FAIL"),"FAIL")</f>
        <v>PASS</v>
      </c>
    </row>
    <row r="397" customFormat="false" ht="15" hidden="false" customHeight="false" outlineLevel="0" collapsed="false">
      <c r="B397" s="53" t="n">
        <v>388</v>
      </c>
      <c r="C397" s="9" t="s">
        <v>954</v>
      </c>
      <c r="D397" s="9" t="s">
        <v>973</v>
      </c>
      <c r="E397" s="18" t="n">
        <v>7.88</v>
      </c>
      <c r="F397" s="47" t="n">
        <f aca="false">Derived!$D$25</f>
        <v>7.88</v>
      </c>
      <c r="G397" s="34" t="n">
        <f aca="false">IFERROR(IF(ISNUMBER(F397),F397-E397,"n/a"),"n/a")</f>
        <v>0</v>
      </c>
      <c r="H397" s="55" t="n">
        <v>0.005000001</v>
      </c>
      <c r="I397" s="52" t="str">
        <f aca="false">IFERROR(IF(ISNUMBER(F397),IF(ABS(F397-E397)&lt;=H397,"PASS","FAIL"),"FAIL"),"FAIL")</f>
        <v>PASS</v>
      </c>
    </row>
    <row r="398" customFormat="false" ht="15" hidden="false" customHeight="false" outlineLevel="0" collapsed="false">
      <c r="B398" s="53" t="n">
        <v>389</v>
      </c>
      <c r="C398" s="9" t="s">
        <v>954</v>
      </c>
      <c r="D398" s="9" t="s">
        <v>974</v>
      </c>
      <c r="E398" s="18" t="n">
        <v>11.11</v>
      </c>
      <c r="F398" s="47" t="n">
        <f aca="false">Derived!$D$26</f>
        <v>11.1111111111111</v>
      </c>
      <c r="G398" s="34" t="n">
        <f aca="false">IFERROR(IF(ISNUMBER(F398),F398-E398,"n/a"),"n/a")</f>
        <v>0.00111111111111128</v>
      </c>
      <c r="H398" s="55" t="n">
        <v>0.005000001</v>
      </c>
      <c r="I398" s="52" t="str">
        <f aca="false">IFERROR(IF(ISNUMBER(F398),IF(ABS(F398-E398)&lt;=H398,"PASS","FAIL"),"FAIL"),"FAIL")</f>
        <v>PASS</v>
      </c>
    </row>
    <row r="399" customFormat="false" ht="15" hidden="false" customHeight="false" outlineLevel="0" collapsed="false">
      <c r="B399" s="53" t="n">
        <v>390</v>
      </c>
      <c r="C399" s="9" t="s">
        <v>954</v>
      </c>
      <c r="D399" s="9" t="s">
        <v>975</v>
      </c>
      <c r="E399" s="44" t="n">
        <v>17.1</v>
      </c>
      <c r="F399" s="49" t="n">
        <f aca="false">Derived!$D$27</f>
        <v>17.1444444444445</v>
      </c>
      <c r="G399" s="34" t="n">
        <f aca="false">IFERROR(IF(ISNUMBER(F399),F399-E399,"n/a"),"n/a")</f>
        <v>0.0444444444444514</v>
      </c>
      <c r="H399" s="55" t="n">
        <v>0.050000001</v>
      </c>
      <c r="I399" s="52" t="str">
        <f aca="false">IFERROR(IF(ISNUMBER(F399),IF(ABS(F399-E399)&lt;=H399,"PASS","FAIL"),"FAIL"),"FAIL")</f>
        <v>PASS</v>
      </c>
    </row>
    <row r="400" customFormat="false" ht="15" hidden="false" customHeight="false" outlineLevel="0" collapsed="false">
      <c r="B400" s="53" t="n">
        <v>391</v>
      </c>
      <c r="C400" s="9" t="s">
        <v>954</v>
      </c>
      <c r="D400" s="9" t="s">
        <v>976</v>
      </c>
      <c r="E400" s="18" t="n">
        <v>9.17</v>
      </c>
      <c r="F400" s="47" t="n">
        <f aca="false">Derived!$D$28</f>
        <v>9.17094644167278</v>
      </c>
      <c r="G400" s="34" t="n">
        <f aca="false">IFERROR(IF(ISNUMBER(F400),F400-E400,"n/a"),"n/a")</f>
        <v>0.000946441672780907</v>
      </c>
      <c r="H400" s="55" t="n">
        <v>0.005000001</v>
      </c>
      <c r="I400" s="52" t="str">
        <f aca="false">IFERROR(IF(ISNUMBER(F400),IF(ABS(F400-E400)&lt;=H400,"PASS","FAIL"),"FAIL"),"FAIL")</f>
        <v>PASS</v>
      </c>
    </row>
    <row r="401" customFormat="false" ht="15" hidden="false" customHeight="false" outlineLevel="0" collapsed="false">
      <c r="B401" s="53" t="n">
        <v>392</v>
      </c>
      <c r="C401" s="9" t="s">
        <v>954</v>
      </c>
      <c r="D401" s="9" t="s">
        <v>977</v>
      </c>
      <c r="E401" s="18" t="n">
        <v>9.36</v>
      </c>
      <c r="F401" s="47" t="n">
        <f aca="false">Derived!$D$29</f>
        <v>9.36173753848714</v>
      </c>
      <c r="G401" s="34" t="n">
        <f aca="false">IFERROR(IF(ISNUMBER(F401),F401-E401,"n/a"),"n/a")</f>
        <v>0.00173753848714497</v>
      </c>
      <c r="H401" s="55" t="n">
        <v>0.005000001</v>
      </c>
      <c r="I401" s="52" t="str">
        <f aca="false">IFERROR(IF(ISNUMBER(F401),IF(ABS(F401-E401)&lt;=H401,"PASS","FAIL"),"FAIL"),"FAIL")</f>
        <v>PASS</v>
      </c>
    </row>
    <row r="402" customFormat="false" ht="15" hidden="false" customHeight="false" outlineLevel="0" collapsed="false">
      <c r="B402" s="53" t="n">
        <v>393</v>
      </c>
      <c r="C402" s="9" t="s">
        <v>954</v>
      </c>
      <c r="D402" s="9" t="s">
        <v>978</v>
      </c>
      <c r="E402" s="18" t="n">
        <v>9.58</v>
      </c>
      <c r="F402" s="47" t="n">
        <f aca="false">Derived!$D$30</f>
        <v>9.5756905136826</v>
      </c>
      <c r="G402" s="34" t="n">
        <f aca="false">IFERROR(IF(ISNUMBER(F402),F402-E402,"n/a"),"n/a")</f>
        <v>-0.00430948631740158</v>
      </c>
      <c r="H402" s="55" t="n">
        <v>0.005000001</v>
      </c>
      <c r="I402" s="52" t="str">
        <f aca="false">IFERROR(IF(ISNUMBER(F402),IF(ABS(F402-E402)&lt;=H402,"PASS","FAIL"),"FAIL"),"FAIL")</f>
        <v>PASS</v>
      </c>
    </row>
    <row r="403" customFormat="false" ht="15" hidden="false" customHeight="false" outlineLevel="0" collapsed="false">
      <c r="B403" s="53" t="n">
        <v>394</v>
      </c>
      <c r="C403" s="9" t="s">
        <v>954</v>
      </c>
      <c r="D403" s="9" t="s">
        <v>979</v>
      </c>
      <c r="E403" s="18" t="n">
        <v>9.17</v>
      </c>
      <c r="F403" s="47" t="n">
        <f aca="false">Derived!$D$31</f>
        <v>9.17094644167278</v>
      </c>
      <c r="G403" s="34" t="n">
        <f aca="false">IFERROR(IF(ISNUMBER(F403),F403-E403,"n/a"),"n/a")</f>
        <v>0.000946441672780907</v>
      </c>
      <c r="H403" s="55" t="n">
        <v>0.005000001</v>
      </c>
      <c r="I403" s="52" t="str">
        <f aca="false">IFERROR(IF(ISNUMBER(F403),IF(ABS(F403-E403)&lt;=H403,"PASS","FAIL"),"FAIL"),"FAIL")</f>
        <v>PASS</v>
      </c>
    </row>
    <row r="404" customFormat="false" ht="15" hidden="false" customHeight="false" outlineLevel="0" collapsed="false">
      <c r="B404" s="53" t="n">
        <v>395</v>
      </c>
      <c r="C404" s="9" t="s">
        <v>954</v>
      </c>
      <c r="D404" s="9" t="s">
        <v>980</v>
      </c>
      <c r="E404" s="18" t="n">
        <v>9.36</v>
      </c>
      <c r="F404" s="47" t="n">
        <f aca="false">Derived!$D$32</f>
        <v>9.36173753848714</v>
      </c>
      <c r="G404" s="34" t="n">
        <f aca="false">IFERROR(IF(ISNUMBER(F404),F404-E404,"n/a"),"n/a")</f>
        <v>0.00173753848714497</v>
      </c>
      <c r="H404" s="55" t="n">
        <v>0.005000001</v>
      </c>
      <c r="I404" s="52" t="str">
        <f aca="false">IFERROR(IF(ISNUMBER(F404),IF(ABS(F404-E404)&lt;=H404,"PASS","FAIL"),"FAIL"),"FAIL")</f>
        <v>PASS</v>
      </c>
    </row>
    <row r="405" customFormat="false" ht="15" hidden="false" customHeight="false" outlineLevel="0" collapsed="false">
      <c r="B405" s="53" t="n">
        <v>396</v>
      </c>
      <c r="C405" s="9" t="s">
        <v>954</v>
      </c>
      <c r="D405" s="9" t="s">
        <v>981</v>
      </c>
      <c r="E405" s="18" t="n">
        <v>9.58</v>
      </c>
      <c r="F405" s="47" t="n">
        <f aca="false">Derived!$D$33</f>
        <v>9.5756905136826</v>
      </c>
      <c r="G405" s="34" t="n">
        <f aca="false">IFERROR(IF(ISNUMBER(F405),F405-E405,"n/a"),"n/a")</f>
        <v>-0.00430948631740158</v>
      </c>
      <c r="H405" s="55" t="n">
        <v>0.005000001</v>
      </c>
      <c r="I405" s="52" t="str">
        <f aca="false">IFERROR(IF(ISNUMBER(F405),IF(ABS(F405-E405)&lt;=H405,"PASS","FAIL"),"FAIL"),"FAIL")</f>
        <v>PASS</v>
      </c>
    </row>
    <row r="406" customFormat="false" ht="15" hidden="false" customHeight="false" outlineLevel="0" collapsed="false">
      <c r="B406" s="53" t="n">
        <v>397</v>
      </c>
      <c r="C406" s="9" t="s">
        <v>954</v>
      </c>
      <c r="D406" s="9" t="s">
        <v>982</v>
      </c>
      <c r="E406" s="56" t="n">
        <v>6013</v>
      </c>
      <c r="F406" s="31" t="n">
        <f aca="false">Derived!$D$34</f>
        <v>6013</v>
      </c>
      <c r="G406" s="34" t="n">
        <f aca="false">IFERROR(IF(ISNUMBER(F406),F406-E406,"n/a"),"n/a")</f>
        <v>0</v>
      </c>
      <c r="H406" s="55" t="n">
        <v>0.500000001</v>
      </c>
      <c r="I406" s="52" t="str">
        <f aca="false">IFERROR(IF(ISNUMBER(F406),IF(ABS(F406-E406)&lt;=H406,"PASS","FAIL"),"FAIL"),"FAIL")</f>
        <v>PASS</v>
      </c>
    </row>
    <row r="407" customFormat="false" ht="15" hidden="false" customHeight="false" outlineLevel="0" collapsed="false">
      <c r="B407" s="53" t="n">
        <v>398</v>
      </c>
      <c r="C407" s="9" t="s">
        <v>954</v>
      </c>
      <c r="D407" s="9" t="s">
        <v>983</v>
      </c>
      <c r="E407" s="62" t="n">
        <v>30.247</v>
      </c>
      <c r="F407" s="50" t="n">
        <f aca="false">Derived!$D$35</f>
        <v>30.247</v>
      </c>
      <c r="G407" s="34" t="n">
        <f aca="false">IFERROR(IF(ISNUMBER(F407),F407-E407,"n/a"),"n/a")</f>
        <v>0</v>
      </c>
      <c r="H407" s="55" t="n">
        <v>0.000500001</v>
      </c>
      <c r="I407" s="52" t="str">
        <f aca="false">IFERROR(IF(ISNUMBER(F407),IF(ABS(F407-E407)&lt;=H407,"PASS","FAIL"),"FAIL"),"FAIL")</f>
        <v>PASS</v>
      </c>
    </row>
    <row r="408" customFormat="false" ht="15" hidden="false" customHeight="false" outlineLevel="0" collapsed="false">
      <c r="B408" s="53" t="n">
        <v>399</v>
      </c>
      <c r="C408" s="9" t="s">
        <v>954</v>
      </c>
      <c r="D408" s="9" t="s">
        <v>984</v>
      </c>
      <c r="E408" s="44" t="n">
        <v>93.3</v>
      </c>
      <c r="F408" s="49" t="n">
        <f aca="false">Derived!$D$36</f>
        <v>93.3333333333333</v>
      </c>
      <c r="G408" s="34" t="n">
        <f aca="false">IFERROR(IF(ISNUMBER(F408),F408-E408,"n/a"),"n/a")</f>
        <v>0.0333333333333314</v>
      </c>
      <c r="H408" s="55" t="n">
        <v>0.050000001</v>
      </c>
      <c r="I408" s="52" t="str">
        <f aca="false">IFERROR(IF(ISNUMBER(F408),IF(ABS(F408-E408)&lt;=H408,"PASS","FAIL"),"FAIL"),"FAIL")</f>
        <v>PASS</v>
      </c>
    </row>
    <row r="409" customFormat="false" ht="15" hidden="false" customHeight="false" outlineLevel="0" collapsed="false">
      <c r="B409" s="53" t="n">
        <v>400</v>
      </c>
      <c r="C409" s="9" t="s">
        <v>954</v>
      </c>
      <c r="D409" s="9" t="s">
        <v>985</v>
      </c>
      <c r="E409" s="56" t="n">
        <v>80</v>
      </c>
      <c r="F409" s="31" t="n">
        <f aca="false">Derived!$D$37</f>
        <v>80</v>
      </c>
      <c r="G409" s="34" t="n">
        <f aca="false">IFERROR(IF(ISNUMBER(F409),F409-E409,"n/a"),"n/a")</f>
        <v>0</v>
      </c>
      <c r="H409" s="55" t="n">
        <v>0.500000001</v>
      </c>
      <c r="I409" s="52" t="str">
        <f aca="false">IFERROR(IF(ISNUMBER(F409),IF(ABS(F409-E409)&lt;=H409,"PASS","FAIL"),"FAIL"),"FAIL")</f>
        <v>PASS</v>
      </c>
    </row>
    <row r="410" customFormat="false" ht="15" hidden="false" customHeight="false" outlineLevel="0" collapsed="false">
      <c r="B410" s="53" t="n">
        <v>401</v>
      </c>
      <c r="C410" s="9" t="s">
        <v>954</v>
      </c>
      <c r="D410" s="9" t="s">
        <v>986</v>
      </c>
      <c r="E410" s="56" t="n">
        <v>1000</v>
      </c>
      <c r="F410" s="31" t="n">
        <f aca="false">Derived!$D$38</f>
        <v>1000</v>
      </c>
      <c r="G410" s="34" t="n">
        <f aca="false">IFERROR(IF(ISNUMBER(F410),F410-E410,"n/a"),"n/a")</f>
        <v>0</v>
      </c>
      <c r="H410" s="55" t="n">
        <v>0.500000001</v>
      </c>
      <c r="I410" s="52" t="str">
        <f aca="false">IFERROR(IF(ISNUMBER(F410),IF(ABS(F410-E410)&lt;=H410,"PASS","FAIL"),"FAIL"),"FAIL")</f>
        <v>PASS</v>
      </c>
    </row>
    <row r="411" customFormat="false" ht="15" hidden="false" customHeight="false" outlineLevel="0" collapsed="false">
      <c r="B411" s="53" t="n">
        <v>402</v>
      </c>
      <c r="C411" s="9" t="s">
        <v>954</v>
      </c>
      <c r="D411" s="9" t="s">
        <v>987</v>
      </c>
      <c r="E411" s="56" t="n">
        <v>3000</v>
      </c>
      <c r="F411" s="31" t="n">
        <f aca="false">Derived!$D$39</f>
        <v>3000</v>
      </c>
      <c r="G411" s="34" t="n">
        <f aca="false">IFERROR(IF(ISNUMBER(F411),F411-E411,"n/a"),"n/a")</f>
        <v>0</v>
      </c>
      <c r="H411" s="55" t="n">
        <v>0.500000001</v>
      </c>
      <c r="I411" s="52" t="str">
        <f aca="false">IFERROR(IF(ISNUMBER(F411),IF(ABS(F411-E411)&lt;=H411,"PASS","FAIL"),"FAIL"),"FAIL")</f>
        <v>PASS</v>
      </c>
    </row>
    <row r="412" customFormat="false" ht="15" hidden="false" customHeight="false" outlineLevel="0" collapsed="false">
      <c r="B412" s="53" t="n">
        <v>403</v>
      </c>
      <c r="C412" s="9" t="s">
        <v>954</v>
      </c>
      <c r="D412" s="9" t="s">
        <v>988</v>
      </c>
      <c r="E412" s="56" t="n">
        <v>750</v>
      </c>
      <c r="F412" s="31" t="n">
        <f aca="false">Derived!$D$40</f>
        <v>750</v>
      </c>
      <c r="G412" s="34" t="n">
        <f aca="false">IFERROR(IF(ISNUMBER(F412),F412-E412,"n/a"),"n/a")</f>
        <v>0</v>
      </c>
      <c r="H412" s="55" t="n">
        <v>0.500000001</v>
      </c>
      <c r="I412" s="52" t="str">
        <f aca="false">IFERROR(IF(ISNUMBER(F412),IF(ABS(F412-E412)&lt;=H412,"PASS","FAIL"),"FAIL"),"FAIL")</f>
        <v>PASS</v>
      </c>
    </row>
    <row r="413" customFormat="false" ht="15" hidden="false" customHeight="false" outlineLevel="0" collapsed="false">
      <c r="B413" s="53" t="n">
        <v>404</v>
      </c>
      <c r="C413" s="9" t="s">
        <v>954</v>
      </c>
      <c r="D413" s="9" t="s">
        <v>989</v>
      </c>
      <c r="E413" s="56" t="n">
        <v>2250</v>
      </c>
      <c r="F413" s="31" t="n">
        <f aca="false">Derived!$D$41</f>
        <v>2250</v>
      </c>
      <c r="G413" s="34" t="n">
        <f aca="false">IFERROR(IF(ISNUMBER(F413),F413-E413,"n/a"),"n/a")</f>
        <v>0</v>
      </c>
      <c r="H413" s="55" t="n">
        <v>0.500000001</v>
      </c>
      <c r="I413" s="52" t="str">
        <f aca="false">IFERROR(IF(ISNUMBER(F413),IF(ABS(F413-E413)&lt;=H413,"PASS","FAIL"),"FAIL"),"FAIL")</f>
        <v>PASS</v>
      </c>
    </row>
    <row r="414" customFormat="false" ht="15" hidden="false" customHeight="false" outlineLevel="0" collapsed="false">
      <c r="B414" s="53" t="n">
        <v>405</v>
      </c>
      <c r="C414" s="9" t="s">
        <v>954</v>
      </c>
      <c r="D414" s="9" t="s">
        <v>990</v>
      </c>
      <c r="E414" s="44" t="n">
        <v>562.5</v>
      </c>
      <c r="F414" s="49" t="n">
        <f aca="false">Derived!$D$42</f>
        <v>562.5</v>
      </c>
      <c r="G414" s="34" t="n">
        <f aca="false">IFERROR(IF(ISNUMBER(F414),F414-E414,"n/a"),"n/a")</f>
        <v>0</v>
      </c>
      <c r="H414" s="55" t="n">
        <v>0.050000001</v>
      </c>
      <c r="I414" s="52" t="str">
        <f aca="false">IFERROR(IF(ISNUMBER(F414),IF(ABS(F414-E414)&lt;=H414,"PASS","FAIL"),"FAIL"),"FAIL")</f>
        <v>PASS</v>
      </c>
    </row>
    <row r="415" customFormat="false" ht="15" hidden="false" customHeight="false" outlineLevel="0" collapsed="false">
      <c r="B415" s="53" t="n">
        <v>406</v>
      </c>
      <c r="C415" s="9" t="s">
        <v>954</v>
      </c>
      <c r="D415" s="9" t="s">
        <v>991</v>
      </c>
      <c r="E415" s="18" t="n">
        <v>56.25</v>
      </c>
      <c r="F415" s="47" t="n">
        <f aca="false">Derived!$D$43</f>
        <v>56.25</v>
      </c>
      <c r="G415" s="34" t="n">
        <f aca="false">IFERROR(IF(ISNUMBER(F415),F415-E415,"n/a"),"n/a")</f>
        <v>0</v>
      </c>
      <c r="H415" s="55" t="n">
        <v>0.005000001</v>
      </c>
      <c r="I415" s="52" t="str">
        <f aca="false">IFERROR(IF(ISNUMBER(F415),IF(ABS(F415-E415)&lt;=H415,"PASS","FAIL"),"FAIL"),"FAIL")</f>
        <v>PASS</v>
      </c>
    </row>
    <row r="416" customFormat="false" ht="15" hidden="false" customHeight="false" outlineLevel="0" collapsed="false">
      <c r="B416" s="53" t="n">
        <v>407</v>
      </c>
      <c r="C416" s="9" t="s">
        <v>954</v>
      </c>
      <c r="D416" s="9" t="s">
        <v>992</v>
      </c>
      <c r="E416" s="44" t="n">
        <v>42.2</v>
      </c>
      <c r="F416" s="49" t="n">
        <f aca="false">Derived!$D$44</f>
        <v>42.1875</v>
      </c>
      <c r="G416" s="34" t="n">
        <f aca="false">IFERROR(IF(ISNUMBER(F416),F416-E416,"n/a"),"n/a")</f>
        <v>-0.0125000000000028</v>
      </c>
      <c r="H416" s="55" t="n">
        <v>0.050000001</v>
      </c>
      <c r="I416" s="52" t="str">
        <f aca="false">IFERROR(IF(ISNUMBER(F416),IF(ABS(F416-E416)&lt;=H416,"PASS","FAIL"),"FAIL"),"FAIL")</f>
        <v>PASS</v>
      </c>
    </row>
    <row r="417" customFormat="false" ht="15" hidden="false" customHeight="false" outlineLevel="0" collapsed="false">
      <c r="B417" s="53" t="n">
        <v>408</v>
      </c>
      <c r="C417" s="9" t="s">
        <v>954</v>
      </c>
      <c r="D417" s="9" t="s">
        <v>993</v>
      </c>
      <c r="E417" s="56" t="n">
        <v>23497</v>
      </c>
      <c r="F417" s="31" t="n">
        <f aca="false">Derived!$D$45</f>
        <v>23497</v>
      </c>
      <c r="G417" s="34" t="n">
        <f aca="false">IFERROR(IF(ISNUMBER(F417),F417-E417,"n/a"),"n/a")</f>
        <v>0</v>
      </c>
      <c r="H417" s="55" t="n">
        <v>0.500000001</v>
      </c>
      <c r="I417" s="52" t="str">
        <f aca="false">IFERROR(IF(ISNUMBER(F417),IF(ABS(F417-E417)&lt;=H417,"PASS","FAIL"),"FAIL"),"FAIL")</f>
        <v>PASS</v>
      </c>
    </row>
    <row r="418" customFormat="false" ht="15" hidden="false" customHeight="false" outlineLevel="0" collapsed="false">
      <c r="B418" s="53" t="n">
        <v>409</v>
      </c>
      <c r="C418" s="9" t="s">
        <v>954</v>
      </c>
      <c r="D418" s="9" t="s">
        <v>994</v>
      </c>
      <c r="E418" s="56" t="n">
        <v>2250</v>
      </c>
      <c r="F418" s="31" t="n">
        <f aca="false">Derived!$D$46</f>
        <v>2250</v>
      </c>
      <c r="G418" s="34" t="n">
        <f aca="false">IFERROR(IF(ISNUMBER(F418),F418-E418,"n/a"),"n/a")</f>
        <v>0</v>
      </c>
      <c r="H418" s="55" t="n">
        <v>0.500000001</v>
      </c>
      <c r="I418" s="52" t="str">
        <f aca="false">IFERROR(IF(ISNUMBER(F418),IF(ABS(F418-E418)&lt;=H418,"PASS","FAIL"),"FAIL"),"FAIL")</f>
        <v>PASS</v>
      </c>
    </row>
    <row r="419" customFormat="false" ht="15" hidden="false" customHeight="false" outlineLevel="0" collapsed="false">
      <c r="B419" s="53" t="n">
        <v>410</v>
      </c>
      <c r="C419" s="9" t="s">
        <v>954</v>
      </c>
      <c r="D419" s="9" t="s">
        <v>995</v>
      </c>
      <c r="E419" s="56" t="n">
        <v>99676</v>
      </c>
      <c r="F419" s="31" t="n">
        <f aca="false">Derived!$D$47</f>
        <v>99676</v>
      </c>
      <c r="G419" s="34" t="n">
        <f aca="false">IFERROR(IF(ISNUMBER(F419),F419-E419,"n/a"),"n/a")</f>
        <v>0</v>
      </c>
      <c r="H419" s="55" t="n">
        <v>0.500000001</v>
      </c>
      <c r="I419" s="52" t="str">
        <f aca="false">IFERROR(IF(ISNUMBER(F419),IF(ABS(F419-E419)&lt;=H419,"PASS","FAIL"),"FAIL"),"FAIL")</f>
        <v>PASS</v>
      </c>
    </row>
    <row r="420" customFormat="false" ht="15" hidden="false" customHeight="false" outlineLevel="0" collapsed="false">
      <c r="B420" s="53" t="n">
        <v>411</v>
      </c>
      <c r="C420" s="9" t="s">
        <v>954</v>
      </c>
      <c r="D420" s="9" t="s">
        <v>996</v>
      </c>
      <c r="E420" s="56" t="n">
        <v>96237</v>
      </c>
      <c r="F420" s="31" t="n">
        <f aca="false">Derived!$D$48</f>
        <v>96237</v>
      </c>
      <c r="G420" s="34" t="n">
        <f aca="false">IFERROR(IF(ISNUMBER(F420),F420-E420,"n/a"),"n/a")</f>
        <v>0</v>
      </c>
      <c r="H420" s="55" t="n">
        <v>0.500000001</v>
      </c>
      <c r="I420" s="52" t="str">
        <f aca="false">IFERROR(IF(ISNUMBER(F420),IF(ABS(F420-E420)&lt;=H420,"PASS","FAIL"),"FAIL"),"FAIL")</f>
        <v>PASS</v>
      </c>
    </row>
    <row r="421" customFormat="false" ht="15" hidden="false" customHeight="false" outlineLevel="0" collapsed="false">
      <c r="B421" s="53" t="n">
        <v>412</v>
      </c>
      <c r="C421" s="9" t="s">
        <v>954</v>
      </c>
      <c r="D421" s="9" t="s">
        <v>997</v>
      </c>
      <c r="E421" s="56" t="n">
        <v>3439</v>
      </c>
      <c r="F421" s="31" t="n">
        <f aca="false">Derived!$D$49</f>
        <v>3439</v>
      </c>
      <c r="G421" s="34" t="n">
        <f aca="false">IFERROR(IF(ISNUMBER(F421),F421-E421,"n/a"),"n/a")</f>
        <v>0</v>
      </c>
      <c r="H421" s="55" t="n">
        <v>0.500000001</v>
      </c>
      <c r="I421" s="52" t="str">
        <f aca="false">IFERROR(IF(ISNUMBER(F421),IF(ABS(F421-E421)&lt;=H421,"PASS","FAIL"),"FAIL"),"FAIL")</f>
        <v>PASS</v>
      </c>
    </row>
    <row r="422" customFormat="false" ht="15" hidden="false" customHeight="false" outlineLevel="0" collapsed="false">
      <c r="B422" s="53" t="n">
        <v>413</v>
      </c>
      <c r="C422" s="9" t="s">
        <v>954</v>
      </c>
      <c r="D422" s="9" t="s">
        <v>998</v>
      </c>
      <c r="E422" s="18" t="n">
        <v>5</v>
      </c>
      <c r="F422" s="47" t="n">
        <f aca="false">Derived!$D$50</f>
        <v>5</v>
      </c>
      <c r="G422" s="34" t="n">
        <f aca="false">IFERROR(IF(ISNUMBER(F422),F422-E422,"n/a"),"n/a")</f>
        <v>0</v>
      </c>
      <c r="H422" s="55" t="n">
        <v>0.005000001</v>
      </c>
      <c r="I422" s="52" t="str">
        <f aca="false">IFERROR(IF(ISNUMBER(F422),IF(ABS(F422-E422)&lt;=H422,"PASS","FAIL"),"FAIL"),"FAIL")</f>
        <v>PASS</v>
      </c>
    </row>
    <row r="423" customFormat="false" ht="15" hidden="false" customHeight="false" outlineLevel="0" collapsed="false">
      <c r="B423" s="53" t="n">
        <v>414</v>
      </c>
      <c r="C423" s="9" t="s">
        <v>954</v>
      </c>
      <c r="D423" s="9" t="s">
        <v>999</v>
      </c>
      <c r="E423" s="18" t="n">
        <v>5.21</v>
      </c>
      <c r="F423" s="47" t="n">
        <f aca="false">Derived!$D$51</f>
        <v>5.21</v>
      </c>
      <c r="G423" s="34" t="n">
        <f aca="false">IFERROR(IF(ISNUMBER(F423),F423-E423,"n/a"),"n/a")</f>
        <v>0</v>
      </c>
      <c r="H423" s="55" t="n">
        <v>0.005000001</v>
      </c>
      <c r="I423" s="52" t="str">
        <f aca="false">IFERROR(IF(ISNUMBER(F423),IF(ABS(F423-E423)&lt;=H423,"PASS","FAIL"),"FAIL"),"FAIL")</f>
        <v>PASS</v>
      </c>
    </row>
    <row r="424" customFormat="false" ht="15" hidden="false" customHeight="false" outlineLevel="0" collapsed="false">
      <c r="B424" s="53" t="n">
        <v>415</v>
      </c>
      <c r="C424" s="9" t="s">
        <v>954</v>
      </c>
      <c r="D424" s="9" t="s">
        <v>1000</v>
      </c>
      <c r="E424" s="18" t="n">
        <v>0.65</v>
      </c>
      <c r="F424" s="47" t="n">
        <f aca="false">Derived!$D$52</f>
        <v>0.65125</v>
      </c>
      <c r="G424" s="34" t="n">
        <f aca="false">IFERROR(IF(ISNUMBER(F424),F424-E424,"n/a"),"n/a")</f>
        <v>0.00125000000000008</v>
      </c>
      <c r="H424" s="55" t="n">
        <v>0.005000001</v>
      </c>
      <c r="I424" s="52" t="str">
        <f aca="false">IFERROR(IF(ISNUMBER(F424),IF(ABS(F424-E424)&lt;=H424,"PASS","FAIL"),"FAIL"),"FAIL")</f>
        <v>PASS</v>
      </c>
    </row>
    <row r="425" customFormat="false" ht="15" hidden="false" customHeight="false" outlineLevel="0" collapsed="false">
      <c r="B425" s="53" t="n">
        <v>416</v>
      </c>
      <c r="C425" s="9" t="s">
        <v>954</v>
      </c>
      <c r="D425" s="9" t="s">
        <v>1001</v>
      </c>
      <c r="E425" s="56" t="n">
        <v>9002</v>
      </c>
      <c r="F425" s="31" t="n">
        <f aca="false">Derived!$D$53</f>
        <v>9002</v>
      </c>
      <c r="G425" s="34" t="n">
        <f aca="false">IFERROR(IF(ISNUMBER(F425),F425-E425,"n/a"),"n/a")</f>
        <v>0</v>
      </c>
      <c r="H425" s="55" t="n">
        <v>0.500000001</v>
      </c>
      <c r="I425" s="52" t="str">
        <f aca="false">IFERROR(IF(ISNUMBER(F425),IF(ABS(F425-E425)&lt;=H425,"PASS","FAIL"),"FAIL"),"FAIL")</f>
        <v>PASS</v>
      </c>
    </row>
    <row r="426" customFormat="false" ht="15" hidden="false" customHeight="false" outlineLevel="0" collapsed="false">
      <c r="B426" s="53" t="n">
        <v>417</v>
      </c>
      <c r="C426" s="9" t="s">
        <v>954</v>
      </c>
      <c r="D426" s="9" t="s">
        <v>1002</v>
      </c>
      <c r="E426" s="56" t="n">
        <v>2250</v>
      </c>
      <c r="F426" s="31" t="n">
        <f aca="false">Derived!$D$54</f>
        <v>2250</v>
      </c>
      <c r="G426" s="34" t="n">
        <f aca="false">IFERROR(IF(ISNUMBER(F426),F426-E426,"n/a"),"n/a")</f>
        <v>0</v>
      </c>
      <c r="H426" s="55" t="n">
        <v>0.500000001</v>
      </c>
      <c r="I426" s="52" t="str">
        <f aca="false">IFERROR(IF(ISNUMBER(F426),IF(ABS(F426-E426)&lt;=H426,"PASS","FAIL"),"FAIL"),"FAIL")</f>
        <v>PASS</v>
      </c>
    </row>
    <row r="427" customFormat="false" ht="15" hidden="false" customHeight="false" outlineLevel="0" collapsed="false">
      <c r="B427" s="53" t="n">
        <v>418</v>
      </c>
      <c r="C427" s="9" t="s">
        <v>954</v>
      </c>
      <c r="D427" s="9" t="s">
        <v>1003</v>
      </c>
      <c r="E427" s="56" t="n">
        <v>9000</v>
      </c>
      <c r="F427" s="31" t="n">
        <f aca="false">Derived!$D$55</f>
        <v>9000</v>
      </c>
      <c r="G427" s="34" t="n">
        <f aca="false">IFERROR(IF(ISNUMBER(F427),F427-E427,"n/a"),"n/a")</f>
        <v>0</v>
      </c>
      <c r="H427" s="55" t="n">
        <v>0.500000001</v>
      </c>
      <c r="I427" s="52" t="str">
        <f aca="false">IFERROR(IF(ISNUMBER(F427),IF(ABS(F427-E427)&lt;=H427,"PASS","FAIL"),"FAIL"),"FAIL")</f>
        <v>PASS</v>
      </c>
    </row>
    <row r="428" customFormat="false" ht="15" hidden="false" customHeight="false" outlineLevel="0" collapsed="false">
      <c r="B428" s="53" t="n">
        <v>419</v>
      </c>
      <c r="C428" s="9" t="s">
        <v>954</v>
      </c>
      <c r="D428" s="9" t="s">
        <v>1004</v>
      </c>
      <c r="E428" s="18" t="n">
        <v>0.65</v>
      </c>
      <c r="F428" s="47" t="n">
        <f aca="false">Derived!$D$56</f>
        <v>0.65</v>
      </c>
      <c r="G428" s="34" t="n">
        <f aca="false">IFERROR(IF(ISNUMBER(F428),F428-E428,"n/a"),"n/a")</f>
        <v>0</v>
      </c>
      <c r="H428" s="55" t="n">
        <v>0.005000001</v>
      </c>
      <c r="I428" s="52" t="str">
        <f aca="false">IFERROR(IF(ISNUMBER(F428),IF(ABS(F428-E428)&lt;=H428,"PASS","FAIL"),"FAIL"),"FAIL")</f>
        <v>PASS</v>
      </c>
    </row>
    <row r="429" customFormat="false" ht="15" hidden="false" customHeight="false" outlineLevel="0" collapsed="false">
      <c r="B429" s="53" t="n">
        <v>420</v>
      </c>
      <c r="C429" s="9" t="s">
        <v>954</v>
      </c>
      <c r="D429" s="9" t="s">
        <v>1005</v>
      </c>
      <c r="E429" s="18" t="n">
        <v>1.31</v>
      </c>
      <c r="F429" s="47" t="n">
        <f aca="false">Derived!$D$57</f>
        <v>1.31</v>
      </c>
      <c r="G429" s="34" t="n">
        <f aca="false">IFERROR(IF(ISNUMBER(F429),F429-E429,"n/a"),"n/a")</f>
        <v>0</v>
      </c>
      <c r="H429" s="55" t="n">
        <v>0.005000001</v>
      </c>
      <c r="I429" s="52" t="str">
        <f aca="false">IFERROR(IF(ISNUMBER(F429),IF(ABS(F429-E429)&lt;=H429,"PASS","FAIL"),"FAIL"),"FAIL")</f>
        <v>PASS</v>
      </c>
    </row>
    <row r="430" customFormat="false" ht="15" hidden="false" customHeight="false" outlineLevel="0" collapsed="false">
      <c r="B430" s="53" t="n">
        <v>421</v>
      </c>
      <c r="C430" s="9" t="s">
        <v>954</v>
      </c>
      <c r="D430" s="9" t="s">
        <v>1006</v>
      </c>
      <c r="E430" s="56" t="n">
        <v>9450</v>
      </c>
      <c r="F430" s="31" t="n">
        <f aca="false">Derived!$D$58</f>
        <v>9450</v>
      </c>
      <c r="G430" s="34" t="n">
        <f aca="false">IFERROR(IF(ISNUMBER(F430),F430-E430,"n/a"),"n/a")</f>
        <v>0</v>
      </c>
      <c r="H430" s="55" t="n">
        <v>0.500000001</v>
      </c>
      <c r="I430" s="52" t="str">
        <f aca="false">IFERROR(IF(ISNUMBER(F430),IF(ABS(F430-E430)&lt;=H430,"PASS","FAIL"),"FAIL"),"FAIL")</f>
        <v>PASS</v>
      </c>
    </row>
    <row r="431" customFormat="false" ht="15" hidden="false" customHeight="false" outlineLevel="0" collapsed="false">
      <c r="B431" s="53" t="n">
        <v>422</v>
      </c>
      <c r="C431" s="9" t="s">
        <v>954</v>
      </c>
      <c r="D431" s="9" t="s">
        <v>1007</v>
      </c>
      <c r="E431" s="56" t="n">
        <v>6013</v>
      </c>
      <c r="F431" s="31" t="n">
        <f aca="false">Derived!$D$59</f>
        <v>6013</v>
      </c>
      <c r="G431" s="34" t="n">
        <f aca="false">IFERROR(IF(ISNUMBER(F431),F431-E431,"n/a"),"n/a")</f>
        <v>0</v>
      </c>
      <c r="H431" s="55" t="n">
        <v>0.500000001</v>
      </c>
      <c r="I431" s="52" t="str">
        <f aca="false">IFERROR(IF(ISNUMBER(F431),IF(ABS(F431-E431)&lt;=H431,"PASS","FAIL"),"FAIL"),"FAIL")</f>
        <v>PASS</v>
      </c>
    </row>
    <row r="432" customFormat="false" ht="15" hidden="false" customHeight="false" outlineLevel="0" collapsed="false">
      <c r="B432" s="53" t="n">
        <v>423</v>
      </c>
      <c r="C432" s="9" t="s">
        <v>954</v>
      </c>
      <c r="D432" s="9" t="s">
        <v>1008</v>
      </c>
      <c r="E432" s="56" t="n">
        <v>3305</v>
      </c>
      <c r="F432" s="31" t="n">
        <f aca="false">Derived!$D$60</f>
        <v>3305.4</v>
      </c>
      <c r="G432" s="34" t="n">
        <f aca="false">IFERROR(IF(ISNUMBER(F432),F432-E432,"n/a"),"n/a")</f>
        <v>0.400000000000091</v>
      </c>
      <c r="H432" s="55" t="n">
        <v>0.500000001</v>
      </c>
      <c r="I432" s="52" t="str">
        <f aca="false">IFERROR(IF(ISNUMBER(F432),IF(ABS(F432-E432)&lt;=H432,"PASS","FAIL"),"FAIL"),"FAIL")</f>
        <v>PASS</v>
      </c>
    </row>
    <row r="433" customFormat="false" ht="15" hidden="false" customHeight="false" outlineLevel="0" collapsed="false">
      <c r="B433" s="53" t="n">
        <v>424</v>
      </c>
      <c r="C433" s="9" t="s">
        <v>954</v>
      </c>
      <c r="D433" s="9" t="s">
        <v>1009</v>
      </c>
      <c r="E433" s="56" t="n">
        <v>222</v>
      </c>
      <c r="F433" s="31" t="n">
        <f aca="false">Derived!$D$61</f>
        <v>222.222222222222</v>
      </c>
      <c r="G433" s="34" t="n">
        <f aca="false">IFERROR(IF(ISNUMBER(F433),F433-E433,"n/a"),"n/a")</f>
        <v>0.222222222222257</v>
      </c>
      <c r="H433" s="55" t="n">
        <v>0.500000001</v>
      </c>
      <c r="I433" s="52" t="str">
        <f aca="false">IFERROR(IF(ISNUMBER(F433),IF(ABS(F433-E433)&lt;=H433,"PASS","FAIL"),"FAIL"),"FAIL")</f>
        <v>PASS</v>
      </c>
    </row>
    <row r="434" customFormat="false" ht="15" hidden="false" customHeight="false" outlineLevel="0" collapsed="false">
      <c r="B434" s="53" t="n">
        <v>425</v>
      </c>
      <c r="C434" s="9" t="s">
        <v>954</v>
      </c>
      <c r="D434" s="9" t="s">
        <v>1010</v>
      </c>
      <c r="E434" s="56" t="n">
        <v>753</v>
      </c>
      <c r="F434" s="31" t="n">
        <f aca="false">Derived!$D$64</f>
        <v>753.472222222222</v>
      </c>
      <c r="G434" s="34" t="n">
        <f aca="false">IFERROR(IF(ISNUMBER(F434),F434-E434,"n/a"),"n/a")</f>
        <v>0.472222222222285</v>
      </c>
      <c r="H434" s="55" t="n">
        <v>0.500000001</v>
      </c>
      <c r="I434" s="52" t="str">
        <f aca="false">IFERROR(IF(ISNUMBER(F434),IF(ABS(F434-E434)&lt;=H434,"PASS","FAIL"),"FAIL"),"FAIL")</f>
        <v>PASS</v>
      </c>
    </row>
    <row r="435" customFormat="false" ht="15" hidden="false" customHeight="false" outlineLevel="0" collapsed="false">
      <c r="B435" s="53" t="n">
        <v>426</v>
      </c>
      <c r="C435" s="9" t="s">
        <v>954</v>
      </c>
      <c r="D435" s="9" t="s">
        <v>1011</v>
      </c>
      <c r="E435" s="18" t="n">
        <v>0.93</v>
      </c>
      <c r="F435" s="47" t="n">
        <f aca="false">Derived!$D$65</f>
        <v>0.930000000000001</v>
      </c>
      <c r="G435" s="34" t="n">
        <f aca="false">IFERROR(IF(ISNUMBER(F435),F435-E435,"n/a"),"n/a")</f>
        <v>0</v>
      </c>
      <c r="H435" s="55" t="n">
        <v>0.005000001</v>
      </c>
      <c r="I435" s="52" t="str">
        <f aca="false">IFERROR(IF(ISNUMBER(F435),IF(ABS(F435-E435)&lt;=H435,"PASS","FAIL"),"FAIL"),"FAIL")</f>
        <v>PASS</v>
      </c>
    </row>
    <row r="436" customFormat="false" ht="15" hidden="false" customHeight="false" outlineLevel="0" collapsed="false">
      <c r="B436" s="53" t="n">
        <v>427</v>
      </c>
      <c r="C436" s="9" t="s">
        <v>954</v>
      </c>
      <c r="D436" s="9" t="s">
        <v>1012</v>
      </c>
      <c r="E436" s="18" t="n">
        <v>4.56</v>
      </c>
      <c r="F436" s="47" t="n">
        <f aca="false">Derived!$D$66</f>
        <v>4.56</v>
      </c>
      <c r="G436" s="34" t="n">
        <f aca="false">IFERROR(IF(ISNUMBER(F436),F436-E436,"n/a"),"n/a")</f>
        <v>0</v>
      </c>
      <c r="H436" s="55" t="n">
        <v>0.005000001</v>
      </c>
      <c r="I436" s="52" t="str">
        <f aca="false">IFERROR(IF(ISNUMBER(F436),IF(ABS(F436-E436)&lt;=H436,"PASS","FAIL"),"FAIL"),"FAIL")</f>
        <v>PASS</v>
      </c>
    </row>
    <row r="437" customFormat="false" ht="15" hidden="false" customHeight="false" outlineLevel="0" collapsed="false">
      <c r="B437" s="53" t="n">
        <v>428</v>
      </c>
      <c r="C437" s="9" t="s">
        <v>954</v>
      </c>
      <c r="D437" s="9" t="s">
        <v>1013</v>
      </c>
      <c r="E437" s="44" t="n">
        <v>29.2</v>
      </c>
      <c r="F437" s="49" t="n">
        <f aca="false">Derived!$D$67</f>
        <v>29.2409632155823</v>
      </c>
      <c r="G437" s="34" t="n">
        <f aca="false">IFERROR(IF(ISNUMBER(F437),F437-E437,"n/a"),"n/a")</f>
        <v>0.0409632155823445</v>
      </c>
      <c r="H437" s="55" t="n">
        <v>0.050000001</v>
      </c>
      <c r="I437" s="52" t="str">
        <f aca="false">IFERROR(IF(ISNUMBER(F437),IF(ABS(F437-E437)&lt;=H437,"PASS","FAIL"),"FAIL"),"FAIL")</f>
        <v>PASS</v>
      </c>
    </row>
    <row r="438" customFormat="false" ht="15" hidden="false" customHeight="false" outlineLevel="0" collapsed="false">
      <c r="B438" s="53" t="n">
        <v>429</v>
      </c>
      <c r="C438" s="9" t="s">
        <v>954</v>
      </c>
      <c r="D438" s="9" t="s">
        <v>1014</v>
      </c>
      <c r="E438" s="44" t="n">
        <v>20.6</v>
      </c>
      <c r="F438" s="49" t="n">
        <f aca="false">Derived!$D$68</f>
        <v>20.6376982961047</v>
      </c>
      <c r="G438" s="34" t="n">
        <f aca="false">IFERROR(IF(ISNUMBER(F438),F438-E438,"n/a"),"n/a")</f>
        <v>0.037698296104729</v>
      </c>
      <c r="H438" s="55" t="n">
        <v>0.050000001</v>
      </c>
      <c r="I438" s="52" t="str">
        <f aca="false">IFERROR(IF(ISNUMBER(F438),IF(ABS(F438-E438)&lt;=H438,"PASS","FAIL"),"FAIL"),"FAIL")</f>
        <v>PASS</v>
      </c>
    </row>
    <row r="439" customFormat="false" ht="15" hidden="false" customHeight="false" outlineLevel="0" collapsed="false">
      <c r="B439" s="53" t="n">
        <v>430</v>
      </c>
      <c r="C439" s="9" t="s">
        <v>954</v>
      </c>
      <c r="D439" s="9" t="s">
        <v>1015</v>
      </c>
      <c r="E439" s="18" t="n">
        <v>0.22</v>
      </c>
      <c r="F439" s="47" t="n">
        <f aca="false">Derived!$D$69</f>
        <v>0.22</v>
      </c>
      <c r="G439" s="34" t="n">
        <f aca="false">IFERROR(IF(ISNUMBER(F439),F439-E439,"n/a"),"n/a")</f>
        <v>0</v>
      </c>
      <c r="H439" s="55" t="n">
        <v>0.005000001</v>
      </c>
      <c r="I439" s="52" t="str">
        <f aca="false">IFERROR(IF(ISNUMBER(F439),IF(ABS(F439-E439)&lt;=H439,"PASS","FAIL"),"FAIL"),"FAIL")</f>
        <v>PASS</v>
      </c>
    </row>
    <row r="440" customFormat="false" ht="15" hidden="false" customHeight="false" outlineLevel="0" collapsed="false">
      <c r="B440" s="53" t="n">
        <v>431</v>
      </c>
      <c r="C440" s="9" t="s">
        <v>954</v>
      </c>
      <c r="D440" s="9" t="s">
        <v>1016</v>
      </c>
      <c r="E440" s="62" t="n">
        <v>0.395</v>
      </c>
      <c r="F440" s="50" t="n">
        <f aca="false">Derived!$D$70</f>
        <v>0.395</v>
      </c>
      <c r="G440" s="34" t="n">
        <f aca="false">IFERROR(IF(ISNUMBER(F440),F440-E440,"n/a"),"n/a")</f>
        <v>0</v>
      </c>
      <c r="H440" s="55" t="n">
        <v>0.000500001</v>
      </c>
      <c r="I440" s="52" t="str">
        <f aca="false">IFERROR(IF(ISNUMBER(F440),IF(ABS(F440-E440)&lt;=H440,"PASS","FAIL"),"FAIL"),"FAIL")</f>
        <v>PASS</v>
      </c>
    </row>
    <row r="441" customFormat="false" ht="15" hidden="false" customHeight="false" outlineLevel="0" collapsed="false">
      <c r="B441" s="53" t="n">
        <v>432</v>
      </c>
      <c r="C441" s="9" t="s">
        <v>954</v>
      </c>
      <c r="D441" s="9" t="s">
        <v>1017</v>
      </c>
      <c r="E441" s="44" t="n">
        <v>3.7</v>
      </c>
      <c r="F441" s="49" t="n">
        <f aca="false">Derived!$D$71</f>
        <v>3.68332711674748</v>
      </c>
      <c r="G441" s="34" t="n">
        <f aca="false">IFERROR(IF(ISNUMBER(F441),F441-E441,"n/a"),"n/a")</f>
        <v>-0.0166728832525216</v>
      </c>
      <c r="H441" s="55" t="n">
        <v>0.050000001</v>
      </c>
      <c r="I441" s="52" t="str">
        <f aca="false">IFERROR(IF(ISNUMBER(F441),IF(ABS(F441-E441)&lt;=H441,"PASS","FAIL"),"FAIL"),"FAIL")</f>
        <v>PASS</v>
      </c>
    </row>
    <row r="442" customFormat="false" ht="15" hidden="false" customHeight="false" outlineLevel="0" collapsed="false">
      <c r="B442" s="53" t="n">
        <v>433</v>
      </c>
      <c r="C442" s="9" t="s">
        <v>954</v>
      </c>
      <c r="D442" s="9" t="s">
        <v>1018</v>
      </c>
      <c r="E442" s="62" t="n">
        <v>0.466</v>
      </c>
      <c r="F442" s="50" t="n">
        <f aca="false">Derived!$D$72</f>
        <v>0.466000000000001</v>
      </c>
      <c r="G442" s="34" t="n">
        <f aca="false">IFERROR(IF(ISNUMBER(F442),F442-E442,"n/a"),"n/a")</f>
        <v>0</v>
      </c>
      <c r="H442" s="55" t="n">
        <v>0.000500001</v>
      </c>
      <c r="I442" s="52" t="str">
        <f aca="false">IFERROR(IF(ISNUMBER(F442),IF(ABS(F442-E442)&lt;=H442,"PASS","FAIL"),"FAIL"),"FAIL")</f>
        <v>PASS</v>
      </c>
    </row>
    <row r="443" customFormat="false" ht="15" hidden="false" customHeight="false" outlineLevel="0" collapsed="false">
      <c r="B443" s="53" t="n">
        <v>434</v>
      </c>
      <c r="C443" s="9" t="s">
        <v>954</v>
      </c>
      <c r="D443" s="9" t="s">
        <v>1019</v>
      </c>
      <c r="E443" s="44" t="n">
        <v>1.9</v>
      </c>
      <c r="F443" s="49" t="n">
        <f aca="false">Derived!$D$73</f>
        <v>1.864</v>
      </c>
      <c r="G443" s="34" t="n">
        <f aca="false">IFERROR(IF(ISNUMBER(F443),F443-E443,"n/a"),"n/a")</f>
        <v>-0.0359999999999958</v>
      </c>
      <c r="H443" s="55" t="n">
        <v>0.050000001</v>
      </c>
      <c r="I443" s="52" t="str">
        <f aca="false">IFERROR(IF(ISNUMBER(F443),IF(ABS(F443-E443)&lt;=H443,"PASS","FAIL"),"FAIL"),"FAIL")</f>
        <v>PASS</v>
      </c>
    </row>
    <row r="444" customFormat="false" ht="15" hidden="false" customHeight="false" outlineLevel="0" collapsed="false">
      <c r="B444" s="53" t="n">
        <v>435</v>
      </c>
      <c r="C444" s="9" t="s">
        <v>954</v>
      </c>
      <c r="D444" s="9" t="s">
        <v>1020</v>
      </c>
      <c r="E444" s="56" t="n">
        <v>1864</v>
      </c>
      <c r="F444" s="31" t="n">
        <f aca="false">Derived!$D$74</f>
        <v>1864</v>
      </c>
      <c r="G444" s="34" t="n">
        <f aca="false">IFERROR(IF(ISNUMBER(F444),F444-E444,"n/a"),"n/a")</f>
        <v>0</v>
      </c>
      <c r="H444" s="55" t="n">
        <v>0.500000001</v>
      </c>
      <c r="I444" s="52" t="str">
        <f aca="false">IFERROR(IF(ISNUMBER(F444),IF(ABS(F444-E444)&lt;=H444,"PASS","FAIL"),"FAIL"),"FAIL")</f>
        <v>PASS</v>
      </c>
    </row>
    <row r="445" customFormat="false" ht="15" hidden="false" customHeight="false" outlineLevel="0" collapsed="false">
      <c r="B445" s="53" t="n">
        <v>436</v>
      </c>
      <c r="C445" s="9" t="s">
        <v>954</v>
      </c>
      <c r="D445" s="9" t="s">
        <v>1021</v>
      </c>
      <c r="E445" s="56" t="n">
        <v>9000</v>
      </c>
      <c r="F445" s="31" t="n">
        <f aca="false">Derived!$D$75</f>
        <v>9000</v>
      </c>
      <c r="G445" s="34" t="n">
        <f aca="false">IFERROR(IF(ISNUMBER(F445),F445-E445,"n/a"),"n/a")</f>
        <v>0</v>
      </c>
      <c r="H445" s="55" t="n">
        <v>0.500000001</v>
      </c>
      <c r="I445" s="52" t="str">
        <f aca="false">IFERROR(IF(ISNUMBER(F445),IF(ABS(F445-E445)&lt;=H445,"PASS","FAIL"),"FAIL"),"FAIL")</f>
        <v>PASS</v>
      </c>
    </row>
    <row r="446" customFormat="false" ht="15" hidden="false" customHeight="false" outlineLevel="0" collapsed="false">
      <c r="B446" s="53" t="n">
        <v>437</v>
      </c>
      <c r="C446" s="9" t="s">
        <v>954</v>
      </c>
      <c r="D446" s="9" t="s">
        <v>1022</v>
      </c>
      <c r="E446" s="18" t="n">
        <v>6.91</v>
      </c>
      <c r="F446" s="47" t="n">
        <f aca="false">Derived!$D$76</f>
        <v>6.91</v>
      </c>
      <c r="G446" s="34" t="n">
        <f aca="false">IFERROR(IF(ISNUMBER(F446),F446-E446,"n/a"),"n/a")</f>
        <v>0</v>
      </c>
      <c r="H446" s="55" t="n">
        <v>0.005000001</v>
      </c>
      <c r="I446" s="52" t="str">
        <f aca="false">IFERROR(IF(ISNUMBER(F446),IF(ABS(F446-E446)&lt;=H446,"PASS","FAIL"),"FAIL"),"FAIL")</f>
        <v>PASS</v>
      </c>
    </row>
    <row r="447" customFormat="false" ht="15" hidden="false" customHeight="false" outlineLevel="0" collapsed="false">
      <c r="B447" s="53" t="n">
        <v>438</v>
      </c>
      <c r="C447" s="9" t="s">
        <v>954</v>
      </c>
      <c r="D447" s="9" t="s">
        <v>1023</v>
      </c>
      <c r="E447" s="62" t="n">
        <v>0.386</v>
      </c>
      <c r="F447" s="50" t="n">
        <f aca="false">Derived!$D$77</f>
        <v>0.386000000000001</v>
      </c>
      <c r="G447" s="34" t="n">
        <f aca="false">IFERROR(IF(ISNUMBER(F447),F447-E447,"n/a"),"n/a")</f>
        <v>0</v>
      </c>
      <c r="H447" s="55" t="n">
        <v>0.000500001</v>
      </c>
      <c r="I447" s="52" t="str">
        <f aca="false">IFERROR(IF(ISNUMBER(F447),IF(ABS(F447-E447)&lt;=H447,"PASS","FAIL"),"FAIL"),"FAIL")</f>
        <v>PASS</v>
      </c>
    </row>
    <row r="448" customFormat="false" ht="15" hidden="false" customHeight="false" outlineLevel="0" collapsed="false">
      <c r="B448" s="53" t="n">
        <v>439</v>
      </c>
      <c r="C448" s="9" t="s">
        <v>954</v>
      </c>
      <c r="D448" s="9" t="s">
        <v>1024</v>
      </c>
      <c r="E448" s="62" t="n">
        <v>1.307</v>
      </c>
      <c r="F448" s="50" t="n">
        <f aca="false">Derived!$D$78</f>
        <v>1.307</v>
      </c>
      <c r="G448" s="34" t="n">
        <f aca="false">IFERROR(IF(ISNUMBER(F448),F448-E448,"n/a"),"n/a")</f>
        <v>0</v>
      </c>
      <c r="H448" s="55" t="n">
        <v>0.000500001</v>
      </c>
      <c r="I448" s="52" t="str">
        <f aca="false">IFERROR(IF(ISNUMBER(F448),IF(ABS(F448-E448)&lt;=H448,"PASS","FAIL"),"FAIL"),"FAIL")</f>
        <v>PASS</v>
      </c>
    </row>
    <row r="449" customFormat="false" ht="15" hidden="false" customHeight="false" outlineLevel="0" collapsed="false">
      <c r="B449" s="53" t="n">
        <v>440</v>
      </c>
      <c r="C449" s="9" t="s">
        <v>954</v>
      </c>
      <c r="D449" s="9" t="s">
        <v>1025</v>
      </c>
      <c r="E449" s="44" t="n">
        <v>11.6</v>
      </c>
      <c r="F449" s="49" t="n">
        <f aca="false">Derived!$D$79</f>
        <v>11.6160847804512</v>
      </c>
      <c r="G449" s="34" t="n">
        <f aca="false">IFERROR(IF(ISNUMBER(F449),F449-E449,"n/a"),"n/a")</f>
        <v>0.0160847804512425</v>
      </c>
      <c r="H449" s="55" t="n">
        <v>0.050000001</v>
      </c>
      <c r="I449" s="52" t="str">
        <f aca="false">IFERROR(IF(ISNUMBER(F449),IF(ABS(F449-E449)&lt;=H449,"PASS","FAIL"),"FAIL"),"FAIL")</f>
        <v>PASS</v>
      </c>
    </row>
    <row r="450" customFormat="false" ht="15" hidden="false" customHeight="false" outlineLevel="0" collapsed="false">
      <c r="B450" s="53" t="n">
        <v>441</v>
      </c>
      <c r="C450" s="9" t="s">
        <v>954</v>
      </c>
      <c r="D450" s="9" t="s">
        <v>1026</v>
      </c>
      <c r="E450" s="62" t="n">
        <v>0.215</v>
      </c>
      <c r="F450" s="50" t="n">
        <f aca="false">Derived!$D$80</f>
        <v>0.215</v>
      </c>
      <c r="G450" s="34" t="n">
        <f aca="false">IFERROR(IF(ISNUMBER(F450),F450-E450,"n/a"),"n/a")</f>
        <v>0</v>
      </c>
      <c r="H450" s="55" t="n">
        <v>0.000500001</v>
      </c>
      <c r="I450" s="52" t="str">
        <f aca="false">IFERROR(IF(ISNUMBER(F450),IF(ABS(F450-E450)&lt;=H450,"PASS","FAIL"),"FAIL"),"FAIL")</f>
        <v>PASS</v>
      </c>
    </row>
    <row r="451" customFormat="false" ht="15" hidden="false" customHeight="false" outlineLevel="0" collapsed="false">
      <c r="B451" s="53" t="n">
        <v>442</v>
      </c>
      <c r="C451" s="9" t="s">
        <v>954</v>
      </c>
      <c r="D451" s="9" t="s">
        <v>1027</v>
      </c>
      <c r="E451" s="44" t="n">
        <v>1.1</v>
      </c>
      <c r="F451" s="49" t="n">
        <f aca="false">Derived!$D$81</f>
        <v>1.075</v>
      </c>
      <c r="G451" s="34" t="n">
        <f aca="false">IFERROR(IF(ISNUMBER(F451),F451-E451,"n/a"),"n/a")</f>
        <v>-0.0250000000000008</v>
      </c>
      <c r="H451" s="55" t="n">
        <v>0.050000001</v>
      </c>
      <c r="I451" s="52" t="str">
        <f aca="false">IFERROR(IF(ISNUMBER(F451),IF(ABS(F451-E451)&lt;=H451,"PASS","FAIL"),"FAIL"),"FAIL")</f>
        <v>PASS</v>
      </c>
    </row>
    <row r="452" customFormat="false" ht="15" hidden="false" customHeight="false" outlineLevel="0" collapsed="false">
      <c r="B452" s="53" t="n">
        <v>443</v>
      </c>
      <c r="C452" s="9" t="s">
        <v>954</v>
      </c>
      <c r="D452" s="9" t="s">
        <v>1028</v>
      </c>
      <c r="E452" s="18" t="n">
        <v>2.67</v>
      </c>
      <c r="F452" s="47" t="n">
        <f aca="false">Derived!$D$82</f>
        <v>2.67</v>
      </c>
      <c r="G452" s="34" t="n">
        <f aca="false">IFERROR(IF(ISNUMBER(F452),F452-E452,"n/a"),"n/a")</f>
        <v>0</v>
      </c>
      <c r="H452" s="55" t="n">
        <v>0.005000001</v>
      </c>
      <c r="I452" s="52" t="str">
        <f aca="false">IFERROR(IF(ISNUMBER(F452),IF(ABS(F452-E452)&lt;=H452,"PASS","FAIL"),"FAIL"),"FAIL")</f>
        <v>PASS</v>
      </c>
    </row>
    <row r="453" customFormat="false" ht="15" hidden="false" customHeight="false" outlineLevel="0" collapsed="false">
      <c r="B453" s="53" t="n">
        <v>444</v>
      </c>
      <c r="C453" s="9" t="s">
        <v>954</v>
      </c>
      <c r="D453" s="9" t="s">
        <v>1029</v>
      </c>
      <c r="E453" s="18" t="n">
        <v>7.88</v>
      </c>
      <c r="F453" s="47" t="n">
        <f aca="false">Derived!$D$83</f>
        <v>7.88</v>
      </c>
      <c r="G453" s="34" t="n">
        <f aca="false">IFERROR(IF(ISNUMBER(F453),F453-E453,"n/a"),"n/a")</f>
        <v>0</v>
      </c>
      <c r="H453" s="55" t="n">
        <v>0.005000001</v>
      </c>
      <c r="I453" s="52" t="str">
        <f aca="false">IFERROR(IF(ISNUMBER(F453),IF(ABS(F453-E453)&lt;=H453,"PASS","FAIL"),"FAIL"),"FAIL")</f>
        <v>PASS</v>
      </c>
    </row>
    <row r="454" customFormat="false" ht="15" hidden="false" customHeight="false" outlineLevel="0" collapsed="false">
      <c r="B454" s="53" t="n">
        <v>445</v>
      </c>
      <c r="C454" s="9" t="s">
        <v>954</v>
      </c>
      <c r="D454" s="9" t="s">
        <v>1030</v>
      </c>
      <c r="E454" s="18" t="n">
        <v>1.4</v>
      </c>
      <c r="F454" s="47" t="n">
        <f aca="false">Derived!$D$84</f>
        <v>1.4</v>
      </c>
      <c r="G454" s="34" t="n">
        <f aca="false">IFERROR(IF(ISNUMBER(F454),F454-E454,"n/a"),"n/a")</f>
        <v>0</v>
      </c>
      <c r="H454" s="55" t="n">
        <v>0.005000001</v>
      </c>
      <c r="I454" s="52" t="str">
        <f aca="false">IFERROR(IF(ISNUMBER(F454),IF(ABS(F454-E454)&lt;=H454,"PASS","FAIL"),"FAIL"),"FAIL")</f>
        <v>PASS</v>
      </c>
    </row>
    <row r="455" customFormat="false" ht="15" hidden="false" customHeight="false" outlineLevel="0" collapsed="false">
      <c r="B455" s="53" t="n">
        <v>446</v>
      </c>
      <c r="C455" s="9" t="s">
        <v>954</v>
      </c>
      <c r="D455" s="9" t="s">
        <v>1031</v>
      </c>
      <c r="E455" s="18" t="n">
        <v>7.25</v>
      </c>
      <c r="F455" s="47" t="n">
        <f aca="false">Derived!$D$85</f>
        <v>7.25</v>
      </c>
      <c r="G455" s="34" t="n">
        <f aca="false">IFERROR(IF(ISNUMBER(F455),F455-E455,"n/a"),"n/a")</f>
        <v>0</v>
      </c>
      <c r="H455" s="55" t="n">
        <v>0.005000001</v>
      </c>
      <c r="I455" s="52" t="str">
        <f aca="false">IFERROR(IF(ISNUMBER(F455),IF(ABS(F455-E455)&lt;=H455,"PASS","FAIL"),"FAIL"),"FAIL")</f>
        <v>PASS</v>
      </c>
    </row>
    <row r="456" customFormat="false" ht="15" hidden="false" customHeight="false" outlineLevel="0" collapsed="false">
      <c r="B456" s="53" t="n">
        <v>447</v>
      </c>
      <c r="C456" s="9" t="s">
        <v>954</v>
      </c>
      <c r="D456" s="9" t="s">
        <v>1032</v>
      </c>
      <c r="E456" s="18" t="n">
        <v>1</v>
      </c>
      <c r="F456" s="47" t="n">
        <f aca="false">Derived!$D$86</f>
        <v>1</v>
      </c>
      <c r="G456" s="34" t="n">
        <f aca="false">IFERROR(IF(ISNUMBER(F456),F456-E456,"n/a"),"n/a")</f>
        <v>0</v>
      </c>
      <c r="H456" s="55" t="n">
        <v>0.005000001</v>
      </c>
      <c r="I456" s="52" t="str">
        <f aca="false">IFERROR(IF(ISNUMBER(F456),IF(ABS(F456-E456)&lt;=H456,"PASS","FAIL"),"FAIL"),"FAIL")</f>
        <v>PASS</v>
      </c>
    </row>
    <row r="457" customFormat="false" ht="15" hidden="false" customHeight="false" outlineLevel="0" collapsed="false">
      <c r="B457" s="53" t="n">
        <v>448</v>
      </c>
      <c r="C457" s="9" t="s">
        <v>954</v>
      </c>
      <c r="D457" s="9" t="s">
        <v>1033</v>
      </c>
      <c r="E457" s="18" t="n">
        <v>1.75</v>
      </c>
      <c r="F457" s="47" t="n">
        <f aca="false">Derived!$D$87</f>
        <v>1.75</v>
      </c>
      <c r="G457" s="34" t="n">
        <f aca="false">IFERROR(IF(ISNUMBER(F457),F457-E457,"n/a"),"n/a")</f>
        <v>0</v>
      </c>
      <c r="H457" s="55" t="n">
        <v>0.005000001</v>
      </c>
      <c r="I457" s="52" t="str">
        <f aca="false">IFERROR(IF(ISNUMBER(F457),IF(ABS(F457-E457)&lt;=H457,"PASS","FAIL"),"FAIL"),"FAIL")</f>
        <v>PASS</v>
      </c>
    </row>
    <row r="458" customFormat="false" ht="15" hidden="false" customHeight="false" outlineLevel="0" collapsed="false">
      <c r="B458" s="53" t="n">
        <v>449</v>
      </c>
      <c r="C458" s="9" t="s">
        <v>954</v>
      </c>
      <c r="D458" s="9" t="s">
        <v>1034</v>
      </c>
      <c r="E458" s="18" t="n">
        <v>2.25</v>
      </c>
      <c r="F458" s="47" t="n">
        <f aca="false">Derived!$D$88</f>
        <v>2.25</v>
      </c>
      <c r="G458" s="34" t="n">
        <f aca="false">IFERROR(IF(ISNUMBER(F458),F458-E458,"n/a"),"n/a")</f>
        <v>0</v>
      </c>
      <c r="H458" s="55" t="n">
        <v>0.005000001</v>
      </c>
      <c r="I458" s="52" t="str">
        <f aca="false">IFERROR(IF(ISNUMBER(F458),IF(ABS(F458-E458)&lt;=H458,"PASS","FAIL"),"FAIL"),"FAIL")</f>
        <v>PASS</v>
      </c>
    </row>
    <row r="459" customFormat="false" ht="15" hidden="false" customHeight="false" outlineLevel="0" collapsed="false">
      <c r="B459" s="53" t="n">
        <v>450</v>
      </c>
      <c r="C459" s="9" t="s">
        <v>954</v>
      </c>
      <c r="D459" s="9" t="s">
        <v>1035</v>
      </c>
      <c r="E459" s="44" t="n">
        <v>3.7</v>
      </c>
      <c r="F459" s="49" t="n">
        <f aca="false">Derived!$D$89</f>
        <v>3.73705102139608</v>
      </c>
      <c r="G459" s="34" t="n">
        <f aca="false">IFERROR(IF(ISNUMBER(F459),F459-E459,"n/a"),"n/a")</f>
        <v>0.0370510213960786</v>
      </c>
      <c r="H459" s="55" t="n">
        <v>0.050000001</v>
      </c>
      <c r="I459" s="52" t="str">
        <f aca="false">IFERROR(IF(ISNUMBER(F459),IF(ABS(F459-E459)&lt;=H459,"PASS","FAIL"),"FAIL"),"FAIL")</f>
        <v>PASS</v>
      </c>
    </row>
  </sheetData>
  <mergeCells count="1">
    <mergeCell ref="C7:D7"/>
  </mergeCells>
  <conditionalFormatting sqref="I10:I459">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2026-09-25T09:05:50Z</dcterms:created>
  <dc:creator>openpyxl</dc:creator>
  <dc:description/>
  <dc:language>en-US</dc:language>
  <cp:lastModifiedBy/>
  <dcterms:modified xsi:type="dcterms:W3CDTF">2026-09-25T09:05:51Z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