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ME" sheetId="1" state="visible" r:id="rId3"/>
    <sheet name="Assumptions" sheetId="2" state="visible" r:id="rId4"/>
    <sheet name="Yield_Measures" sheetId="3" state="visible" r:id="rId5"/>
    <sheet name="Default_Loss" sheetId="4" state="visible" r:id="rId6"/>
    <sheet name="HY_Default_Grid" sheetId="5" state="visible" r:id="rId7"/>
    <sheet name="Duration" sheetId="6" state="visible" r:id="rId8"/>
    <sheet name="CLO_Tranches" sheetId="7" state="visible" r:id="rId9"/>
    <sheet name="Derived" sheetId="8" state="visible" r:id="rId10"/>
    <sheet name="Check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<sst xmlns="http://schemas.openxmlformats.org/spreadsheetml/2006/main" count="1504" uniqueCount="828">
  <si>
    <t xml:space="preserve">Credit yield and loss: the yield on the screen, default and recovery, duration</t>
  </si>
  <si>
    <t xml:space="preserve">Companion workbook to The Credit Investor: Credit Investing by the Numbers: Bonds, Loan Funds, BDCs and Private Credit Funds, Default, Recovery and the Real Yield, With the Models Supplied. By Julian R. Sterling. julianrsterling.com/creditinvesting</t>
  </si>
  <si>
    <t xml:space="preserve">What it is</t>
  </si>
  <si>
    <t xml:space="preserve">The figures of Part I, live: Harrowgate Pneumatics' yield measures (current yield, yield to maturity by RATE and by explicit cash flows, spread, pull to par); the book's default assumptions by rating (expected loss, cumulative default, the break-even PD); the HY sleeve's IRR for 0 to 4 defaults at three recoveries, each cell built from the six bonds' quarterly flows; hold or sell a defaulted bond; duration and convexity of the IG ladder and Harrowgate from explicit cash-flow tables; a generic CLO's tranche losses and break-even defaults.</t>
  </si>
  <si>
    <t xml:space="preserve">Where it is in the book</t>
  </si>
  <si>
    <t xml:space="preserve">Part I: the yield on the screen, default and recovery, rates and duration, and the CLO box.</t>
  </si>
  <si>
    <t xml:space="preserve">Sheets</t>
  </si>
  <si>
    <t xml:space="preserve">Assumptions. Yield_Measures. Default_Loss. HY_Default_Grid (the grid at the top, fifteen blocks of flows below). Duration. CLO_Tranches. Checks.</t>
  </si>
  <si>
    <t xml:space="preserve">Conventions</t>
  </si>
  <si>
    <t xml:space="preserve">Yellow cells with blue type are inputs; grey cells are formulas. Change an input and every sheet follows. Money in US dollars. Time in quarters from the purchase (quarter 0). Every return is the IRR of quarterly cash flows, made annual as (1 + quarterly IRR)^4 - 1. Screen yields are simple annual rates. No macros, no circular references, nothing locked, protected or hidden.</t>
  </si>
  <si>
    <t xml:space="preserve">Every issuer, fund, BDC and person in the worked case is fictional. Every rate, spread, default and recovery figure is the book's assumption, not a market statistic.</t>
  </si>
  <si>
    <t xml:space="preserve">Checks</t>
  </si>
  <si>
    <t xml:space="preserve">The last sheet, Checks, sets every figure the book prints from this workbook beside the live cell that computes it, with the tolerance of the printed rounding, plus logic checks. Its global status reads PASS only if every check passes.</t>
  </si>
  <si>
    <t xml:space="preserve">The file is provided without warranty of any kind. It is a teaching model, not investment, legal or tax advice.</t>
  </si>
  <si>
    <t xml:space="preserve">Assumptions: the investor, the market and the seventeen lines</t>
  </si>
  <si>
    <t xml:space="preserve">Yellow cells with blue type are inputs; change one and every sheet follows. Every figure is the book's assumption for a fictional case, not a market statistic.</t>
  </si>
  <si>
    <t xml:space="preserve">Market and investor</t>
  </si>
  <si>
    <t xml:space="preserve">Risk-free rate (Treasury bills; base SOFR)</t>
  </si>
  <si>
    <t xml:space="preserve">a year</t>
  </si>
  <si>
    <t xml:space="preserve">Budget</t>
  </si>
  <si>
    <t xml:space="preserve">Recovery, senior unsecured bond</t>
  </si>
  <si>
    <t xml:space="preserve">Recovery, senior secured loan</t>
  </si>
  <si>
    <t xml:space="preserve">Annual probability of default by rating (the book's assumptions)</t>
  </si>
  <si>
    <t xml:space="preserve">Rating</t>
  </si>
  <si>
    <t xml:space="preserve">Annual PD</t>
  </si>
  <si>
    <t xml:space="preserve">A</t>
  </si>
  <si>
    <t xml:space="preserve">BBB</t>
  </si>
  <si>
    <t xml:space="preserve">BB</t>
  </si>
  <si>
    <t xml:space="preserve">B</t>
  </si>
  <si>
    <t xml:space="preserve">CCC</t>
  </si>
  <si>
    <t xml:space="preserve">Investment-grade ladder: bought at 100 on a coupon date, semiannual coupons</t>
  </si>
  <si>
    <t xml:space="preserve">Face per bond</t>
  </si>
  <si>
    <t xml:space="preserve">Bond</t>
  </si>
  <si>
    <t xml:space="preserve">Spread</t>
  </si>
  <si>
    <t xml:space="preserve">Maturity (years)</t>
  </si>
  <si>
    <t xml:space="preserve">Coupon (risk-free + spread)</t>
  </si>
  <si>
    <t xml:space="preserve">Aldermoor Utilities</t>
  </si>
  <si>
    <t xml:space="preserve">Carrow Rail</t>
  </si>
  <si>
    <t xml:space="preserve">Hesketh Foods</t>
  </si>
  <si>
    <t xml:space="preserve">Penrith Medical</t>
  </si>
  <si>
    <t xml:space="preserve">Stanwick Networks</t>
  </si>
  <si>
    <t xml:space="preserve">High-yield bonds: bought below 100 on a coupon date, semiannual coupons</t>
  </si>
  <si>
    <t xml:space="preserve">Maturity at purchase</t>
  </si>
  <si>
    <t xml:space="preserve">years</t>
  </si>
  <si>
    <t xml:space="preserve">Coupon</t>
  </si>
  <si>
    <t xml:space="preserve">Price (per 100)</t>
  </si>
  <si>
    <t xml:space="preserve">Cost</t>
  </si>
  <si>
    <t xml:space="preserve">Blakeney Packaging</t>
  </si>
  <si>
    <t xml:space="preserve">Dunmore Leisure</t>
  </si>
  <si>
    <t xml:space="preserve">Fenwick Chemicals</t>
  </si>
  <si>
    <t xml:space="preserve">Garside Auto Parts</t>
  </si>
  <si>
    <t xml:space="preserve">Marlow Home Brands</t>
  </si>
  <si>
    <t xml:space="preserve">Harrowgate Pneumatics</t>
  </si>
  <si>
    <t xml:space="preserve">Floating-rate loan fund: Brindle Floating Rate Fund (open-end, daily liquidity)</t>
  </si>
  <si>
    <t xml:space="preserve">Amount invested</t>
  </si>
  <si>
    <t xml:space="preserve">NAV per share at purchase</t>
  </si>
  <si>
    <t xml:space="preserve">Loan spread over SOFR</t>
  </si>
  <si>
    <t xml:space="preserve">Fund expenses</t>
  </si>
  <si>
    <t xml:space="preserve">of NAV a year</t>
  </si>
  <si>
    <t xml:space="preserve">Annual default rate of the loans</t>
  </si>
  <si>
    <t xml:space="preserve">Loss given default (1 - loan recovery)</t>
  </si>
  <si>
    <t xml:space="preserve">Listed BDCs (fractional shares allowed in the model)</t>
  </si>
  <si>
    <t xml:space="preserve">Amount in each BDC</t>
  </si>
  <si>
    <t xml:space="preserve">BDC</t>
  </si>
  <si>
    <t xml:space="preserve">Ledgerwood Capital</t>
  </si>
  <si>
    <t xml:space="preserve">Tamsin Lending</t>
  </si>
  <si>
    <t xml:space="preserve">Corlett Credit</t>
  </si>
  <si>
    <t xml:space="preserve">Share price at purchase</t>
  </si>
  <si>
    <t xml:space="preserve">Quarterly dividend per share</t>
  </si>
  <si>
    <t xml:space="preserve">Asset spread over SOFR</t>
  </si>
  <si>
    <t xml:space="preserve">Leverage (debt / equity)</t>
  </si>
  <si>
    <t xml:space="preserve">Cost of debt</t>
  </si>
  <si>
    <t xml:space="preserve">Base fee on gross assets</t>
  </si>
  <si>
    <t xml:space="preserve">Other expenses (of NAV)</t>
  </si>
  <si>
    <t xml:space="preserve">Incentive fee (of pre-incentive NII)</t>
  </si>
  <si>
    <t xml:space="preserve">NAV credit losses a year</t>
  </si>
  <si>
    <t xml:space="preserve">Non-accruals, quarters 1 to 4</t>
  </si>
  <si>
    <t xml:space="preserve">Non-accruals, quarters 5 to 8</t>
  </si>
  <si>
    <t xml:space="preserve">Non-accruals, quarters 9 to 12</t>
  </si>
  <si>
    <t xml:space="preserve">Dividend cut from quarter (base case)</t>
  </si>
  <si>
    <t xml:space="preserve">none</t>
  </si>
  <si>
    <t xml:space="preserve">Dividend after the cut</t>
  </si>
  <si>
    <t xml:space="preserve">Discount (-) or premium at quarter 12</t>
  </si>
  <si>
    <t xml:space="preserve">'none' means no cut in the base case. The discount at quarter 12 is the base case; scenarios can override it.</t>
  </si>
  <si>
    <t xml:space="preserve">Private credit interval fund: Ashcombe Private Credit Interval Fund</t>
  </si>
  <si>
    <t xml:space="preserve">Distribution per share a quarter</t>
  </si>
  <si>
    <t xml:space="preserve">Fees and discount on the loans (a year)</t>
  </si>
  <si>
    <t xml:space="preserve">Leverage (debt / NAV)</t>
  </si>
  <si>
    <t xml:space="preserve">Borrowing cost: SOFR plus</t>
  </si>
  <si>
    <t xml:space="preserve">Management fee on gross assets</t>
  </si>
  <si>
    <t xml:space="preserve">Servicing fee (of NAV)</t>
  </si>
  <si>
    <t xml:space="preserve">Incentive fee</t>
  </si>
  <si>
    <t xml:space="preserve">Hurdle (pre-incentive NII, of NAV)</t>
  </si>
  <si>
    <t xml:space="preserve">Loss given default</t>
  </si>
  <si>
    <t xml:space="preserve">Quarterly repurchase offer (share of the fund)</t>
  </si>
  <si>
    <t xml:space="preserve">Treasury bill reserve: what is left of the budget</t>
  </si>
  <si>
    <t xml:space="preserve">Reserve = budget - IG - HY - loan fund - BDCs - interval fund</t>
  </si>
  <si>
    <t xml:space="preserve">Time runs in quarters from the purchase (quarter 0). Everything tradable is sold or valued at quarter 12; the interval fund is tendered at quarter 12 and pays as the fund allows, up to quarter 16.</t>
  </si>
  <si>
    <t xml:space="preserve">The yield on the screen: Harrowgate Pneumatics (CCC)</t>
  </si>
  <si>
    <t xml:space="preserve">Current yield, yield to maturity by RATE and by explicit cash flows, the spread and the pull to par.</t>
  </si>
  <si>
    <t xml:space="preserve">Years to maturity</t>
  </si>
  <si>
    <t xml:space="preserve">Cost of the line (face x price)</t>
  </si>
  <si>
    <t xml:space="preserve">Current yield (coupon / price)</t>
  </si>
  <si>
    <t xml:space="preserve">Yield to maturity, RATE() on the semiannual flows, x 2</t>
  </si>
  <si>
    <t xml:space="preserve">Spread over the risk-free rate</t>
  </si>
  <si>
    <t xml:space="preserve">Pull to par: yield to maturity minus current yield</t>
  </si>
  <si>
    <t xml:space="preserve">Recovered in a default at the bond recovery rate</t>
  </si>
  <si>
    <t xml:space="preserve">The same yield from the explicit cash flows (per 100 of face)</t>
  </si>
  <si>
    <t xml:space="preserve">Half-year</t>
  </si>
  <si>
    <t xml:space="preserve">Cash flow</t>
  </si>
  <si>
    <t xml:space="preserve">IRR() of the half-year flows, x 2</t>
  </si>
  <si>
    <t xml:space="preserve">Quoted and effective: a semiannual yield restated as an effective annual rate</t>
  </si>
  <si>
    <t xml:space="preserve">Stanwick Networks yield at purchase (coupon, bought at 100)</t>
  </si>
  <si>
    <t xml:space="preserve">Effective annual rate: (1 + y/2)^2 - 1</t>
  </si>
  <si>
    <t xml:space="preserve">Default and recovery: expected loss, cumulative default and the break-even PD</t>
  </si>
  <si>
    <t xml:space="preserve">Expected loss a year = PD x (1 - recovery). Cumulative PD over n years = 1 - (1 - PD)^n.</t>
  </si>
  <si>
    <t xml:space="preserve">Years for the cumulative PD</t>
  </si>
  <si>
    <t xml:space="preserve">Recovery</t>
  </si>
  <si>
    <t xml:space="preserve">Expected loss a year</t>
  </si>
  <si>
    <t xml:space="preserve">Cumulative PD</t>
  </si>
  <si>
    <t xml:space="preserve">Harrowgate Pneumatics: the spread against the expected loss</t>
  </si>
  <si>
    <t xml:space="preserve">Expected loss a year (PD of its rating x (1 - recovery))</t>
  </si>
  <si>
    <t xml:space="preserve">Expected yield: yield to maturity - expected loss</t>
  </si>
  <si>
    <t xml:space="preserve">Break-even PD: spread / (1 - recovery)</t>
  </si>
  <si>
    <t xml:space="preserve">Expected yield at the break-even PD (equals the bill)</t>
  </si>
  <si>
    <t xml:space="preserve">The bond lines: cost, displayed yield (the screen) and expected yield (less the expected loss)</t>
  </si>
  <si>
    <t xml:space="preserve">Displayed</t>
  </si>
  <si>
    <t xml:space="preserve">Expected</t>
  </si>
  <si>
    <t xml:space="preserve">IG sleeve cost</t>
  </si>
  <si>
    <t xml:space="preserve">HY sleeve cost</t>
  </si>
  <si>
    <t xml:space="preserve">Loan fund, share of the budget</t>
  </si>
  <si>
    <t xml:space="preserve">The loan fund's expected loss</t>
  </si>
  <si>
    <t xml:space="preserve">Hold or sell a defaulted bond (per 100 of face)</t>
  </si>
  <si>
    <t xml:space="preserve">Sell in quarter</t>
  </si>
  <si>
    <t xml:space="preserve">Sale price (cents on the dollar)</t>
  </si>
  <si>
    <t xml:space="preserve">Recovery paid in quarter</t>
  </si>
  <si>
    <t xml:space="preserve">Recovery if all goes to plan (cents)</t>
  </si>
  <si>
    <t xml:space="preserve">A lower recovery (cents)</t>
  </si>
  <si>
    <t xml:space="preserve">Annual rate earned by waiting: (recovery / sale price)^(4 / quarters) - 1</t>
  </si>
  <si>
    <t xml:space="preserve">The same at the lower recovery</t>
  </si>
  <si>
    <t xml:space="preserve">The HY sleeve by number of defaults and recovery: IRR a year</t>
  </si>
  <si>
    <t xml:space="preserve">Worst-rated first. Coupon missed in the quarter below, recovery paid in the quarter below; survivors sold at quarter 12 at their purchase yield. Each cell of the grid is the IRR of one block of quarterly flows further down.</t>
  </si>
  <si>
    <t xml:space="preserve">Coupon missed in quarter</t>
  </si>
  <si>
    <t xml:space="preserve">Default order</t>
  </si>
  <si>
    <t xml:space="preserve">HY sleeve IRR a year</t>
  </si>
  <si>
    <t xml:space="preserve">Recovery \ defaults</t>
  </si>
  <si>
    <t xml:space="preserve">Read across: each default costs the sleeve about four to six points of IRR. Read down: recovery matters more as defaults add up.</t>
  </si>
  <si>
    <t xml:space="preserve">Block: recovery 25%, 0 defaults</t>
  </si>
  <si>
    <t xml:space="preserve">Number of defaults</t>
  </si>
  <si>
    <t xml:space="preserve">Defaults?</t>
  </si>
  <si>
    <t xml:space="preserve">Price at quarter 12</t>
  </si>
  <si>
    <t xml:space="preserve">Yield at purchase</t>
  </si>
  <si>
    <t xml:space="preserve">Gain</t>
  </si>
  <si>
    <t xml:space="preserve">IRR a year</t>
  </si>
  <si>
    <t xml:space="preserve">HY sleeve</t>
  </si>
  <si>
    <t xml:space="preserve">Block: recovery 25%, 1 defaults</t>
  </si>
  <si>
    <t xml:space="preserve">Block: recovery 25%, 2 defaults</t>
  </si>
  <si>
    <t xml:space="preserve">Block: recovery 25%, 3 defaults</t>
  </si>
  <si>
    <t xml:space="preserve">Block: recovery 25%, 4 defaults</t>
  </si>
  <si>
    <t xml:space="preserve">Block: recovery 40%, 0 defaults</t>
  </si>
  <si>
    <t xml:space="preserve">Block: recovery 40%, 1 defaults</t>
  </si>
  <si>
    <t xml:space="preserve">Block: recovery 40%, 2 defaults</t>
  </si>
  <si>
    <t xml:space="preserve">Block: recovery 40%, 3 defaults</t>
  </si>
  <si>
    <t xml:space="preserve">Block: recovery 40%, 4 defaults</t>
  </si>
  <si>
    <t xml:space="preserve">Block: recovery 55%, 0 defaults</t>
  </si>
  <si>
    <t xml:space="preserve">Block: recovery 55%, 1 defaults</t>
  </si>
  <si>
    <t xml:space="preserve">Block: recovery 55%, 2 defaults</t>
  </si>
  <si>
    <t xml:space="preserve">Block: recovery 55%, 3 defaults</t>
  </si>
  <si>
    <t xml:space="preserve">Block: recovery 55%, 4 defaults</t>
  </si>
  <si>
    <t xml:space="preserve">Duration and convexity from explicit cash-flow tables</t>
  </si>
  <si>
    <t xml:space="preserve">Semiannual coupons, bought on a coupon date. Duration in years; the price change for a yield change of dy is about -modified duration x dy + 1/2 x convexity x dy^2.</t>
  </si>
  <si>
    <t xml:space="preserve">Stanwick Networks coupon (risk-free + spread)</t>
  </si>
  <si>
    <t xml:space="preserve">Yield at purchase (bought at 100, so the coupon)</t>
  </si>
  <si>
    <t xml:space="preserve">Half-years to maturity</t>
  </si>
  <si>
    <t xml:space="preserve">Stanwick Networks: cash flows per 100 of face, discounted at the yield</t>
  </si>
  <si>
    <t xml:space="preserve">Half-year k</t>
  </si>
  <si>
    <t xml:space="preserve">PV at the yield</t>
  </si>
  <si>
    <t xml:space="preserve">k x PV</t>
  </si>
  <si>
    <t xml:space="preserve">k x (k + 1) x PV</t>
  </si>
  <si>
    <t xml:space="preserve">PV, yield shifted</t>
  </si>
  <si>
    <t xml:space="preserve">Yield shift (points)</t>
  </si>
  <si>
    <t xml:space="preserve">Stanwick Networks: price (sum of the PVs)</t>
  </si>
  <si>
    <t xml:space="preserve">Stanwick Networks: Macaulay duration (years)</t>
  </si>
  <si>
    <t xml:space="preserve">Stanwick Networks: modified duration</t>
  </si>
  <si>
    <t xml:space="preserve">Stanwick Networks: convexity (years squared)</t>
  </si>
  <si>
    <t xml:space="preserve">Stanwick Networks: price with the yield shifted by G11</t>
  </si>
  <si>
    <t xml:space="preserve">Stanwick Networks: price with the yield shifted by H11</t>
  </si>
  <si>
    <t xml:space="preserve">Stanwick Networks: price with the yield shifted by I11</t>
  </si>
  <si>
    <t xml:space="preserve">Stanwick Networks: the same price with PV()</t>
  </si>
  <si>
    <t xml:space="preserve">Price change for +1 point (actual)</t>
  </si>
  <si>
    <t xml:space="preserve">Duration estimate: -modified duration x dy</t>
  </si>
  <si>
    <t xml:space="preserve">With convexity: + 1/2 x convexity x dy^2</t>
  </si>
  <si>
    <t xml:space="preserve">Aldermoor Utilities coupon</t>
  </si>
  <si>
    <t xml:space="preserve">Aldermoor Utilities: cash flows per 100 of face, discounted at the yield</t>
  </si>
  <si>
    <t xml:space="preserve">Aldermoor Utilities: price (sum of the PVs)</t>
  </si>
  <si>
    <t xml:space="preserve">Aldermoor Utilities: Macaulay duration (years)</t>
  </si>
  <si>
    <t xml:space="preserve">Aldermoor Utilities: modified duration</t>
  </si>
  <si>
    <t xml:space="preserve">Aldermoor Utilities: convexity (years squared)</t>
  </si>
  <si>
    <t xml:space="preserve">Aldermoor Utilities: price with the yield shifted by G42</t>
  </si>
  <si>
    <t xml:space="preserve">Aldermoor Utilities: the same price with PV()</t>
  </si>
  <si>
    <t xml:space="preserve">Carrow Rail coupon</t>
  </si>
  <si>
    <t xml:space="preserve">Carrow Rail: cash flows per 100 of face, discounted at the yield</t>
  </si>
  <si>
    <t xml:space="preserve">Carrow Rail: price (sum of the PVs)</t>
  </si>
  <si>
    <t xml:space="preserve">Carrow Rail: Macaulay duration (years)</t>
  </si>
  <si>
    <t xml:space="preserve">Carrow Rail: modified duration</t>
  </si>
  <si>
    <t xml:space="preserve">Carrow Rail: convexity (years squared)</t>
  </si>
  <si>
    <t xml:space="preserve">Carrow Rail: the same price with PV()</t>
  </si>
  <si>
    <t xml:space="preserve">Hesketh Foods coupon</t>
  </si>
  <si>
    <t xml:space="preserve">Hesketh Foods: cash flows per 100 of face, discounted at the yield</t>
  </si>
  <si>
    <t xml:space="preserve">Hesketh Foods: price (sum of the PVs)</t>
  </si>
  <si>
    <t xml:space="preserve">Hesketh Foods: Macaulay duration (years)</t>
  </si>
  <si>
    <t xml:space="preserve">Hesketh Foods: modified duration</t>
  </si>
  <si>
    <t xml:space="preserve">Hesketh Foods: convexity (years squared)</t>
  </si>
  <si>
    <t xml:space="preserve">Hesketh Foods: the same price with PV()</t>
  </si>
  <si>
    <t xml:space="preserve">Penrith Medical coupon</t>
  </si>
  <si>
    <t xml:space="preserve">Penrith Medical: cash flows per 100 of face, discounted at the yield</t>
  </si>
  <si>
    <t xml:space="preserve">Penrith Medical: price (sum of the PVs)</t>
  </si>
  <si>
    <t xml:space="preserve">Penrith Medical: Macaulay duration (years)</t>
  </si>
  <si>
    <t xml:space="preserve">Penrith Medical: modified duration</t>
  </si>
  <si>
    <t xml:space="preserve">Penrith Medical: convexity (years squared)</t>
  </si>
  <si>
    <t xml:space="preserve">Penrith Medical: the same price with PV()</t>
  </si>
  <si>
    <t xml:space="preserve">IG sleeve modified duration at purchase (equal weights)</t>
  </si>
  <si>
    <t xml:space="preserve">Harrowgate Pneumatics yield to maturity</t>
  </si>
  <si>
    <t xml:space="preserve">Harrowgate Pneumatics: cash flows per 100 of face, discounted at the yield</t>
  </si>
  <si>
    <t xml:space="preserve">Harrowgate Pneumatics: price (sum of the PVs)</t>
  </si>
  <si>
    <t xml:space="preserve">Harrowgate Pneumatics: Macaulay duration (years)</t>
  </si>
  <si>
    <t xml:space="preserve">Harrowgate Pneumatics: modified duration</t>
  </si>
  <si>
    <t xml:space="preserve">Harrowgate Pneumatics: convexity (years squared)</t>
  </si>
  <si>
    <t xml:space="preserve">Harrowgate Pneumatics: the same price with PV()</t>
  </si>
  <si>
    <t xml:space="preserve">A generic CLO: who takes the pool's losses</t>
  </si>
  <si>
    <t xml:space="preserve">Pool loss = cumulative default rate x LGD. Tranche loss = (pool loss - attachment) / thickness, between 0 and 100%. Break-even cumulative default = attachment / LGD. Not held by the investor.</t>
  </si>
  <si>
    <t xml:space="preserve">Loss given default of the pool's loans</t>
  </si>
  <si>
    <t xml:space="preserve">Cumulative default rate (CDR)</t>
  </si>
  <si>
    <t xml:space="preserve">Pool loss (CDR x LGD)</t>
  </si>
  <si>
    <t xml:space="preserve">Tranche</t>
  </si>
  <si>
    <t xml:space="preserve">Attachment</t>
  </si>
  <si>
    <t xml:space="preserve">Detachment</t>
  </si>
  <si>
    <t xml:space="preserve">Break-even CDR</t>
  </si>
  <si>
    <t xml:space="preserve">Loss</t>
  </si>
  <si>
    <t xml:space="preserve">AAA</t>
  </si>
  <si>
    <t xml:space="preserve">AA</t>
  </si>
  <si>
    <t xml:space="preserve">Equity</t>
  </si>
  <si>
    <t xml:space="preserve">residual</t>
  </si>
  <si>
    <t xml:space="preserve">Derived figures: the arithmetic the text prints, recomputed from the live cells</t>
  </si>
  <si>
    <t xml:space="preserve">Each row takes the expression the manuscript uses (facts.json), with percentages in percent units, and computes it from the cells of this workbook. The Checks sheet compares each with the printed figure.</t>
  </si>
  <si>
    <t xml:space="preserve">Key</t>
  </si>
  <si>
    <t xml:space="preserve">Expression (percent figures in percent units)</t>
  </si>
  <si>
    <t xml:space="preserve">Value</t>
  </si>
  <si>
    <t xml:space="preserve">Printed</t>
  </si>
  <si>
    <t xml:space="preserve">HARR_CPN_USD</t>
  </si>
  <si>
    <t xml:space="preserve">HY_FACE * HARR_CPN / 100  (02.md)</t>
  </si>
  <si>
    <t xml:space="preserve">$1,062.50</t>
  </si>
  <si>
    <t xml:space="preserve">HARR_CPN_SEMI</t>
  </si>
  <si>
    <t xml:space="preserve">HARR_CPN_USD / 2  (02.md)</t>
  </si>
  <si>
    <t xml:space="preserve">$531.25</t>
  </si>
  <si>
    <t xml:space="preserve">LF_LOAN_RATE</t>
  </si>
  <si>
    <t xml:space="preserve">RF + LF_SPREAD  (02.md)</t>
  </si>
  <si>
    <t xml:space="preserve">7.60</t>
  </si>
  <si>
    <t xml:space="preserve">DER_006</t>
  </si>
  <si>
    <t xml:space="preserve">4 * BDC_LEDGER_DIV  (02.md)</t>
  </si>
  <si>
    <t xml:space="preserve">$1.92</t>
  </si>
  <si>
    <t xml:space="preserve">DER_007</t>
  </si>
  <si>
    <t xml:space="preserve">4 * BDC_TAMSIN_DIV  (02.md)</t>
  </si>
  <si>
    <t xml:space="preserve">$1.60</t>
  </si>
  <si>
    <t xml:space="preserve">CORL_DIV_YEAR</t>
  </si>
  <si>
    <t xml:space="preserve">4 * BDC_CORLET_DIV  (02.md)</t>
  </si>
  <si>
    <t xml:space="preserve">$1.32</t>
  </si>
  <si>
    <t xml:space="preserve">DER_009</t>
  </si>
  <si>
    <t xml:space="preserve">IG_STANWI_DISP / 2  (02.md)</t>
  </si>
  <si>
    <t xml:space="preserve">2.725</t>
  </si>
  <si>
    <t xml:space="preserve">DER_010</t>
  </si>
  <si>
    <t xml:space="preserve">1 - PD_B / 100  (03.md)</t>
  </si>
  <si>
    <t xml:space="preserve">0.97</t>
  </si>
  <si>
    <t xml:space="preserve">DER_011</t>
  </si>
  <si>
    <t xml:space="preserve">(1 - PD_B / 100) ** 5  (03.md)</t>
  </si>
  <si>
    <t xml:space="preserve">0.859</t>
  </si>
  <si>
    <t xml:space="preserve">DER_012</t>
  </si>
  <si>
    <t xml:space="preserve">(1 - PD_CCC / 100) ** 5  (03.md)</t>
  </si>
  <si>
    <t xml:space="preserve">0.444</t>
  </si>
  <si>
    <t xml:space="preserve">DER_013</t>
  </si>
  <si>
    <t xml:space="preserve">round(EL_CCC, 2) - round(HARR_SPREAD, 2)  (03.md)</t>
  </si>
  <si>
    <t xml:space="preserve">2.94</t>
  </si>
  <si>
    <t xml:space="preserve">MARL_SPREAD</t>
  </si>
  <si>
    <t xml:space="preserve">round(HY_MARLOW_DISP, 2) - RF  (03.md)</t>
  </si>
  <si>
    <t xml:space="preserve">4.75</t>
  </si>
  <si>
    <t xml:space="preserve">DER_015</t>
  </si>
  <si>
    <t xml:space="preserve">MARL_SPREAD / (1 - REC_BOND / 100)  (03.md)</t>
  </si>
  <si>
    <t xml:space="preserve">7.9</t>
  </si>
  <si>
    <t xml:space="preserve">DER_017</t>
  </si>
  <si>
    <t xml:space="preserve">round(HY_MARLOW_EXP, 2) - RF  (03.md)</t>
  </si>
  <si>
    <t xml:space="preserve">2.95</t>
  </si>
  <si>
    <t xml:space="preserve">DER_018</t>
  </si>
  <si>
    <t xml:space="preserve">round(IG_ALDERM_EXP, 2) - RF  (03.md)</t>
  </si>
  <si>
    <t xml:space="preserve">0.77</t>
  </si>
  <si>
    <t xml:space="preserve">DER_019</t>
  </si>
  <si>
    <t xml:space="preserve">IG_STANWI_COST * STAN_CPN / 100  (04.md)</t>
  </si>
  <si>
    <t xml:space="preserve">$1,362.50</t>
  </si>
  <si>
    <t xml:space="preserve">STAN_UP_USD</t>
  </si>
  <si>
    <t xml:space="preserve">IG_STANWI_COST * abs(round(STAN_UP_CH, 2)) / 100  (04.md)</t>
  </si>
  <si>
    <t xml:space="preserve">$1,227.50</t>
  </si>
  <si>
    <t xml:space="preserve">STAN_CONV1</t>
  </si>
  <si>
    <t xml:space="preserve">0.5 * STAN_CONV * 0.01 ** 2 * 100  (04.md)</t>
  </si>
  <si>
    <t xml:space="preserve">0.15</t>
  </si>
  <si>
    <t xml:space="preserve">DER_022</t>
  </si>
  <si>
    <t xml:space="preserve">round(STAN_MOD, 2) + STAN_CONV1  (04.md)</t>
  </si>
  <si>
    <t xml:space="preserve">5.21</t>
  </si>
  <si>
    <t xml:space="preserve">DER_023</t>
  </si>
  <si>
    <t xml:space="preserve">5.21%</t>
  </si>
  <si>
    <t xml:space="preserve">DER_024</t>
  </si>
  <si>
    <t xml:space="preserve">100 - round(STAN_UP2, 2)  (04.md)</t>
  </si>
  <si>
    <t xml:space="preserve">9.54</t>
  </si>
  <si>
    <t xml:space="preserve">DER_025</t>
  </si>
  <si>
    <t xml:space="preserve">round(STAN_UP2, 2) - 100  (04.md)</t>
  </si>
  <si>
    <t xml:space="preserve">-9.54%</t>
  </si>
  <si>
    <t xml:space="preserve">STAN_CONV2</t>
  </si>
  <si>
    <t xml:space="preserve">0.5 * STAN_CONV * 0.02 ** 2 * 100  (04.md)</t>
  </si>
  <si>
    <t xml:space="preserve">0.61</t>
  </si>
  <si>
    <t xml:space="preserve">DER_027</t>
  </si>
  <si>
    <t xml:space="preserve">2 * round(STAN_MOD, 2) - STAN_CONV2  (04.md)</t>
  </si>
  <si>
    <t xml:space="preserve">9.51</t>
  </si>
  <si>
    <t xml:space="preserve">DER_028</t>
  </si>
  <si>
    <t xml:space="preserve">STAN_CONV2 - 2 * round(STAN_MOD, 2)  (04.md)</t>
  </si>
  <si>
    <t xml:space="preserve">-9.51%</t>
  </si>
  <si>
    <t xml:space="preserve">ALD_UP_CH</t>
  </si>
  <si>
    <t xml:space="preserve">100 - round(ALD_UP, 2)  (04.md)</t>
  </si>
  <si>
    <t xml:space="preserve">1.86</t>
  </si>
  <si>
    <t xml:space="preserve">DER_030</t>
  </si>
  <si>
    <t xml:space="preserve">IG_ALDERM_COST * ALD_UP_CH / 100  (04.md)</t>
  </si>
  <si>
    <t xml:space="preserve">$465</t>
  </si>
  <si>
    <t xml:space="preserve">DER_031</t>
  </si>
  <si>
    <t xml:space="preserve">COST_IG * round(IG_DUR, 2) / 100  (04.md)</t>
  </si>
  <si>
    <t xml:space="preserve">$4,400</t>
  </si>
  <si>
    <t xml:space="preserve">DER_032</t>
  </si>
  <si>
    <t xml:space="preserve">HARR_COST * round(HARR_MOD, 2) / 100  (04.md)</t>
  </si>
  <si>
    <t xml:space="preserve">$464</t>
  </si>
  <si>
    <t xml:space="preserve">DER_033</t>
  </si>
  <si>
    <t xml:space="preserve">HARR_COST - HARR_REC  (04.md)</t>
  </si>
  <si>
    <t xml:space="preserve">$6,750</t>
  </si>
  <si>
    <t xml:space="preserve">DER_034</t>
  </si>
  <si>
    <t xml:space="preserve">IG_STANWI_COST * 2 / 100  (04.md)</t>
  </si>
  <si>
    <t xml:space="preserve">$500</t>
  </si>
  <si>
    <t xml:space="preserve">DER_035</t>
  </si>
  <si>
    <t xml:space="preserve">IG_STANWI_COST * (100 - round(STAN_UP2, 2)) / 100  (04.md)</t>
  </si>
  <si>
    <t xml:space="preserve">$2,385</t>
  </si>
  <si>
    <t xml:space="preserve">DER_037</t>
  </si>
  <si>
    <t xml:space="preserve">HARR_CPN_SEMI  (06.md)</t>
  </si>
  <si>
    <t xml:space="preserve">DER_038</t>
  </si>
  <si>
    <t xml:space="preserve">2 * HARR_CPN_SEMI  (06.md)</t>
  </si>
  <si>
    <t xml:space="preserve">DER_039</t>
  </si>
  <si>
    <t xml:space="preserve">HARR_COST - HARR_REC - 2 * HARR_CPN_SEMI  (06.md)</t>
  </si>
  <si>
    <t xml:space="preserve">$5,687.50</t>
  </si>
  <si>
    <t xml:space="preserve">DER_043</t>
  </si>
  <si>
    <t xml:space="preserve">6 * HY_FACE - COST_HY  (06.md)</t>
  </si>
  <si>
    <t xml:space="preserve">$2,000</t>
  </si>
  <si>
    <t xml:space="preserve">HARR_SALE</t>
  </si>
  <si>
    <t xml:space="preserve">HY_FACE * SELL_PX / 100  (06.md)</t>
  </si>
  <si>
    <t xml:space="preserve">$3,750</t>
  </si>
  <si>
    <t xml:space="preserve">DER_045</t>
  </si>
  <si>
    <t xml:space="preserve">HY_FACE * 0.25  (06.md)</t>
  </si>
  <si>
    <t xml:space="preserve">$3,125</t>
  </si>
  <si>
    <t xml:space="preserve">DER_046</t>
  </si>
  <si>
    <t xml:space="preserve">MARL_SPREAD  (06.md)</t>
  </si>
  <si>
    <t xml:space="preserve">DER_047</t>
  </si>
  <si>
    <t xml:space="preserve">LF_LOAN_RATE  (07.md)</t>
  </si>
  <si>
    <t xml:space="preserve">DER_048</t>
  </si>
  <si>
    <t xml:space="preserve">LF_NAV0  (07.md)</t>
  </si>
  <si>
    <t xml:space="preserve">$10.000</t>
  </si>
  <si>
    <t xml:space="preserve">DER_059</t>
  </si>
  <si>
    <t xml:space="preserve">RF + 2 + LF_SPREAD  (07.md)</t>
  </si>
  <si>
    <t xml:space="preserve">9.60</t>
  </si>
  <si>
    <t xml:space="preserve">DER_060</t>
  </si>
  <si>
    <t xml:space="preserve">45 / 100  (07.md)</t>
  </si>
  <si>
    <t xml:space="preserve">0.45</t>
  </si>
  <si>
    <t xml:space="preserve">DER_061</t>
  </si>
  <si>
    <t xml:space="preserve">9 * 45 / 100  (07.md)</t>
  </si>
  <si>
    <t xml:space="preserve">4.05</t>
  </si>
  <si>
    <t xml:space="preserve">DER_062</t>
  </si>
  <si>
    <t xml:space="preserve">100 - CLO_AAA_ATT  (08.md)</t>
  </si>
  <si>
    <t xml:space="preserve">64</t>
  </si>
  <si>
    <t xml:space="preserve">CLO_BB_BAND</t>
  </si>
  <si>
    <t xml:space="preserve">round(CLO_BBB_BE, 1) - round(CLO_BB_BE, 1)  (08.md)</t>
  </si>
  <si>
    <t xml:space="preserve">11.4</t>
  </si>
  <si>
    <t xml:space="preserve">DER_064</t>
  </si>
  <si>
    <t xml:space="preserve">RF + CLO_BB_SPR  (08.md)</t>
  </si>
  <si>
    <t xml:space="preserve">10.50</t>
  </si>
  <si>
    <t xml:space="preserve">DER_065</t>
  </si>
  <si>
    <t xml:space="preserve">CLO_BBB_ATT / 45 * 100  (08.md)</t>
  </si>
  <si>
    <t xml:space="preserve">28.9</t>
  </si>
  <si>
    <t xml:space="preserve">DER_066</t>
  </si>
  <si>
    <t xml:space="preserve">CLO_AAA_ATT / 45 * 100  (08.md)</t>
  </si>
  <si>
    <t xml:space="preserve">80.0</t>
  </si>
  <si>
    <t xml:space="preserve">DER_067</t>
  </si>
  <si>
    <t xml:space="preserve">round(CLO_BB_BE, 1) - CLO_BB_ATT / 45 * 100  (08.md)</t>
  </si>
  <si>
    <t xml:space="preserve">5.7</t>
  </si>
  <si>
    <t xml:space="preserve">DER_068</t>
  </si>
  <si>
    <t xml:space="preserve">4 * BDC_LEDGER_DIV  (09.md)</t>
  </si>
  <si>
    <t xml:space="preserve">DER_069</t>
  </si>
  <si>
    <t xml:space="preserve">4 * BDC_TAMSIN_DIV  (09.md)</t>
  </si>
  <si>
    <t xml:space="preserve">DER_070</t>
  </si>
  <si>
    <t xml:space="preserve">CORL_DIV_YEAR  (09.md)</t>
  </si>
  <si>
    <t xml:space="preserve">DER_071</t>
  </si>
  <si>
    <t xml:space="preserve">CORL_DIV_YEAR / BDC_CORLET_NAV0 * 100  (09.md)</t>
  </si>
  <si>
    <t xml:space="preserve">11.73</t>
  </si>
  <si>
    <t xml:space="preserve">DER_073</t>
  </si>
  <si>
    <t xml:space="preserve">5 * BDC_CORLET_DIV  (09.md)</t>
  </si>
  <si>
    <t xml:space="preserve">$1.65</t>
  </si>
  <si>
    <t xml:space="preserve">DER_080</t>
  </si>
  <si>
    <t xml:space="preserve">BDC_LEDGER_LEV * BDC_LEDGER_COD  (10.md)</t>
  </si>
  <si>
    <t xml:space="preserve">6.60</t>
  </si>
  <si>
    <t xml:space="preserve">DER_082</t>
  </si>
  <si>
    <t xml:space="preserve">BDC_CORLET_LEV * BDC_CORLET_COD  (10.md)</t>
  </si>
  <si>
    <t xml:space="preserve">9.18</t>
  </si>
  <si>
    <t xml:space="preserve">CORL_BASEN</t>
  </si>
  <si>
    <t xml:space="preserve">(1 + BDC_CORLET_LEV) * BDC_CORLET_BASE  (10.md)</t>
  </si>
  <si>
    <t xml:space="preserve">4.11</t>
  </si>
  <si>
    <t xml:space="preserve">CORL_FLOOR</t>
  </si>
  <si>
    <t xml:space="preserve">1.5 * BDC_CORLET_LEV  (10.md)</t>
  </si>
  <si>
    <t xml:space="preserve">2.025</t>
  </si>
  <si>
    <t xml:space="preserve">CORL_ROOM</t>
  </si>
  <si>
    <t xml:space="preserve">1 + BDC_CORLET_LEV - CORL_FLOOR  (10.md)</t>
  </si>
  <si>
    <t xml:space="preserve">0.325</t>
  </si>
  <si>
    <t xml:space="preserve">DER_088</t>
  </si>
  <si>
    <t xml:space="preserve">CORL_ROOM / (1 + BDC_CORLET_LEV) * 100  (10.md)</t>
  </si>
  <si>
    <t xml:space="preserve">13.8</t>
  </si>
  <si>
    <t xml:space="preserve">LEDG_FLOOR</t>
  </si>
  <si>
    <t xml:space="preserve">1.5 * BDC_LEDGER_LEV  (10.md)</t>
  </si>
  <si>
    <t xml:space="preserve">1.65</t>
  </si>
  <si>
    <t xml:space="preserve">LEDG_ROOM</t>
  </si>
  <si>
    <t xml:space="preserve">1 + BDC_LEDGER_LEV - LEDG_FLOOR  (10.md)</t>
  </si>
  <si>
    <t xml:space="preserve">DER_091</t>
  </si>
  <si>
    <t xml:space="preserve">LEDG_ROOM / (1 + BDC_LEDGER_LEV) * 100  (10.md)</t>
  </si>
  <si>
    <t xml:space="preserve">21.4</t>
  </si>
  <si>
    <t xml:space="preserve">DER_092</t>
  </si>
  <si>
    <t xml:space="preserve">CORL_DIV_YEAR  (10.md)</t>
  </si>
  <si>
    <t xml:space="preserve">DER_096</t>
  </si>
  <si>
    <t xml:space="preserve">IF_NAV0  (11.md)</t>
  </si>
  <si>
    <t xml:space="preserve">$25.000</t>
  </si>
  <si>
    <t xml:space="preserve">DER_120</t>
  </si>
  <si>
    <t xml:space="preserve">RF + IF_CODS  (13.md)</t>
  </si>
  <si>
    <t xml:space="preserve">6.25</t>
  </si>
  <si>
    <t xml:space="preserve">DER_121</t>
  </si>
  <si>
    <t xml:space="preserve">CORL_BASEN  (13.md)</t>
  </si>
  <si>
    <t xml:space="preserve">DER_128</t>
  </si>
  <si>
    <t xml:space="preserve">LF_LOAN_RATE  (13.md)</t>
  </si>
  <si>
    <t xml:space="preserve">C_LF</t>
  </si>
  <si>
    <t xml:space="preserve">round(LF_EL, 2) * W_LOAN_FUND / 100  (15.md)</t>
  </si>
  <si>
    <t xml:space="preserve">0.16</t>
  </si>
  <si>
    <t xml:space="preserve">DER_151</t>
  </si>
  <si>
    <t xml:space="preserve">HARR_CPN_SEMI  (16.md)</t>
  </si>
  <si>
    <t xml:space="preserve">DER_158</t>
  </si>
  <si>
    <t xml:space="preserve">IG_ALDERM_COST * ALD_CPN / 100 / 2  (16.md)</t>
  </si>
  <si>
    <t xml:space="preserve">$600</t>
  </si>
  <si>
    <t xml:space="preserve">DER_168</t>
  </si>
  <si>
    <t xml:space="preserve">COST_IG + COST_HY  (17.md)</t>
  </si>
  <si>
    <t xml:space="preserve">$198,000</t>
  </si>
  <si>
    <t xml:space="preserve">DER_193</t>
  </si>
  <si>
    <t xml:space="preserve">(1 + BDC_CORLET_LEV) / BDC_CORLET_LEV  (19.md)</t>
  </si>
  <si>
    <t xml:space="preserve">1.74</t>
  </si>
  <si>
    <t xml:space="preserve">DER_194</t>
  </si>
  <si>
    <t xml:space="preserve">CORL_BASEN  (19.md)</t>
  </si>
  <si>
    <t xml:space="preserve">DER_199</t>
  </si>
  <si>
    <t xml:space="preserve">4 * IF_DIST  (02.md)</t>
  </si>
  <si>
    <t xml:space="preserve">$2.25</t>
  </si>
  <si>
    <t xml:space="preserve">DER_200</t>
  </si>
  <si>
    <t xml:space="preserve">1 - PD_CCC / 100  (03.md)</t>
  </si>
  <si>
    <t xml:space="preserve">0.85</t>
  </si>
  <si>
    <t xml:space="preserve">DER_201</t>
  </si>
  <si>
    <t xml:space="preserve">2 * round(STAN_MOD, 2)  (04.md)</t>
  </si>
  <si>
    <t xml:space="preserve">10.12</t>
  </si>
  <si>
    <t xml:space="preserve">DER_202</t>
  </si>
  <si>
    <t xml:space="preserve">-2 * round(STAN_MOD, 2)  (04.md)</t>
  </si>
  <si>
    <t xml:space="preserve">-10.12%</t>
  </si>
  <si>
    <t xml:space="preserve">DER_203</t>
  </si>
  <si>
    <t xml:space="preserve">RF - 1.5 + LF_SPREAD - LF_FEE  (04.md)</t>
  </si>
  <si>
    <t xml:space="preserve">5.15</t>
  </si>
  <si>
    <t xml:space="preserve">DER_204</t>
  </si>
  <si>
    <t xml:space="preserve">STAN_CPN + 2  (04.md)</t>
  </si>
  <si>
    <t xml:space="preserve">7.45</t>
  </si>
  <si>
    <t xml:space="preserve">DER_208</t>
  </si>
  <si>
    <t xml:space="preserve">RF - 1.5 + LF_SPREAD - LF_FEE  (07.md)</t>
  </si>
  <si>
    <t xml:space="preserve">DER_211</t>
  </si>
  <si>
    <t xml:space="preserve">BDC_LEDGER_NAV0 - BDC_LEDGER_PX  (09.md)</t>
  </si>
  <si>
    <t xml:space="preserve">$1.00</t>
  </si>
  <si>
    <t xml:space="preserve">DER_212</t>
  </si>
  <si>
    <t xml:space="preserve">BDC_CORLET_NAV0 - BDC_CORLET_PX  (09.md)</t>
  </si>
  <si>
    <t xml:space="preserve">DER_213</t>
  </si>
  <si>
    <t xml:space="preserve">BDC_TAMSIN_PX - BDC_TAMSIN_NAV0  (09.md)</t>
  </si>
  <si>
    <t xml:space="preserve">DER_214</t>
  </si>
  <si>
    <t xml:space="preserve">1 + BDC_LEDGER_LEV  (10.md)</t>
  </si>
  <si>
    <t xml:space="preserve">2.10</t>
  </si>
  <si>
    <t xml:space="preserve">DER_215</t>
  </si>
  <si>
    <t xml:space="preserve">1 + BDC_CORLET_LEV  (10.md)</t>
  </si>
  <si>
    <t xml:space="preserve">2.35</t>
  </si>
  <si>
    <t xml:space="preserve">DER_216</t>
  </si>
  <si>
    <t xml:space="preserve">1 + BDC_TAMSIN_LEV  (10.md)</t>
  </si>
  <si>
    <t xml:space="preserve">2.00</t>
  </si>
  <si>
    <t xml:space="preserve">DER_218</t>
  </si>
  <si>
    <t xml:space="preserve">4 * IF_DIST  (11.md)</t>
  </si>
  <si>
    <t xml:space="preserve">DER_219</t>
  </si>
  <si>
    <t xml:space="preserve">12 * IF_DIST  (11.md)</t>
  </si>
  <si>
    <t xml:space="preserve">$6.75</t>
  </si>
  <si>
    <t xml:space="preserve">Checks: the figures printed in the book against the live workbook</t>
  </si>
  <si>
    <t xml:space="preserve">Book = the figure as printed in the book (facts.json). Tolerance = half a unit of the last printed digit. The logic checks at the end test that the model holds together. An error value counts as FAIL.</t>
  </si>
  <si>
    <t xml:space="preserve">Number of checks</t>
  </si>
  <si>
    <t xml:space="preserve">PASS</t>
  </si>
  <si>
    <t xml:space="preserve">FAIL</t>
  </si>
  <si>
    <t xml:space="preserve">Global status (PASS only if every check passes)</t>
  </si>
  <si>
    <t xml:space="preserve">#</t>
  </si>
  <si>
    <t xml:space="preserve">Sheet</t>
  </si>
  <si>
    <t xml:space="preserve">Figure printed in the book (facts.json key), or logic check</t>
  </si>
  <si>
    <t xml:space="preserve">Book</t>
  </si>
  <si>
    <t xml:space="preserve">Workbook</t>
  </si>
  <si>
    <t xml:space="preserve">Difference</t>
  </si>
  <si>
    <t xml:space="preserve">Tolerance</t>
  </si>
  <si>
    <t xml:space="preserve">Status</t>
  </si>
  <si>
    <t xml:space="preserve">Assumptions</t>
  </si>
  <si>
    <t xml:space="preserve">RF: Risk-free rate (Treasury bills; base SOFR)</t>
  </si>
  <si>
    <t xml:space="preserve">HY_FACE: Face per bond</t>
  </si>
  <si>
    <t xml:space="preserve">REC_BOND: Recovery, senior unsecured bond</t>
  </si>
  <si>
    <t xml:space="preserve">REC_LOAN: Recovery, senior secured loan</t>
  </si>
  <si>
    <t xml:space="preserve">LF_SPREAD: Loan spread over SOFR</t>
  </si>
  <si>
    <t xml:space="preserve">LF_FEE: Fund expenses</t>
  </si>
  <si>
    <t xml:space="preserve">LF_NAV0: NAV per share at purchase</t>
  </si>
  <si>
    <t xml:space="preserve">IF_NAV0: NAV per share at purchase</t>
  </si>
  <si>
    <t xml:space="preserve">IF_CODS: Borrowing cost: SOFR plus</t>
  </si>
  <si>
    <t xml:space="preserve">IF_DIST: Distribution per share a quarter</t>
  </si>
  <si>
    <t xml:space="preserve">HARR_CPN: Harrowgate Pneumatics, coupon</t>
  </si>
  <si>
    <t xml:space="preserve">HARR_PX: Harrowgate Pneumatics, price</t>
  </si>
  <si>
    <t xml:space="preserve">BDC_LEDGER_PX: Ledgerwood Capital, share price at purchase</t>
  </si>
  <si>
    <t xml:space="preserve">BDC_LEDGER_LEV: Ledgerwood Capital, leverage (debt / equity)</t>
  </si>
  <si>
    <t xml:space="preserve">BDC_LEDGER_COD: Ledgerwood Capital, cost of debt</t>
  </si>
  <si>
    <t xml:space="preserve">BDC_LEDGER_BASE: Ledgerwood Capital, base fee on gross assets</t>
  </si>
  <si>
    <t xml:space="preserve">BDC_LEDGER_OPEX: Ledgerwood Capital, other expenses (of nav)</t>
  </si>
  <si>
    <t xml:space="preserve">BDC_LEDGER_INC: Ledgerwood Capital, incentive fee (of pre-incentive nii)</t>
  </si>
  <si>
    <t xml:space="preserve">BDC_LEDGER_LOSS: Ledgerwood Capital, nav credit losses a year</t>
  </si>
  <si>
    <t xml:space="preserve">BDC_LEDGER_DIV: Ledgerwood Capital, quarterly dividend per share</t>
  </si>
  <si>
    <t xml:space="preserve">BDC_LEDGER_NAV0: Ledgerwood Capital, nav per share at purchase</t>
  </si>
  <si>
    <t xml:space="preserve">BDC_TAMSIN_PX: Tamsin Lending, share price at purchase</t>
  </si>
  <si>
    <t xml:space="preserve">BDC_TAMSIN_LEV: Tamsin Lending, leverage (debt / equity)</t>
  </si>
  <si>
    <t xml:space="preserve">BDC_TAMSIN_COD: Tamsin Lending, cost of debt</t>
  </si>
  <si>
    <t xml:space="preserve">BDC_TAMSIN_BASE: Tamsin Lending, base fee on gross assets</t>
  </si>
  <si>
    <t xml:space="preserve">BDC_TAMSIN_OPEX: Tamsin Lending, other expenses (of nav)</t>
  </si>
  <si>
    <t xml:space="preserve">BDC_TAMSIN_INC: Tamsin Lending, incentive fee (of pre-incentive nii)</t>
  </si>
  <si>
    <t xml:space="preserve">BDC_TAMSIN_LOSS: Tamsin Lending, nav credit losses a year</t>
  </si>
  <si>
    <t xml:space="preserve">BDC_TAMSIN_DIV: Tamsin Lending, quarterly dividend per share</t>
  </si>
  <si>
    <t xml:space="preserve">BDC_TAMSIN_NAV0: Tamsin Lending, nav per share at purchase</t>
  </si>
  <si>
    <t xml:space="preserve">BDC_CORLET_PX: Corlett Credit, share price at purchase</t>
  </si>
  <si>
    <t xml:space="preserve">BDC_CORLET_LEV: Corlett Credit, leverage (debt / equity)</t>
  </si>
  <si>
    <t xml:space="preserve">BDC_CORLET_COD: Corlett Credit, cost of debt</t>
  </si>
  <si>
    <t xml:space="preserve">BDC_CORLET_BASE: Corlett Credit, base fee on gross assets</t>
  </si>
  <si>
    <t xml:space="preserve">BDC_CORLET_OPEX: Corlett Credit, other expenses (of nav)</t>
  </si>
  <si>
    <t xml:space="preserve">BDC_CORLET_INC: Corlett Credit, incentive fee (of pre-incentive nii)</t>
  </si>
  <si>
    <t xml:space="preserve">BDC_CORLET_LOSS: Corlett Credit, nav credit losses a year</t>
  </si>
  <si>
    <t xml:space="preserve">BDC_CORLET_DIV: Corlett Credit, quarterly dividend per share</t>
  </si>
  <si>
    <t xml:space="preserve">BDC_CORLET_NAV0: Corlett Credit, nav per share at purchase</t>
  </si>
  <si>
    <t xml:space="preserve">RF_2: Risk-free rate (Treasury bills; base SOFR)</t>
  </si>
  <si>
    <t xml:space="preserve">Yield_Measures</t>
  </si>
  <si>
    <t xml:space="preserve">Harrowgate: IRR() over the explicit flows equals RATE()</t>
  </si>
  <si>
    <t xml:space="preserve">holds</t>
  </si>
  <si>
    <t xml:space="preserve">HARR_CPN: Coupon</t>
  </si>
  <si>
    <t xml:space="preserve">HARR_PX: Price (per 100)</t>
  </si>
  <si>
    <t xml:space="preserve">HARR_CY: Current yield (coupon / price)</t>
  </si>
  <si>
    <t xml:space="preserve">HARR_YTM: Yield to maturity, RATE() on the semiannual flows, x 2</t>
  </si>
  <si>
    <t xml:space="preserve">HARR_SPREAD: Spread over the risk-free rate</t>
  </si>
  <si>
    <t xml:space="preserve">HARR_PULL: Pull to par: yield to maturity minus current yield</t>
  </si>
  <si>
    <t xml:space="preserve">HARR_REC: Recovered in a default at the bond recovery rate</t>
  </si>
  <si>
    <t xml:space="preserve">STAN_EFF: Effective annual rate: (1 + y/2)^2 - 1</t>
  </si>
  <si>
    <t xml:space="preserve">HARR_COST: Cost of the line (face x price)</t>
  </si>
  <si>
    <t xml:space="preserve">HARR_COST_2: Cost of the line (face x price)</t>
  </si>
  <si>
    <t xml:space="preserve">Default_Loss</t>
  </si>
  <si>
    <t xml:space="preserve">PD_A: Annual PD, A</t>
  </si>
  <si>
    <t xml:space="preserve">EL_A: Expected loss a year, A bond</t>
  </si>
  <si>
    <t xml:space="preserve">CPD5_A: Cumulative PD over five years, A</t>
  </si>
  <si>
    <t xml:space="preserve">PD_BBB: Annual PD, BBB</t>
  </si>
  <si>
    <t xml:space="preserve">EL_BBB: Expected loss a year, BBB bond</t>
  </si>
  <si>
    <t xml:space="preserve">CPD5_BBB: Cumulative PD over five years, BBB</t>
  </si>
  <si>
    <t xml:space="preserve">PD_BB: Annual PD, BB</t>
  </si>
  <si>
    <t xml:space="preserve">EL_BB: Expected loss a year, BB bond</t>
  </si>
  <si>
    <t xml:space="preserve">CPD5_BB: Cumulative PD over five years, BB</t>
  </si>
  <si>
    <t xml:space="preserve">PD_B: Annual PD, B</t>
  </si>
  <si>
    <t xml:space="preserve">EL_B: Expected loss a year, B bond</t>
  </si>
  <si>
    <t xml:space="preserve">CPD5_B: Cumulative PD over five years, B</t>
  </si>
  <si>
    <t xml:space="preserve">PD_CCC: Annual PD, CCC</t>
  </si>
  <si>
    <t xml:space="preserve">EL_CCC: Expected loss a year, CCC bond</t>
  </si>
  <si>
    <t xml:space="preserve">CPD5_CCC: Cumulative PD over five years, CCC</t>
  </si>
  <si>
    <t xml:space="preserve">HARR_EL: Expected loss a year (PD of its rating x (1 - recovery))</t>
  </si>
  <si>
    <t xml:space="preserve">HARR_SPREAD_2: Spread over the risk-free rate</t>
  </si>
  <si>
    <t xml:space="preserve">HARR_EXP_2: Expected yield: yield to maturity - expected loss</t>
  </si>
  <si>
    <t xml:space="preserve">HARR_BEPD: Break-even PD: spread / (1 - recovery)</t>
  </si>
  <si>
    <t xml:space="preserve">Harrowgate's expected yield is below the Treasury bill</t>
  </si>
  <si>
    <t xml:space="preserve">At the break-even PD the expected yield equals the bill</t>
  </si>
  <si>
    <t xml:space="preserve">IG_ALDERM_COST: Aldermoor Utilities, cost</t>
  </si>
  <si>
    <t xml:space="preserve">IG_ALDERM_DISP: Aldermoor Utilities, displayed yield</t>
  </si>
  <si>
    <t xml:space="preserve">IG_ALDERM_EXP: Aldermoor Utilities, expected yield</t>
  </si>
  <si>
    <t xml:space="preserve">IG_CARROW_COST: Carrow Rail, cost</t>
  </si>
  <si>
    <t xml:space="preserve">IG_CARROW_DISP: Carrow Rail, displayed yield</t>
  </si>
  <si>
    <t xml:space="preserve">IG_CARROW_EXP: Carrow Rail, expected yield</t>
  </si>
  <si>
    <t xml:space="preserve">IG_HESKET_COST: Hesketh Foods, cost</t>
  </si>
  <si>
    <t xml:space="preserve">IG_HESKET_DISP: Hesketh Foods, displayed yield</t>
  </si>
  <si>
    <t xml:space="preserve">IG_HESKET_EXP: Hesketh Foods, expected yield</t>
  </si>
  <si>
    <t xml:space="preserve">IG_PENRIT_COST: Penrith Medical, cost</t>
  </si>
  <si>
    <t xml:space="preserve">IG_PENRIT_DISP: Penrith Medical, displayed yield</t>
  </si>
  <si>
    <t xml:space="preserve">IG_PENRIT_EXP: Penrith Medical, expected yield</t>
  </si>
  <si>
    <t xml:space="preserve">IG_STANWI_COST: Stanwick Networks, cost</t>
  </si>
  <si>
    <t xml:space="preserve">IG_STANWI_DISP: Stanwick Networks, displayed yield</t>
  </si>
  <si>
    <t xml:space="preserve">IG_STANWI_EXP: Stanwick Networks, expected yield</t>
  </si>
  <si>
    <t xml:space="preserve">HY_BLAKEN_COST: Blakeney Packaging, cost</t>
  </si>
  <si>
    <t xml:space="preserve">HY_BLAKEN_DISP: Blakeney Packaging, displayed yield</t>
  </si>
  <si>
    <t xml:space="preserve">HY_BLAKEN_EXP: Blakeney Packaging, expected yield</t>
  </si>
  <si>
    <t xml:space="preserve">HY_DUNMOR_COST: Dunmore Leisure, cost</t>
  </si>
  <si>
    <t xml:space="preserve">HY_DUNMOR_DISP: Dunmore Leisure, displayed yield</t>
  </si>
  <si>
    <t xml:space="preserve">HY_DUNMOR_EXP: Dunmore Leisure, expected yield</t>
  </si>
  <si>
    <t xml:space="preserve">HY_FENWIC_COST: Fenwick Chemicals, cost</t>
  </si>
  <si>
    <t xml:space="preserve">HY_FENWIC_DISP: Fenwick Chemicals, displayed yield</t>
  </si>
  <si>
    <t xml:space="preserve">HY_FENWIC_EXP: Fenwick Chemicals, expected yield</t>
  </si>
  <si>
    <t xml:space="preserve">HY_GARSID_COST: Garside Auto Parts, cost</t>
  </si>
  <si>
    <t xml:space="preserve">HY_GARSID_DISP: Garside Auto Parts, displayed yield</t>
  </si>
  <si>
    <t xml:space="preserve">HY_GARSID_EXP: Garside Auto Parts, expected yield</t>
  </si>
  <si>
    <t xml:space="preserve">HY_MARLOW_COST: Marlow Home Brands, cost</t>
  </si>
  <si>
    <t xml:space="preserve">HY_MARLOW_DISP: Marlow Home Brands, displayed yield</t>
  </si>
  <si>
    <t xml:space="preserve">HY_MARLOW_EXP: Marlow Home Brands, expected yield</t>
  </si>
  <si>
    <t xml:space="preserve">HY_HARROW_COST: Harrowgate Pneumatics, cost</t>
  </si>
  <si>
    <t xml:space="preserve">HY_HARROW_DISP: Harrowgate Pneumatics, displayed yield</t>
  </si>
  <si>
    <t xml:space="preserve">HY_HARROW_EXP: Harrowgate Pneumatics, expected yield</t>
  </si>
  <si>
    <t xml:space="preserve">COST_IG: IG sleeve cost</t>
  </si>
  <si>
    <t xml:space="preserve">COST_HY: HY sleeve cost</t>
  </si>
  <si>
    <t xml:space="preserve">W_LOAN_FUND: Loan fund, share of the budget</t>
  </si>
  <si>
    <t xml:space="preserve">LF_DR: Annual default rate of the loans</t>
  </si>
  <si>
    <t xml:space="preserve">LF_LGD: Loss given default</t>
  </si>
  <si>
    <t xml:space="preserve">LF_EL: Expected loss a year</t>
  </si>
  <si>
    <t xml:space="preserve">SELL_Q: Sell in quarter</t>
  </si>
  <si>
    <t xml:space="preserve">SELL_PX: Sale price (cents on the dollar)</t>
  </si>
  <si>
    <t xml:space="preserve">HOLD_RATE: Annual rate earned by waiting: (recovery / sale price)^(4 / quarters) - 1</t>
  </si>
  <si>
    <t xml:space="preserve">HOLD_RATE_25: The same at the lower recovery</t>
  </si>
  <si>
    <t xml:space="preserve">HY_Default_Grid</t>
  </si>
  <si>
    <t xml:space="preserve">HYG_25_0: HY sleeve IRR, recovery 25%, 0 defaults</t>
  </si>
  <si>
    <t xml:space="preserve">HYG_25_1: HY sleeve IRR, recovery 25%, 1 defaults</t>
  </si>
  <si>
    <t xml:space="preserve">HYG_25_2: HY sleeve IRR, recovery 25%, 2 defaults</t>
  </si>
  <si>
    <t xml:space="preserve">HYG_25_3: HY sleeve IRR, recovery 25%, 3 defaults</t>
  </si>
  <si>
    <t xml:space="preserve">HYG_25_4: HY sleeve IRR, recovery 25%, 4 defaults</t>
  </si>
  <si>
    <t xml:space="preserve">HYG_40_0: HY sleeve IRR, recovery 40%, 0 defaults</t>
  </si>
  <si>
    <t xml:space="preserve">HYG_40_1: HY sleeve IRR, recovery 40%, 1 defaults</t>
  </si>
  <si>
    <t xml:space="preserve">HYG_40_2: HY sleeve IRR, recovery 40%, 2 defaults</t>
  </si>
  <si>
    <t xml:space="preserve">HYG_40_3: HY sleeve IRR, recovery 40%, 3 defaults</t>
  </si>
  <si>
    <t xml:space="preserve">HYG_40_4: HY sleeve IRR, recovery 40%, 4 defaults</t>
  </si>
  <si>
    <t xml:space="preserve">HYG_55_0: HY sleeve IRR, recovery 55%, 0 defaults</t>
  </si>
  <si>
    <t xml:space="preserve">HYG_55_1: HY sleeve IRR, recovery 55%, 1 defaults</t>
  </si>
  <si>
    <t xml:space="preserve">HYG_55_2: HY sleeve IRR, recovery 55%, 2 defaults</t>
  </si>
  <si>
    <t xml:space="preserve">HYG_55_3: HY sleeve IRR, recovery 55%, 3 defaults</t>
  </si>
  <si>
    <t xml:space="preserve">HYG_55_4: HY sleeve IRR, recovery 55%, 4 defaults</t>
  </si>
  <si>
    <t xml:space="preserve">With no default the recovery does not matter</t>
  </si>
  <si>
    <t xml:space="preserve">Each extra default lowers the IRR, at every recovery</t>
  </si>
  <si>
    <t xml:space="preserve">Duration</t>
  </si>
  <si>
    <t xml:space="preserve">Stanwick Networks: the table price equals PV() on the same bond</t>
  </si>
  <si>
    <t xml:space="preserve">STAN_CPN: Stanwick Networks coupon (risk-free + spread)</t>
  </si>
  <si>
    <t xml:space="preserve">STAN_MAC: Stanwick Networks: Macaulay duration (years)</t>
  </si>
  <si>
    <t xml:space="preserve">STAN_MOD: Stanwick Networks: modified duration</t>
  </si>
  <si>
    <t xml:space="preserve">STAN_CONV: Stanwick Networks: convexity (years squared)</t>
  </si>
  <si>
    <t xml:space="preserve">STAN_UP: Stanwick Networks: price with the yield shifted by G11</t>
  </si>
  <si>
    <t xml:space="preserve">STAN_UP_CH: Price change for +1 point (actual)</t>
  </si>
  <si>
    <t xml:space="preserve">STAN_UP_EST: Duration estimate: -modified duration x dy</t>
  </si>
  <si>
    <t xml:space="preserve">STAN_UP_EST2: With convexity: + 1/2 x convexity x dy^2</t>
  </si>
  <si>
    <t xml:space="preserve">STAN_DN: Stanwick Networks: price with the yield shifted by H11</t>
  </si>
  <si>
    <t xml:space="preserve">STAN_UP2: Stanwick Networks: price with the yield shifted by I11</t>
  </si>
  <si>
    <t xml:space="preserve">Stanwick bought at its coupon prices at 100</t>
  </si>
  <si>
    <t xml:space="preserve">Convexity: the price rises more for -1 point than it falls for +1 point</t>
  </si>
  <si>
    <t xml:space="preserve">Aldermoor Utilities: the table price equals PV() on the same bond</t>
  </si>
  <si>
    <t xml:space="preserve">Carrow Rail: the table price equals PV() on the same bond</t>
  </si>
  <si>
    <t xml:space="preserve">Hesketh Foods: the table price equals PV() on the same bond</t>
  </si>
  <si>
    <t xml:space="preserve">Penrith Medical: the table price equals PV() on the same bond</t>
  </si>
  <si>
    <t xml:space="preserve">ALD_CPN: Aldermoor Utilities coupon</t>
  </si>
  <si>
    <t xml:space="preserve">ALD_MOD: Aldermoor Utilities: modified duration</t>
  </si>
  <si>
    <t xml:space="preserve">ALD_UP: Aldermoor Utilities: price with the yield shifted by G42</t>
  </si>
  <si>
    <t xml:space="preserve">IG_DUR: IG sleeve modified duration at purchase (equal weights)</t>
  </si>
  <si>
    <t xml:space="preserve">Harrowgate Pneumatics: the table price equals PV() on the same bond</t>
  </si>
  <si>
    <t xml:space="preserve">HARR_MOD: Harrowgate Pneumatics: modified duration</t>
  </si>
  <si>
    <t xml:space="preserve">Harrowgate's table price at its yield to maturity equals its purchase price</t>
  </si>
  <si>
    <t xml:space="preserve">CLO_Tranches</t>
  </si>
  <si>
    <t xml:space="preserve">CLO_LGD: Loss given default of the pool's loans</t>
  </si>
  <si>
    <t xml:space="preserve">CLO_POOL10: Pool loss at CDR 10%</t>
  </si>
  <si>
    <t xml:space="preserve">CLO_POOL20: Pool loss at CDR 20%</t>
  </si>
  <si>
    <t xml:space="preserve">CLO_POOL30: Pool loss at CDR 30%</t>
  </si>
  <si>
    <t xml:space="preserve">CLO_POOL40: Pool loss at CDR 40%</t>
  </si>
  <si>
    <t xml:space="preserve">CLO_POOL50: Pool loss at CDR 50%</t>
  </si>
  <si>
    <t xml:space="preserve">CLO_AAA_L10: AAA tranche loss at CDR 10%</t>
  </si>
  <si>
    <t xml:space="preserve">CLO_AAA_L20: AAA tranche loss at CDR 20%</t>
  </si>
  <si>
    <t xml:space="preserve">CLO_AAA_L30: AAA tranche loss at CDR 30%</t>
  </si>
  <si>
    <t xml:space="preserve">CLO_AAA_L40: AAA tranche loss at CDR 40%</t>
  </si>
  <si>
    <t xml:space="preserve">CLO_AAA_L50: AAA tranche loss at CDR 50%</t>
  </si>
  <si>
    <t xml:space="preserve">CLO_AAA_ATT: AAA attachment</t>
  </si>
  <si>
    <t xml:space="preserve">CLO_AAA_DET: AAA detachment</t>
  </si>
  <si>
    <t xml:space="preserve">CLO_AAA_SPR: AAA spread</t>
  </si>
  <si>
    <t xml:space="preserve">CLO_AAA_BE: AAA break-even CDR</t>
  </si>
  <si>
    <t xml:space="preserve">CLO_AA_L10: AA tranche loss at CDR 10%</t>
  </si>
  <si>
    <t xml:space="preserve">CLO_AA_L20: AA tranche loss at CDR 20%</t>
  </si>
  <si>
    <t xml:space="preserve">CLO_AA_L30: AA tranche loss at CDR 30%</t>
  </si>
  <si>
    <t xml:space="preserve">CLO_AA_L40: AA tranche loss at CDR 40%</t>
  </si>
  <si>
    <t xml:space="preserve">CLO_AA_L50: AA tranche loss at CDR 50%</t>
  </si>
  <si>
    <t xml:space="preserve">CLO_AA_ATT: AA attachment</t>
  </si>
  <si>
    <t xml:space="preserve">CLO_AA_DET: AA detachment</t>
  </si>
  <si>
    <t xml:space="preserve">CLO_AA_SPR: AA spread</t>
  </si>
  <si>
    <t xml:space="preserve">CLO_AA_BE: AA break-even CDR</t>
  </si>
  <si>
    <t xml:space="preserve">CLO_A_L10: A tranche loss at CDR 10%</t>
  </si>
  <si>
    <t xml:space="preserve">CLO_A_L20: A tranche loss at CDR 20%</t>
  </si>
  <si>
    <t xml:space="preserve">CLO_A_L30: A tranche loss at CDR 30%</t>
  </si>
  <si>
    <t xml:space="preserve">CLO_A_L40: A tranche loss at CDR 40%</t>
  </si>
  <si>
    <t xml:space="preserve">CLO_A_L50: A tranche loss at CDR 50%</t>
  </si>
  <si>
    <t xml:space="preserve">CLO_A_ATT: A attachment</t>
  </si>
  <si>
    <t xml:space="preserve">CLO_A_DET: A detachment</t>
  </si>
  <si>
    <t xml:space="preserve">CLO_A_SPR: A spread</t>
  </si>
  <si>
    <t xml:space="preserve">CLO_A_BE: A break-even CDR</t>
  </si>
  <si>
    <t xml:space="preserve">CLO_BBB_L10: BBB tranche loss at CDR 10%</t>
  </si>
  <si>
    <t xml:space="preserve">CLO_BBB_L20: BBB tranche loss at CDR 20%</t>
  </si>
  <si>
    <t xml:space="preserve">CLO_BBB_L30: BBB tranche loss at CDR 30%</t>
  </si>
  <si>
    <t xml:space="preserve">CLO_BBB_L40: BBB tranche loss at CDR 40%</t>
  </si>
  <si>
    <t xml:space="preserve">CLO_BBB_L50: BBB tranche loss at CDR 50%</t>
  </si>
  <si>
    <t xml:space="preserve">CLO_BBB_ATT: BBB attachment</t>
  </si>
  <si>
    <t xml:space="preserve">CLO_BBB_DET: BBB detachment</t>
  </si>
  <si>
    <t xml:space="preserve">CLO_BBB_SPR: BBB spread</t>
  </si>
  <si>
    <t xml:space="preserve">CLO_BBB_BE: BBB break-even CDR</t>
  </si>
  <si>
    <t xml:space="preserve">CLO_BB_L10: BB tranche loss at CDR 10%</t>
  </si>
  <si>
    <t xml:space="preserve">CLO_BB_L20: BB tranche loss at CDR 20%</t>
  </si>
  <si>
    <t xml:space="preserve">CLO_BB_L30: BB tranche loss at CDR 30%</t>
  </si>
  <si>
    <t xml:space="preserve">CLO_BB_L40: BB tranche loss at CDR 40%</t>
  </si>
  <si>
    <t xml:space="preserve">CLO_BB_L50: BB tranche loss at CDR 50%</t>
  </si>
  <si>
    <t xml:space="preserve">CLO_BB_ATT: BB attachment</t>
  </si>
  <si>
    <t xml:space="preserve">CLO_BB_DET: BB detachment</t>
  </si>
  <si>
    <t xml:space="preserve">CLO_BB_SPR: BB spread</t>
  </si>
  <si>
    <t xml:space="preserve">CLO_BB_BE: BB break-even CDR</t>
  </si>
  <si>
    <t xml:space="preserve">CLO_Equity_L10: Equity tranche loss at CDR 10%</t>
  </si>
  <si>
    <t xml:space="preserve">CLO_Equity_L20: Equity tranche loss at CDR 20%</t>
  </si>
  <si>
    <t xml:space="preserve">CLO_Equity_L30: Equity tranche loss at CDR 30%</t>
  </si>
  <si>
    <t xml:space="preserve">CLO_Equity_L40: Equity tranche loss at CDR 40%</t>
  </si>
  <si>
    <t xml:space="preserve">CLO_Equity_L50: Equity tranche loss at CDR 50%</t>
  </si>
  <si>
    <t xml:space="preserve">CLO_Equity_ATT: Equity attachment</t>
  </si>
  <si>
    <t xml:space="preserve">CLO_Equity_DET: Equity detachment</t>
  </si>
  <si>
    <t xml:space="preserve">The tranches stack from 0% to 100% of the pool without gap</t>
  </si>
  <si>
    <t xml:space="preserve">Derived</t>
  </si>
  <si>
    <t xml:space="preserve">HARR_CPN_USD: HY_FACE * HARR_CPN / 100</t>
  </si>
  <si>
    <t xml:space="preserve">HARR_CPN_SEMI: HARR_CPN_USD / 2</t>
  </si>
  <si>
    <t xml:space="preserve">LF_LOAN_RATE: RF + LF_SPREAD</t>
  </si>
  <si>
    <t xml:space="preserve">DER_006: 4 * BDC_LEDGER_DIV</t>
  </si>
  <si>
    <t xml:space="preserve">DER_007: 4 * BDC_TAMSIN_DIV</t>
  </si>
  <si>
    <t xml:space="preserve">CORL_DIV_YEAR: 4 * BDC_CORLET_DIV</t>
  </si>
  <si>
    <t xml:space="preserve">DER_009: IG_STANWI_DISP / 2</t>
  </si>
  <si>
    <t xml:space="preserve">DER_010: 1 - PD_B / 100</t>
  </si>
  <si>
    <t xml:space="preserve">DER_011: (1 - PD_B / 100) ** 5</t>
  </si>
  <si>
    <t xml:space="preserve">DER_012: (1 - PD_CCC / 100) ** 5</t>
  </si>
  <si>
    <t xml:space="preserve">DER_013: round(EL_CCC, 2) - round(HARR_SPREAD, 2)</t>
  </si>
  <si>
    <t xml:space="preserve">MARL_SPREAD: round(HY_MARLOW_DISP, 2) - RF</t>
  </si>
  <si>
    <t xml:space="preserve">DER_015: MARL_SPREAD / (1 - REC_BOND / 100)</t>
  </si>
  <si>
    <t xml:space="preserve">DER_017: round(HY_MARLOW_EXP, 2) - RF</t>
  </si>
  <si>
    <t xml:space="preserve">DER_018: round(IG_ALDERM_EXP, 2) - RF</t>
  </si>
  <si>
    <t xml:space="preserve">DER_019: IG_STANWI_COST * STAN_CPN / 100</t>
  </si>
  <si>
    <t xml:space="preserve">STAN_UP_USD: IG_STANWI_COST * abs(round(STAN_UP_CH, 2)) / 100</t>
  </si>
  <si>
    <t xml:space="preserve">STAN_CONV1: 0.5 * STAN_CONV * 0.01 ** 2 * 100</t>
  </si>
  <si>
    <t xml:space="preserve">DER_022: round(STAN_MOD, 2) + STAN_CONV1</t>
  </si>
  <si>
    <t xml:space="preserve">DER_023: round(STAN_MOD, 2) + STAN_CONV1</t>
  </si>
  <si>
    <t xml:space="preserve">DER_024: 100 - round(STAN_UP2, 2)</t>
  </si>
  <si>
    <t xml:space="preserve">DER_025: round(STAN_UP2, 2) - 100</t>
  </si>
  <si>
    <t xml:space="preserve">STAN_CONV2: 0.5 * STAN_CONV * 0.02 ** 2 * 100</t>
  </si>
  <si>
    <t xml:space="preserve">DER_027: 2 * round(STAN_MOD, 2) - STAN_CONV2</t>
  </si>
  <si>
    <t xml:space="preserve">DER_028: STAN_CONV2 - 2 * round(STAN_MOD, 2)</t>
  </si>
  <si>
    <t xml:space="preserve">ALD_UP_CH: 100 - round(ALD_UP, 2)</t>
  </si>
  <si>
    <t xml:space="preserve">DER_030: IG_ALDERM_COST * ALD_UP_CH / 100</t>
  </si>
  <si>
    <t xml:space="preserve">DER_031: COST_IG * round(IG_DUR, 2) / 100</t>
  </si>
  <si>
    <t xml:space="preserve">DER_032: HARR_COST * round(HARR_MOD, 2) / 100</t>
  </si>
  <si>
    <t xml:space="preserve">DER_033: HARR_COST - HARR_REC</t>
  </si>
  <si>
    <t xml:space="preserve">DER_034: IG_STANWI_COST * 2 / 100</t>
  </si>
  <si>
    <t xml:space="preserve">DER_035: IG_STANWI_COST * (100 - round(STAN_UP2, 2)) / 100</t>
  </si>
  <si>
    <t xml:space="preserve">DER_037: HARR_CPN_SEMI</t>
  </si>
  <si>
    <t xml:space="preserve">DER_038: 2 * HARR_CPN_SEMI</t>
  </si>
  <si>
    <t xml:space="preserve">DER_039: HARR_COST - HARR_REC - 2 * HARR_CPN_SEMI</t>
  </si>
  <si>
    <t xml:space="preserve">DER_043: 6 * HY_FACE - COST_HY</t>
  </si>
  <si>
    <t xml:space="preserve">HARR_SALE: HY_FACE * SELL_PX / 100</t>
  </si>
  <si>
    <t xml:space="preserve">DER_045: HY_FACE * 0.25</t>
  </si>
  <si>
    <t xml:space="preserve">DER_046: MARL_SPREAD</t>
  </si>
  <si>
    <t xml:space="preserve">DER_047: LF_LOAN_RATE</t>
  </si>
  <si>
    <t xml:space="preserve">DER_048: LF_NAV0</t>
  </si>
  <si>
    <t xml:space="preserve">DER_059: RF + 2 + LF_SPREAD</t>
  </si>
  <si>
    <t xml:space="preserve">DER_060: 45 / 100</t>
  </si>
  <si>
    <t xml:space="preserve">DER_061: 9 * 45 / 100</t>
  </si>
  <si>
    <t xml:space="preserve">DER_062: 100 - CLO_AAA_ATT</t>
  </si>
  <si>
    <t xml:space="preserve">CLO_BB_BAND: round(CLO_BBB_BE, 1) - round(CLO_BB_BE, 1)</t>
  </si>
  <si>
    <t xml:space="preserve">DER_064: RF + CLO_BB_SPR</t>
  </si>
  <si>
    <t xml:space="preserve">DER_065: CLO_BBB_ATT / 45 * 100</t>
  </si>
  <si>
    <t xml:space="preserve">DER_066: CLO_AAA_ATT / 45 * 100</t>
  </si>
  <si>
    <t xml:space="preserve">DER_067: round(CLO_BB_BE, 1) - CLO_BB_ATT / 45 * 100</t>
  </si>
  <si>
    <t xml:space="preserve">DER_068: 4 * BDC_LEDGER_DIV</t>
  </si>
  <si>
    <t xml:space="preserve">DER_069: 4 * BDC_TAMSIN_DIV</t>
  </si>
  <si>
    <t xml:space="preserve">DER_070: CORL_DIV_YEAR</t>
  </si>
  <si>
    <t xml:space="preserve">DER_071: CORL_DIV_YEAR / BDC_CORLET_NAV0 * 100</t>
  </si>
  <si>
    <t xml:space="preserve">DER_073: 5 * BDC_CORLET_DIV</t>
  </si>
  <si>
    <t xml:space="preserve">DER_080: BDC_LEDGER_LEV * BDC_LEDGER_COD</t>
  </si>
  <si>
    <t xml:space="preserve">DER_082: BDC_CORLET_LEV * BDC_CORLET_COD</t>
  </si>
  <si>
    <t xml:space="preserve">CORL_BASEN: (1 + BDC_CORLET_LEV) * BDC_CORLET_BASE</t>
  </si>
  <si>
    <t xml:space="preserve">CORL_FLOOR: 1.5 * BDC_CORLET_LEV</t>
  </si>
  <si>
    <t xml:space="preserve">CORL_ROOM: 1 + BDC_CORLET_LEV - CORL_FLOOR</t>
  </si>
  <si>
    <t xml:space="preserve">DER_088: CORL_ROOM / (1 + BDC_CORLET_LEV) * 100</t>
  </si>
  <si>
    <t xml:space="preserve">LEDG_FLOOR: 1.5 * BDC_LEDGER_LEV</t>
  </si>
  <si>
    <t xml:space="preserve">LEDG_ROOM: 1 + BDC_LEDGER_LEV - LEDG_FLOOR</t>
  </si>
  <si>
    <t xml:space="preserve">DER_091: LEDG_ROOM / (1 + BDC_LEDGER_LEV) * 100</t>
  </si>
  <si>
    <t xml:space="preserve">DER_092: CORL_DIV_YEAR</t>
  </si>
  <si>
    <t xml:space="preserve">DER_096: IF_NAV0</t>
  </si>
  <si>
    <t xml:space="preserve">DER_120: RF + IF_CODS</t>
  </si>
  <si>
    <t xml:space="preserve">DER_121: CORL_BASEN</t>
  </si>
  <si>
    <t xml:space="preserve">DER_128: LF_LOAN_RATE</t>
  </si>
  <si>
    <t xml:space="preserve">C_LF: round(LF_EL, 2) * W_LOAN_FUND / 100</t>
  </si>
  <si>
    <t xml:space="preserve">DER_151: HARR_CPN_SEMI</t>
  </si>
  <si>
    <t xml:space="preserve">DER_158: IG_ALDERM_COST * ALD_CPN / 100 / 2</t>
  </si>
  <si>
    <t xml:space="preserve">DER_168: COST_IG + COST_HY</t>
  </si>
  <si>
    <t xml:space="preserve">DER_193: (1 + BDC_CORLET_LEV) / BDC_CORLET_LEV</t>
  </si>
  <si>
    <t xml:space="preserve">DER_194: CORL_BASEN</t>
  </si>
  <si>
    <t xml:space="preserve">DER_199: 4 * IF_DIST</t>
  </si>
  <si>
    <t xml:space="preserve">DER_200: 1 - PD_CCC / 100</t>
  </si>
  <si>
    <t xml:space="preserve">DER_201: 2 * round(STAN_MOD, 2)</t>
  </si>
  <si>
    <t xml:space="preserve">DER_202: -2 * round(STAN_MOD, 2)</t>
  </si>
  <si>
    <t xml:space="preserve">DER_203: RF - 1.5 + LF_SPREAD - LF_FEE</t>
  </si>
  <si>
    <t xml:space="preserve">DER_204: STAN_CPN + 2</t>
  </si>
  <si>
    <t xml:space="preserve">DER_208: RF - 1.5 + LF_SPREAD - LF_FEE</t>
  </si>
  <si>
    <t xml:space="preserve">DER_211: BDC_LEDGER_NAV0 - BDC_LEDGER_PX</t>
  </si>
  <si>
    <t xml:space="preserve">DER_212: BDC_CORLET_NAV0 - BDC_CORLET_PX</t>
  </si>
  <si>
    <t xml:space="preserve">DER_213: BDC_TAMSIN_PX - BDC_TAMSIN_NAV0</t>
  </si>
  <si>
    <t xml:space="preserve">DER_214: 1 + BDC_LEDGER_LEV</t>
  </si>
  <si>
    <t xml:space="preserve">DER_215: 1 + BDC_CORLET_LEV</t>
  </si>
  <si>
    <t xml:space="preserve">DER_216: 1 + BDC_TAMSIN_LEV</t>
  </si>
  <si>
    <t xml:space="preserve">DER_218: 4 * IF_DIST</t>
  </si>
  <si>
    <t xml:space="preserve">DER_219: 12 * IF_DIST</t>
  </si>
</sst>
</file>

<file path=xl/styles.xml><?xml version="1.0" encoding="utf-8"?>
<styleSheet xmlns="http://schemas.openxmlformats.org/spreadsheetml/2006/main">
  <numFmts count="19">
    <numFmt numFmtId="164" formatCode="General"/>
    <numFmt numFmtId="165" formatCode="0.00%"/>
    <numFmt numFmtId="166" formatCode="\$#,##0;&quot;-$&quot;#,##0;\$0"/>
    <numFmt numFmtId="167" formatCode="0%"/>
    <numFmt numFmtId="168" formatCode="0"/>
    <numFmt numFmtId="169" formatCode="#,##0.00"/>
    <numFmt numFmtId="170" formatCode="\$#,##0.00;&quot;-$&quot;#,##0.00;\$0.00"/>
    <numFmt numFmtId="171" formatCode="0.0%"/>
    <numFmt numFmtId="172" formatCode="0.00\x"/>
    <numFmt numFmtId="173" formatCode="\$#,##0.0000;&quot;-$&quot;#,##0.0000;\$0.0000"/>
    <numFmt numFmtId="174" formatCode="#,##0"/>
    <numFmt numFmtId="175" formatCode="0.000000"/>
    <numFmt numFmtId="176" formatCode="#,##0.0000"/>
    <numFmt numFmtId="177" formatCode="#,##0.00000"/>
    <numFmt numFmtId="178" formatCode="#,##0.000"/>
    <numFmt numFmtId="179" formatCode="0.0000%"/>
    <numFmt numFmtId="180" formatCode="#,##0.000000"/>
    <numFmt numFmtId="181" formatCode="0.000%"/>
    <numFmt numFmtId="182" formatCode="#,##0.0"/>
  </numFmts>
  <fonts count="10">
    <font>
      <sz val="11"/>
      <color theme="1"/>
      <name val="Calibri"/>
      <family val="2"/>
      <charset val="1"/>
    </font>
    <font>
      <sz val="10"/>
      <name val="Arial"/>
      <family val="0"/>
    </font>
    <font>
      <sz val="10"/>
      <name val="Arial"/>
      <family val="0"/>
    </font>
    <font>
      <sz val="10"/>
      <name val="Arial"/>
      <family val="0"/>
    </font>
    <font>
      <b val="true"/>
      <sz val="14"/>
      <name val="Calibri"/>
      <family val="0"/>
      <charset val="1"/>
    </font>
    <font>
      <sz val="11"/>
      <color rgb="FF5B6475"/>
      <name val="Calibri"/>
      <family val="0"/>
      <charset val="1"/>
    </font>
    <font>
      <sz val="11"/>
      <name val="Calibri"/>
      <family val="0"/>
      <charset val="1"/>
    </font>
    <font>
      <b val="true"/>
      <sz val="11"/>
      <name val="Calibri"/>
      <family val="0"/>
      <charset val="1"/>
    </font>
    <font>
      <sz val="11"/>
      <color rgb="FF1F4FB4"/>
      <name val="Calibri"/>
      <family val="0"/>
      <charset val="1"/>
    </font>
    <font>
      <b val="true"/>
      <sz val="11"/>
      <color rgb="FFFFFFFF"/>
      <name val="Calibri"/>
      <family val="0"/>
      <charset val="1"/>
    </font>
  </fonts>
  <fills count="6">
    <fill>
      <patternFill patternType="none"/>
    </fill>
    <fill>
      <patternFill patternType="gray125"/>
    </fill>
    <fill>
      <patternFill patternType="solid">
        <fgColor rgb="FFDCE3ED"/>
        <bgColor rgb="FFEFF3F8"/>
      </patternFill>
    </fill>
    <fill>
      <patternFill patternType="solid">
        <fgColor rgb="FFFFF2CC"/>
        <bgColor rgb="FFEFF3F8"/>
      </patternFill>
    </fill>
    <fill>
      <patternFill patternType="solid">
        <fgColor rgb="FF16213A"/>
        <bgColor rgb="FF003366"/>
      </patternFill>
    </fill>
    <fill>
      <patternFill patternType="solid">
        <fgColor rgb="FFEFF3F8"/>
        <bgColor rgb="FFFFFFFF"/>
      </patternFill>
    </fill>
  </fills>
  <borders count="2">
    <border diagonalUp="false" diagonalDown="false">
      <left/>
      <right/>
      <top/>
      <bottom/>
      <diagonal/>
    </border>
    <border diagonalUp="false" diagonalDown="false">
      <left style="thin">
        <color rgb="FF9AA3B2"/>
      </left>
      <right style="thin">
        <color rgb="FF9AA3B2"/>
      </right>
      <top style="thin">
        <color rgb="FF9AA3B2"/>
      </top>
      <bottom style="thin">
        <color rgb="FF9AA3B2"/>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top" textRotation="0" wrapText="true" indent="0" shrinkToFit="false"/>
      <protection locked="true" hidden="false"/>
    </xf>
    <xf numFmtId="164" fontId="5"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7" fillId="2" borderId="1" xfId="0" applyFont="true" applyBorder="true" applyAlignment="false" applyProtection="false">
      <alignment horizontal="general" vertical="bottom" textRotation="0" wrapText="false" indent="0" shrinkToFit="false"/>
      <protection locked="true" hidden="false"/>
    </xf>
    <xf numFmtId="164" fontId="0" fillId="2" borderId="1" xfId="0" applyFont="fals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8" fillId="3"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general" vertical="center" textRotation="0" wrapText="true" indent="0" shrinkToFit="false"/>
      <protection locked="true" hidden="false"/>
    </xf>
    <xf numFmtId="164" fontId="9" fillId="4" borderId="1" xfId="0" applyFont="true" applyBorder="true" applyAlignment="true" applyProtection="false">
      <alignment horizontal="center" vertical="center" textRotation="0" wrapText="true" indent="0" shrinkToFit="false"/>
      <protection locked="true" hidden="false"/>
    </xf>
    <xf numFmtId="164" fontId="8" fillId="3" borderId="1" xfId="0" applyFont="true" applyBorder="true" applyAlignment="true" applyProtection="false">
      <alignment horizontal="center"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70" fontId="6" fillId="5"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7" fontId="6" fillId="5" borderId="1" xfId="0" applyFont="true" applyBorder="true" applyAlignment="false" applyProtection="false">
      <alignment horizontal="general" vertical="bottom" textRotation="0" wrapText="false" indent="0" shrinkToFit="false"/>
      <protection locked="true" hidden="false"/>
    </xf>
    <xf numFmtId="172" fontId="8" fillId="3"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right" vertical="bottom" textRotation="0" wrapText="false" indent="0" shrinkToFit="false"/>
      <protection locked="true" hidden="false"/>
    </xf>
    <xf numFmtId="173" fontId="8" fillId="3" borderId="1" xfId="0" applyFont="true" applyBorder="true" applyAlignment="false" applyProtection="false">
      <alignment horizontal="general" vertical="bottom" textRotation="0" wrapText="false" indent="0" shrinkToFit="false"/>
      <protection locked="true" hidden="false"/>
    </xf>
    <xf numFmtId="166" fontId="6" fillId="5" borderId="1" xfId="0" applyFont="true" applyBorder="true" applyAlignment="false" applyProtection="false">
      <alignment horizontal="general" vertical="bottom" textRotation="0" wrapText="false" indent="0" shrinkToFit="false"/>
      <protection locked="true" hidden="false"/>
    </xf>
    <xf numFmtId="169" fontId="6" fillId="5" borderId="1" xfId="0" applyFont="true" applyBorder="true" applyAlignment="false" applyProtection="false">
      <alignment horizontal="general" vertical="bottom" textRotation="0" wrapText="false" indent="0" shrinkToFit="false"/>
      <protection locked="true" hidden="false"/>
    </xf>
    <xf numFmtId="168" fontId="6" fillId="5" borderId="1" xfId="0" applyFont="true" applyBorder="true" applyAlignment="false" applyProtection="false">
      <alignment horizontal="general" vertical="bottom" textRotation="0" wrapText="false" indent="0" shrinkToFit="false"/>
      <protection locked="true" hidden="false"/>
    </xf>
    <xf numFmtId="164" fontId="7" fillId="0"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true" applyProtection="false">
      <alignment horizontal="center"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71" fontId="6" fillId="5" borderId="1" xfId="0" applyFont="true" applyBorder="true" applyAlignment="false" applyProtection="false">
      <alignment horizontal="general" vertical="bottom" textRotation="0" wrapText="false" indent="0" shrinkToFit="false"/>
      <protection locked="true" hidden="false"/>
    </xf>
    <xf numFmtId="164" fontId="6" fillId="5" borderId="1" xfId="0" applyFont="true" applyBorder="true" applyAlignment="true" applyProtection="false">
      <alignment horizontal="center" vertical="bottom" textRotation="0" wrapText="false" indent="0" shrinkToFit="false"/>
      <protection locked="true" hidden="false"/>
    </xf>
    <xf numFmtId="174" fontId="8" fillId="3" borderId="1" xfId="0" applyFont="true" applyBorder="true" applyAlignment="false" applyProtection="false">
      <alignment horizontal="general" vertical="bottom" textRotation="0" wrapText="false" indent="0" shrinkToFit="false"/>
      <protection locked="true" hidden="false"/>
    </xf>
    <xf numFmtId="171" fontId="7" fillId="5" borderId="1" xfId="0" applyFont="true" applyBorder="true" applyAlignment="false" applyProtection="false">
      <alignment horizontal="general" vertical="bottom" textRotation="0" wrapText="false" indent="0" shrinkToFit="false"/>
      <protection locked="true" hidden="false"/>
    </xf>
    <xf numFmtId="165" fontId="6" fillId="5" borderId="1" xfId="0" applyFont="true" applyBorder="true" applyAlignment="true" applyProtection="false">
      <alignment horizontal="center" vertical="bottom" textRotation="0" wrapText="false" indent="0" shrinkToFit="false"/>
      <protection locked="true" hidden="false"/>
    </xf>
    <xf numFmtId="164" fontId="7" fillId="2" borderId="1" xfId="0" applyFont="true" applyBorder="true" applyAlignment="true" applyProtection="false">
      <alignment horizontal="center" vertical="bottom" textRotation="0" wrapText="false" indent="0" shrinkToFit="false"/>
      <protection locked="true" hidden="false"/>
    </xf>
    <xf numFmtId="175" fontId="6" fillId="5" borderId="1" xfId="0" applyFont="true" applyBorder="true" applyAlignment="false" applyProtection="false">
      <alignment horizontal="general" vertical="bottom" textRotation="0" wrapText="false" indent="0" shrinkToFit="false"/>
      <protection locked="true" hidden="false"/>
    </xf>
    <xf numFmtId="174" fontId="6" fillId="5" borderId="1" xfId="0" applyFont="true" applyBorder="true" applyAlignment="false" applyProtection="false">
      <alignment horizontal="general" vertical="bottom" textRotation="0" wrapText="false" indent="0" shrinkToFit="false"/>
      <protection locked="true" hidden="false"/>
    </xf>
    <xf numFmtId="166" fontId="7" fillId="5" borderId="1" xfId="0" applyFont="true" applyBorder="true" applyAlignment="false" applyProtection="false">
      <alignment horizontal="general" vertical="bottom" textRotation="0" wrapText="false" indent="0" shrinkToFit="false"/>
      <protection locked="true" hidden="false"/>
    </xf>
    <xf numFmtId="174" fontId="7" fillId="5" borderId="1"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9" fontId="7" fillId="5" borderId="1" xfId="0" applyFont="true" applyBorder="true" applyAlignment="false" applyProtection="false">
      <alignment horizontal="general" vertical="bottom" textRotation="0" wrapText="false" indent="0" shrinkToFit="false"/>
      <protection locked="true" hidden="false"/>
    </xf>
    <xf numFmtId="167" fontId="8" fillId="3" borderId="1" xfId="0" applyFont="true" applyBorder="true" applyAlignment="true" applyProtection="false">
      <alignment horizontal="center" vertical="bottom" textRotation="0" wrapText="false" indent="0" shrinkToFit="false"/>
      <protection locked="true" hidden="false"/>
    </xf>
    <xf numFmtId="165" fontId="8" fillId="3" borderId="1" xfId="0" applyFont="true" applyBorder="true" applyAlignment="true" applyProtection="false">
      <alignment horizontal="right" vertical="bottom" textRotation="0" wrapText="false" indent="0" shrinkToFit="false"/>
      <protection locked="true" hidden="false"/>
    </xf>
    <xf numFmtId="171" fontId="6" fillId="5" borderId="1" xfId="0" applyFont="true" applyBorder="true" applyAlignment="true" applyProtection="false">
      <alignment horizontal="right" vertical="bottom" textRotation="0" wrapText="false" indent="0" shrinkToFit="false"/>
      <protection locked="true" hidden="false"/>
    </xf>
    <xf numFmtId="176"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right" vertical="bottom" textRotation="0" wrapText="false" indent="0" shrinkToFit="false"/>
      <protection locked="true" hidden="false"/>
    </xf>
    <xf numFmtId="177" fontId="6" fillId="5" borderId="1" xfId="0" applyFont="true" applyBorder="true" applyAlignment="false" applyProtection="false">
      <alignment horizontal="general" vertical="bottom" textRotation="0" wrapText="false" indent="0" shrinkToFit="false"/>
      <protection locked="true" hidden="false"/>
    </xf>
    <xf numFmtId="178" fontId="6" fillId="5" borderId="1" xfId="0" applyFont="true" applyBorder="true" applyAlignment="false" applyProtection="false">
      <alignment horizontal="general" vertical="bottom" textRotation="0" wrapText="false" indent="0" shrinkToFit="false"/>
      <protection locked="true" hidden="false"/>
    </xf>
    <xf numFmtId="168" fontId="7" fillId="5" borderId="1" xfId="0" applyFont="true" applyBorder="true" applyAlignment="false" applyProtection="false">
      <alignment horizontal="general" vertical="bottom" textRotation="0" wrapText="false" indent="0" shrinkToFit="false"/>
      <protection locked="true" hidden="false"/>
    </xf>
    <xf numFmtId="164" fontId="7" fillId="5" borderId="1" xfId="0" applyFont="true" applyBorder="true" applyAlignment="true" applyProtection="false">
      <alignment horizontal="center" vertical="bottom" textRotation="0" wrapText="false" indent="0" shrinkToFit="false"/>
      <protection locked="true" hidden="false"/>
    </xf>
    <xf numFmtId="164" fontId="6" fillId="0" borderId="1" xfId="0" applyFont="true" applyBorder="true" applyAlignment="true" applyProtection="false">
      <alignment horizontal="center" vertical="bottom" textRotation="0" wrapText="false" indent="0" shrinkToFit="false"/>
      <protection locked="true" hidden="false"/>
    </xf>
    <xf numFmtId="179" fontId="6" fillId="5" borderId="1" xfId="0" applyFont="true" applyBorder="true" applyAlignment="false" applyProtection="false">
      <alignment horizontal="general" vertical="bottom" textRotation="0" wrapText="false" indent="0" shrinkToFit="false"/>
      <protection locked="true" hidden="false"/>
    </xf>
    <xf numFmtId="175" fontId="8" fillId="3" borderId="1" xfId="0" applyFont="true" applyBorder="true" applyAlignment="false" applyProtection="false">
      <alignment horizontal="general" vertical="bottom" textRotation="0" wrapText="false" indent="0" shrinkToFit="false"/>
      <protection locked="true" hidden="false"/>
    </xf>
    <xf numFmtId="176" fontId="8" fillId="3" borderId="1" xfId="0" applyFont="true" applyBorder="true" applyAlignment="false" applyProtection="false">
      <alignment horizontal="general" vertical="bottom" textRotation="0" wrapText="false" indent="0" shrinkToFit="false"/>
      <protection locked="true" hidden="false"/>
    </xf>
    <xf numFmtId="180" fontId="6" fillId="5" borderId="1" xfId="0" applyFont="true" applyBorder="true" applyAlignment="false" applyProtection="false">
      <alignment horizontal="general" vertical="bottom" textRotation="0" wrapText="false" indent="0" shrinkToFit="false"/>
      <protection locked="true" hidden="false"/>
    </xf>
    <xf numFmtId="181" fontId="6" fillId="5" borderId="1" xfId="0" applyFont="true" applyBorder="true" applyAlignment="false" applyProtection="false">
      <alignment horizontal="general" vertical="bottom" textRotation="0" wrapText="false" indent="0" shrinkToFit="false"/>
      <protection locked="true" hidden="false"/>
    </xf>
    <xf numFmtId="164" fontId="6" fillId="0" borderId="1" xfId="0" applyFont="true" applyBorder="true" applyAlignment="true" applyProtection="false">
      <alignment horizontal="general" vertical="top" textRotation="0" wrapText="true" indent="0" shrinkToFit="false"/>
      <protection locked="true" hidden="false"/>
    </xf>
    <xf numFmtId="164" fontId="6" fillId="5" borderId="1" xfId="0" applyFont="true" applyBorder="true" applyAlignment="true" applyProtection="false">
      <alignment horizontal="right" vertical="bottom" textRotation="0" wrapText="false" indent="0" shrinkToFit="false"/>
      <protection locked="true" hidden="false"/>
    </xf>
    <xf numFmtId="182" fontId="8" fillId="3" borderId="1" xfId="0" applyFont="true" applyBorder="true" applyAlignment="false" applyProtection="false">
      <alignment horizontal="general" vertical="bottom" textRotation="0" wrapText="false" indent="0" shrinkToFit="false"/>
      <protection locked="true" hidden="false"/>
    </xf>
    <xf numFmtId="178" fontId="8" fillId="3"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
    <dxf>
      <font>
        <name val="Calibri"/>
        <charset val="1"/>
        <family val="0"/>
        <b val="1"/>
        <color rgb="FFC00000"/>
      </font>
    </dxf>
  </dxfs>
  <colors>
    <indexedColors>
      <rgbColor rgb="FF000000"/>
      <rgbColor rgb="FFFFFFFF"/>
      <rgbColor rgb="FFC0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2CC"/>
      <rgbColor rgb="FFEFF3F8"/>
      <rgbColor rgb="FF660066"/>
      <rgbColor rgb="FFFF8080"/>
      <rgbColor rgb="FF0066CC"/>
      <rgbColor rgb="FFDCE3ED"/>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B6475"/>
      <rgbColor rgb="FF9AA3B2"/>
      <rgbColor rgb="FF003366"/>
      <rgbColor rgb="FF339966"/>
      <rgbColor rgb="FF003300"/>
      <rgbColor rgb="FF333300"/>
      <rgbColor rgb="FF993300"/>
      <rgbColor rgb="FF993366"/>
      <rgbColor rgb="FF1F4FB4"/>
      <rgbColor rgb="FF1621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B1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20"/>
  </cols>
  <sheetData>
    <row r="1" customFormat="false" ht="6" hidden="false" customHeight="true" outlineLevel="0" collapsed="false"/>
    <row r="2" customFormat="false" ht="17.35" hidden="false" customHeight="false" outlineLevel="0" collapsed="false">
      <c r="B2" s="1" t="s">
        <v>0</v>
      </c>
    </row>
    <row r="3" customFormat="false" ht="26.85" hidden="false" customHeight="false" outlineLevel="0" collapsed="false">
      <c r="B3" s="2" t="s">
        <v>1</v>
      </c>
    </row>
    <row r="4" customFormat="false" ht="15" hidden="false" customHeight="false" outlineLevel="0" collapsed="false">
      <c r="B4" s="3"/>
    </row>
    <row r="5" customFormat="false" ht="15" hidden="false" customHeight="false" outlineLevel="0" collapsed="false">
      <c r="B5" s="4" t="s">
        <v>2</v>
      </c>
    </row>
    <row r="6" customFormat="false" ht="75" hidden="false" customHeight="true" outlineLevel="0" collapsed="false">
      <c r="B6" s="3" t="s">
        <v>3</v>
      </c>
    </row>
    <row r="7" customFormat="false" ht="15" hidden="false" customHeight="false" outlineLevel="0" collapsed="false">
      <c r="B7" s="4" t="s">
        <v>4</v>
      </c>
    </row>
    <row r="8" customFormat="false" ht="15" hidden="false" customHeight="true" outlineLevel="0" collapsed="false">
      <c r="B8" s="3" t="s">
        <v>5</v>
      </c>
    </row>
    <row r="9" customFormat="false" ht="15" hidden="false" customHeight="false" outlineLevel="0" collapsed="false">
      <c r="B9" s="4" t="s">
        <v>6</v>
      </c>
    </row>
    <row r="10" customFormat="false" ht="30" hidden="false" customHeight="true" outlineLevel="0" collapsed="false">
      <c r="B10" s="3" t="s">
        <v>7</v>
      </c>
    </row>
    <row r="11" customFormat="false" ht="15" hidden="false" customHeight="false" outlineLevel="0" collapsed="false">
      <c r="B11" s="4" t="s">
        <v>8</v>
      </c>
    </row>
    <row r="12" customFormat="false" ht="60" hidden="false" customHeight="true" outlineLevel="0" collapsed="false">
      <c r="B12" s="3" t="s">
        <v>9</v>
      </c>
    </row>
    <row r="13" customFormat="false" ht="30" hidden="false" customHeight="true" outlineLevel="0" collapsed="false">
      <c r="B13" s="3" t="s">
        <v>10</v>
      </c>
    </row>
    <row r="14" customFormat="false" ht="15" hidden="false" customHeight="false" outlineLevel="0" collapsed="false">
      <c r="B14" s="4" t="s">
        <v>11</v>
      </c>
    </row>
    <row r="15" customFormat="false" ht="30" hidden="false" customHeight="true" outlineLevel="0" collapsed="false">
      <c r="B15" s="3" t="s">
        <v>12</v>
      </c>
    </row>
    <row r="16" customFormat="false" ht="15" hidden="false" customHeight="false" outlineLevel="0" collapsed="false">
      <c r="B16" s="3"/>
    </row>
    <row r="17" customFormat="false" ht="15" hidden="false" customHeight="true" outlineLevel="0" collapsed="false">
      <c r="B17" s="3" t="s">
        <v>13</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G8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7" min="3" style="0" width="14"/>
    <col collapsed="false" customWidth="true" hidden="false" outlineLevel="0" max="8" min="8" style="0" width="30"/>
  </cols>
  <sheetData>
    <row r="1" customFormat="false" ht="6" hidden="false" customHeight="true" outlineLevel="0" collapsed="false"/>
    <row r="2" customFormat="false" ht="17.35" hidden="false" customHeight="false" outlineLevel="0" collapsed="false">
      <c r="B2" s="5" t="s">
        <v>14</v>
      </c>
    </row>
    <row r="3" customFormat="false" ht="15" hidden="false" customHeight="false" outlineLevel="0" collapsed="false">
      <c r="B3" s="6" t="s">
        <v>15</v>
      </c>
    </row>
    <row r="5" customFormat="false" ht="15" hidden="false" customHeight="false" outlineLevel="0" collapsed="false">
      <c r="B5" s="7" t="s">
        <v>16</v>
      </c>
      <c r="C5" s="8"/>
      <c r="D5" s="8"/>
      <c r="E5" s="8"/>
    </row>
    <row r="6" customFormat="false" ht="15" hidden="false" customHeight="false" outlineLevel="0" collapsed="false">
      <c r="B6" s="9" t="s">
        <v>17</v>
      </c>
      <c r="C6" s="10" t="n">
        <v>0.04</v>
      </c>
      <c r="D6" s="6" t="s">
        <v>18</v>
      </c>
    </row>
    <row r="7" customFormat="false" ht="15" hidden="false" customHeight="false" outlineLevel="0" collapsed="false">
      <c r="B7" s="9" t="s">
        <v>19</v>
      </c>
      <c r="C7" s="11" t="n">
        <v>500000</v>
      </c>
    </row>
    <row r="8" customFormat="false" ht="15" hidden="false" customHeight="false" outlineLevel="0" collapsed="false">
      <c r="B8" s="9" t="s">
        <v>20</v>
      </c>
      <c r="C8" s="12" t="n">
        <v>0.4</v>
      </c>
    </row>
    <row r="9" customFormat="false" ht="15" hidden="false" customHeight="false" outlineLevel="0" collapsed="false">
      <c r="B9" s="9" t="s">
        <v>21</v>
      </c>
      <c r="C9" s="12" t="n">
        <v>0.65</v>
      </c>
    </row>
    <row r="11" customFormat="false" ht="15" hidden="false" customHeight="false" outlineLevel="0" collapsed="false">
      <c r="B11" s="7" t="s">
        <v>22</v>
      </c>
      <c r="C11" s="8"/>
      <c r="D11" s="8"/>
      <c r="E11" s="8"/>
    </row>
    <row r="12" customFormat="false" ht="15" hidden="false" customHeight="false" outlineLevel="0" collapsed="false">
      <c r="C12" s="13" t="s">
        <v>23</v>
      </c>
      <c r="D12" s="14" t="s">
        <v>24</v>
      </c>
    </row>
    <row r="13" customFormat="false" ht="15" hidden="false" customHeight="false" outlineLevel="0" collapsed="false">
      <c r="B13" s="9"/>
      <c r="C13" s="15" t="s">
        <v>25</v>
      </c>
      <c r="D13" s="10" t="n">
        <v>0.0005</v>
      </c>
    </row>
    <row r="14" customFormat="false" ht="15" hidden="false" customHeight="false" outlineLevel="0" collapsed="false">
      <c r="B14" s="9"/>
      <c r="C14" s="15" t="s">
        <v>26</v>
      </c>
      <c r="D14" s="10" t="n">
        <v>0.002</v>
      </c>
    </row>
    <row r="15" customFormat="false" ht="15" hidden="false" customHeight="false" outlineLevel="0" collapsed="false">
      <c r="B15" s="9"/>
      <c r="C15" s="15" t="s">
        <v>27</v>
      </c>
      <c r="D15" s="10" t="n">
        <v>0.01</v>
      </c>
    </row>
    <row r="16" customFormat="false" ht="15" hidden="false" customHeight="false" outlineLevel="0" collapsed="false">
      <c r="B16" s="9"/>
      <c r="C16" s="15" t="s">
        <v>28</v>
      </c>
      <c r="D16" s="10" t="n">
        <v>0.03</v>
      </c>
    </row>
    <row r="17" customFormat="false" ht="15" hidden="false" customHeight="false" outlineLevel="0" collapsed="false">
      <c r="B17" s="9"/>
      <c r="C17" s="15" t="s">
        <v>29</v>
      </c>
      <c r="D17" s="10" t="n">
        <v>0.15</v>
      </c>
    </row>
    <row r="19" customFormat="false" ht="15" hidden="false" customHeight="false" outlineLevel="0" collapsed="false">
      <c r="B19" s="7" t="s">
        <v>30</v>
      </c>
      <c r="C19" s="8"/>
      <c r="D19" s="8"/>
      <c r="E19" s="8"/>
      <c r="F19" s="8"/>
      <c r="G19" s="8"/>
    </row>
    <row r="20" customFormat="false" ht="15" hidden="false" customHeight="false" outlineLevel="0" collapsed="false">
      <c r="B20" s="9" t="s">
        <v>31</v>
      </c>
      <c r="C20" s="11" t="n">
        <v>25000</v>
      </c>
    </row>
    <row r="21" customFormat="false" ht="30" hidden="false" customHeight="true" outlineLevel="0" collapsed="false">
      <c r="B21" s="13" t="s">
        <v>32</v>
      </c>
      <c r="C21" s="14" t="s">
        <v>23</v>
      </c>
      <c r="D21" s="14" t="s">
        <v>33</v>
      </c>
      <c r="E21" s="14" t="s">
        <v>34</v>
      </c>
      <c r="F21" s="14" t="s">
        <v>35</v>
      </c>
    </row>
    <row r="22" customFormat="false" ht="15" hidden="false" customHeight="false" outlineLevel="0" collapsed="false">
      <c r="B22" s="9" t="s">
        <v>36</v>
      </c>
      <c r="C22" s="15" t="s">
        <v>25</v>
      </c>
      <c r="D22" s="10" t="n">
        <v>0.008</v>
      </c>
      <c r="E22" s="16" t="n">
        <v>2</v>
      </c>
      <c r="F22" s="17" t="n">
        <f aca="false">$C$6+D22</f>
        <v>0.048</v>
      </c>
    </row>
    <row r="23" customFormat="false" ht="15" hidden="false" customHeight="false" outlineLevel="0" collapsed="false">
      <c r="B23" s="9" t="s">
        <v>37</v>
      </c>
      <c r="C23" s="15" t="s">
        <v>25</v>
      </c>
      <c r="D23" s="10" t="n">
        <v>0.0095</v>
      </c>
      <c r="E23" s="16" t="n">
        <v>3</v>
      </c>
      <c r="F23" s="17" t="n">
        <f aca="false">$C$6+D23</f>
        <v>0.0495</v>
      </c>
    </row>
    <row r="24" customFormat="false" ht="15" hidden="false" customHeight="false" outlineLevel="0" collapsed="false">
      <c r="B24" s="9" t="s">
        <v>38</v>
      </c>
      <c r="C24" s="15" t="s">
        <v>26</v>
      </c>
      <c r="D24" s="10" t="n">
        <v>0.0115</v>
      </c>
      <c r="E24" s="16" t="n">
        <v>4</v>
      </c>
      <c r="F24" s="17" t="n">
        <f aca="false">$C$6+D24</f>
        <v>0.0515</v>
      </c>
    </row>
    <row r="25" customFormat="false" ht="15" hidden="false" customHeight="false" outlineLevel="0" collapsed="false">
      <c r="B25" s="9" t="s">
        <v>39</v>
      </c>
      <c r="C25" s="15" t="s">
        <v>26</v>
      </c>
      <c r="D25" s="10" t="n">
        <v>0.013</v>
      </c>
      <c r="E25" s="16" t="n">
        <v>5</v>
      </c>
      <c r="F25" s="17" t="n">
        <f aca="false">$C$6+D25</f>
        <v>0.053</v>
      </c>
    </row>
    <row r="26" customFormat="false" ht="15" hidden="false" customHeight="false" outlineLevel="0" collapsed="false">
      <c r="B26" s="9" t="s">
        <v>40</v>
      </c>
      <c r="C26" s="15" t="s">
        <v>26</v>
      </c>
      <c r="D26" s="10" t="n">
        <v>0.0145</v>
      </c>
      <c r="E26" s="16" t="n">
        <v>6</v>
      </c>
      <c r="F26" s="17" t="n">
        <f aca="false">$C$6+D26</f>
        <v>0.0545</v>
      </c>
    </row>
    <row r="28" customFormat="false" ht="15" hidden="false" customHeight="false" outlineLevel="0" collapsed="false">
      <c r="B28" s="7" t="s">
        <v>41</v>
      </c>
      <c r="C28" s="8"/>
      <c r="D28" s="8"/>
      <c r="E28" s="8"/>
      <c r="F28" s="8"/>
      <c r="G28" s="8"/>
    </row>
    <row r="29" customFormat="false" ht="15" hidden="false" customHeight="false" outlineLevel="0" collapsed="false">
      <c r="B29" s="9" t="s">
        <v>31</v>
      </c>
      <c r="C29" s="11" t="n">
        <v>12500</v>
      </c>
    </row>
    <row r="30" customFormat="false" ht="15" hidden="false" customHeight="false" outlineLevel="0" collapsed="false">
      <c r="B30" s="9" t="s">
        <v>42</v>
      </c>
      <c r="C30" s="16" t="n">
        <v>5</v>
      </c>
      <c r="D30" s="6" t="s">
        <v>43</v>
      </c>
    </row>
    <row r="31" customFormat="false" ht="30" hidden="false" customHeight="true" outlineLevel="0" collapsed="false">
      <c r="B31" s="13" t="s">
        <v>32</v>
      </c>
      <c r="C31" s="14" t="s">
        <v>23</v>
      </c>
      <c r="D31" s="14" t="s">
        <v>44</v>
      </c>
      <c r="E31" s="14" t="s">
        <v>45</v>
      </c>
      <c r="F31" s="14" t="s">
        <v>46</v>
      </c>
    </row>
    <row r="32" customFormat="false" ht="15" hidden="false" customHeight="false" outlineLevel="0" collapsed="false">
      <c r="B32" s="9" t="s">
        <v>47</v>
      </c>
      <c r="C32" s="15" t="s">
        <v>27</v>
      </c>
      <c r="D32" s="10" t="n">
        <v>0.0675</v>
      </c>
      <c r="E32" s="18" t="n">
        <v>99</v>
      </c>
      <c r="F32" s="19" t="n">
        <f aca="false">$C$29*E32/100</f>
        <v>12375</v>
      </c>
    </row>
    <row r="33" customFormat="false" ht="15" hidden="false" customHeight="false" outlineLevel="0" collapsed="false">
      <c r="B33" s="9" t="s">
        <v>48</v>
      </c>
      <c r="C33" s="15" t="s">
        <v>27</v>
      </c>
      <c r="D33" s="10" t="n">
        <v>0.07</v>
      </c>
      <c r="E33" s="18" t="n">
        <v>98.5</v>
      </c>
      <c r="F33" s="19" t="n">
        <f aca="false">$C$29*E33/100</f>
        <v>12312.5</v>
      </c>
    </row>
    <row r="34" customFormat="false" ht="15" hidden="false" customHeight="false" outlineLevel="0" collapsed="false">
      <c r="B34" s="9" t="s">
        <v>49</v>
      </c>
      <c r="C34" s="15" t="s">
        <v>28</v>
      </c>
      <c r="D34" s="10" t="n">
        <v>0.0725</v>
      </c>
      <c r="E34" s="18" t="n">
        <v>98</v>
      </c>
      <c r="F34" s="19" t="n">
        <f aca="false">$C$29*E34/100</f>
        <v>12250</v>
      </c>
    </row>
    <row r="35" customFormat="false" ht="15" hidden="false" customHeight="false" outlineLevel="0" collapsed="false">
      <c r="B35" s="9" t="s">
        <v>50</v>
      </c>
      <c r="C35" s="15" t="s">
        <v>28</v>
      </c>
      <c r="D35" s="10" t="n">
        <v>0.075</v>
      </c>
      <c r="E35" s="18" t="n">
        <v>97.5</v>
      </c>
      <c r="F35" s="19" t="n">
        <f aca="false">$C$29*E35/100</f>
        <v>12187.5</v>
      </c>
    </row>
    <row r="36" customFormat="false" ht="15" hidden="false" customHeight="false" outlineLevel="0" collapsed="false">
      <c r="B36" s="9" t="s">
        <v>51</v>
      </c>
      <c r="C36" s="15" t="s">
        <v>28</v>
      </c>
      <c r="D36" s="10" t="n">
        <v>0.08</v>
      </c>
      <c r="E36" s="18" t="n">
        <v>97</v>
      </c>
      <c r="F36" s="19" t="n">
        <f aca="false">$C$29*E36/100</f>
        <v>12125</v>
      </c>
    </row>
    <row r="37" customFormat="false" ht="15" hidden="false" customHeight="false" outlineLevel="0" collapsed="false">
      <c r="B37" s="9" t="s">
        <v>52</v>
      </c>
      <c r="C37" s="15" t="s">
        <v>29</v>
      </c>
      <c r="D37" s="10" t="n">
        <v>0.085</v>
      </c>
      <c r="E37" s="18" t="n">
        <v>94</v>
      </c>
      <c r="F37" s="19" t="n">
        <f aca="false">$C$29*E37/100</f>
        <v>11750</v>
      </c>
    </row>
    <row r="39" customFormat="false" ht="15" hidden="false" customHeight="false" outlineLevel="0" collapsed="false">
      <c r="B39" s="7" t="s">
        <v>53</v>
      </c>
      <c r="C39" s="8"/>
      <c r="D39" s="8"/>
      <c r="E39" s="8"/>
    </row>
    <row r="40" customFormat="false" ht="15" hidden="false" customHeight="false" outlineLevel="0" collapsed="false">
      <c r="B40" s="9" t="s">
        <v>54</v>
      </c>
      <c r="C40" s="11" t="n">
        <v>75000</v>
      </c>
    </row>
    <row r="41" customFormat="false" ht="15" hidden="false" customHeight="false" outlineLevel="0" collapsed="false">
      <c r="B41" s="9" t="s">
        <v>55</v>
      </c>
      <c r="C41" s="20" t="n">
        <v>10</v>
      </c>
    </row>
    <row r="42" customFormat="false" ht="15" hidden="false" customHeight="false" outlineLevel="0" collapsed="false">
      <c r="B42" s="9" t="s">
        <v>56</v>
      </c>
      <c r="C42" s="10" t="n">
        <v>0.036</v>
      </c>
      <c r="D42" s="6" t="s">
        <v>18</v>
      </c>
    </row>
    <row r="43" customFormat="false" ht="15" hidden="false" customHeight="false" outlineLevel="0" collapsed="false">
      <c r="B43" s="9" t="s">
        <v>57</v>
      </c>
      <c r="C43" s="10" t="n">
        <v>0.0095</v>
      </c>
      <c r="D43" s="6" t="s">
        <v>58</v>
      </c>
    </row>
    <row r="44" customFormat="false" ht="15" hidden="false" customHeight="false" outlineLevel="0" collapsed="false">
      <c r="B44" s="9" t="s">
        <v>59</v>
      </c>
      <c r="C44" s="21" t="n">
        <v>0.03</v>
      </c>
    </row>
    <row r="45" customFormat="false" ht="15" hidden="false" customHeight="false" outlineLevel="0" collapsed="false">
      <c r="B45" s="9" t="s">
        <v>60</v>
      </c>
      <c r="C45" s="22" t="n">
        <f aca="false">1-$C$9</f>
        <v>0.35</v>
      </c>
    </row>
    <row r="47" customFormat="false" ht="15" hidden="false" customHeight="false" outlineLevel="0" collapsed="false">
      <c r="B47" s="7" t="s">
        <v>61</v>
      </c>
      <c r="C47" s="8"/>
      <c r="D47" s="8"/>
      <c r="E47" s="8"/>
      <c r="F47" s="8"/>
    </row>
    <row r="48" customFormat="false" ht="15" hidden="false" customHeight="false" outlineLevel="0" collapsed="false">
      <c r="B48" s="9" t="s">
        <v>62</v>
      </c>
      <c r="C48" s="11" t="n">
        <v>25000</v>
      </c>
    </row>
    <row r="49" customFormat="false" ht="30" hidden="false" customHeight="true" outlineLevel="0" collapsed="false">
      <c r="B49" s="13" t="s">
        <v>63</v>
      </c>
      <c r="C49" s="14" t="s">
        <v>64</v>
      </c>
      <c r="D49" s="14" t="s">
        <v>65</v>
      </c>
      <c r="E49" s="14" t="s">
        <v>66</v>
      </c>
    </row>
    <row r="50" customFormat="false" ht="15" hidden="false" customHeight="false" outlineLevel="0" collapsed="false">
      <c r="B50" s="9" t="s">
        <v>67</v>
      </c>
      <c r="C50" s="20" t="n">
        <v>19</v>
      </c>
      <c r="D50" s="20" t="n">
        <v>15</v>
      </c>
      <c r="E50" s="20" t="n">
        <v>9</v>
      </c>
    </row>
    <row r="51" customFormat="false" ht="15" hidden="false" customHeight="false" outlineLevel="0" collapsed="false">
      <c r="B51" s="9" t="s">
        <v>55</v>
      </c>
      <c r="C51" s="20" t="n">
        <v>20</v>
      </c>
      <c r="D51" s="20" t="n">
        <v>14</v>
      </c>
      <c r="E51" s="20" t="n">
        <v>11.25</v>
      </c>
    </row>
    <row r="52" customFormat="false" ht="15" hidden="false" customHeight="false" outlineLevel="0" collapsed="false">
      <c r="B52" s="9" t="s">
        <v>68</v>
      </c>
      <c r="C52" s="20" t="n">
        <v>0.48</v>
      </c>
      <c r="D52" s="20" t="n">
        <v>0.4</v>
      </c>
      <c r="E52" s="20" t="n">
        <v>0.33</v>
      </c>
    </row>
    <row r="53" customFormat="false" ht="15" hidden="false" customHeight="false" outlineLevel="0" collapsed="false">
      <c r="B53" s="9" t="s">
        <v>69</v>
      </c>
      <c r="C53" s="10" t="n">
        <v>0.069</v>
      </c>
      <c r="D53" s="10" t="n">
        <v>0.06</v>
      </c>
      <c r="E53" s="10" t="n">
        <v>0.083</v>
      </c>
    </row>
    <row r="54" customFormat="false" ht="15" hidden="false" customHeight="false" outlineLevel="0" collapsed="false">
      <c r="B54" s="9" t="s">
        <v>70</v>
      </c>
      <c r="C54" s="23" t="n">
        <v>1.1</v>
      </c>
      <c r="D54" s="23" t="n">
        <v>1</v>
      </c>
      <c r="E54" s="23" t="n">
        <v>1.35</v>
      </c>
    </row>
    <row r="55" customFormat="false" ht="15" hidden="false" customHeight="false" outlineLevel="0" collapsed="false">
      <c r="B55" s="9" t="s">
        <v>71</v>
      </c>
      <c r="C55" s="10" t="n">
        <v>0.06</v>
      </c>
      <c r="D55" s="10" t="n">
        <v>0.058</v>
      </c>
      <c r="E55" s="10" t="n">
        <v>0.068</v>
      </c>
    </row>
    <row r="56" customFormat="false" ht="15" hidden="false" customHeight="false" outlineLevel="0" collapsed="false">
      <c r="B56" s="9" t="s">
        <v>72</v>
      </c>
      <c r="C56" s="10" t="n">
        <v>0.015</v>
      </c>
      <c r="D56" s="10" t="n">
        <v>0</v>
      </c>
      <c r="E56" s="10" t="n">
        <v>0.0175</v>
      </c>
    </row>
    <row r="57" customFormat="false" ht="15" hidden="false" customHeight="false" outlineLevel="0" collapsed="false">
      <c r="B57" s="9" t="s">
        <v>73</v>
      </c>
      <c r="C57" s="10" t="n">
        <v>0.009</v>
      </c>
      <c r="D57" s="10" t="n">
        <v>0.02</v>
      </c>
      <c r="E57" s="10" t="n">
        <v>0.011</v>
      </c>
    </row>
    <row r="58" customFormat="false" ht="15" hidden="false" customHeight="false" outlineLevel="0" collapsed="false">
      <c r="B58" s="9" t="s">
        <v>74</v>
      </c>
      <c r="C58" s="21" t="n">
        <v>0.175</v>
      </c>
      <c r="D58" s="21" t="n">
        <v>0</v>
      </c>
      <c r="E58" s="21" t="n">
        <v>0.2</v>
      </c>
    </row>
    <row r="59" customFormat="false" ht="15" hidden="false" customHeight="false" outlineLevel="0" collapsed="false">
      <c r="B59" s="9" t="s">
        <v>75</v>
      </c>
      <c r="C59" s="10" t="n">
        <v>0.006</v>
      </c>
      <c r="D59" s="10" t="n">
        <v>0.005</v>
      </c>
      <c r="E59" s="10" t="n">
        <v>0.035</v>
      </c>
    </row>
    <row r="60" customFormat="false" ht="15" hidden="false" customHeight="false" outlineLevel="0" collapsed="false">
      <c r="B60" s="9" t="s">
        <v>76</v>
      </c>
      <c r="C60" s="21" t="n">
        <v>0.01</v>
      </c>
      <c r="D60" s="21" t="n">
        <v>0.008</v>
      </c>
      <c r="E60" s="21" t="n">
        <v>0.04</v>
      </c>
    </row>
    <row r="61" customFormat="false" ht="15" hidden="false" customHeight="false" outlineLevel="0" collapsed="false">
      <c r="B61" s="9" t="s">
        <v>77</v>
      </c>
      <c r="C61" s="21" t="n">
        <v>0.012</v>
      </c>
      <c r="D61" s="21" t="n">
        <v>0.008</v>
      </c>
      <c r="E61" s="21" t="n">
        <v>0.07</v>
      </c>
    </row>
    <row r="62" customFormat="false" ht="15" hidden="false" customHeight="false" outlineLevel="0" collapsed="false">
      <c r="B62" s="9" t="s">
        <v>78</v>
      </c>
      <c r="C62" s="21" t="n">
        <v>0.012</v>
      </c>
      <c r="D62" s="21" t="n">
        <v>0.01</v>
      </c>
      <c r="E62" s="21" t="n">
        <v>0.09</v>
      </c>
    </row>
    <row r="63" customFormat="false" ht="15" hidden="false" customHeight="false" outlineLevel="0" collapsed="false">
      <c r="B63" s="9" t="s">
        <v>79</v>
      </c>
      <c r="C63" s="24" t="s">
        <v>80</v>
      </c>
      <c r="D63" s="24" t="s">
        <v>80</v>
      </c>
      <c r="E63" s="16" t="n">
        <v>6</v>
      </c>
    </row>
    <row r="64" customFormat="false" ht="15" hidden="false" customHeight="false" outlineLevel="0" collapsed="false">
      <c r="B64" s="9" t="s">
        <v>81</v>
      </c>
      <c r="C64" s="20" t="n">
        <v>0.48</v>
      </c>
      <c r="D64" s="20" t="n">
        <v>0.4</v>
      </c>
      <c r="E64" s="20" t="n">
        <v>0.25</v>
      </c>
    </row>
    <row r="65" customFormat="false" ht="15" hidden="false" customHeight="false" outlineLevel="0" collapsed="false">
      <c r="B65" s="9" t="s">
        <v>82</v>
      </c>
      <c r="C65" s="21" t="n">
        <v>-0.05</v>
      </c>
      <c r="D65" s="21" t="n">
        <v>0</v>
      </c>
      <c r="E65" s="21" t="n">
        <v>-0.25</v>
      </c>
    </row>
    <row r="66" customFormat="false" ht="15" hidden="false" customHeight="false" outlineLevel="0" collapsed="false">
      <c r="B66" s="6" t="s">
        <v>83</v>
      </c>
    </row>
    <row r="68" customFormat="false" ht="15" hidden="false" customHeight="false" outlineLevel="0" collapsed="false">
      <c r="B68" s="7" t="s">
        <v>84</v>
      </c>
      <c r="C68" s="8"/>
      <c r="D68" s="8"/>
      <c r="E68" s="8"/>
    </row>
    <row r="69" customFormat="false" ht="15" hidden="false" customHeight="false" outlineLevel="0" collapsed="false">
      <c r="B69" s="9" t="s">
        <v>54</v>
      </c>
      <c r="C69" s="11" t="n">
        <v>100000</v>
      </c>
    </row>
    <row r="70" customFormat="false" ht="15" hidden="false" customHeight="false" outlineLevel="0" collapsed="false">
      <c r="B70" s="9" t="s">
        <v>55</v>
      </c>
      <c r="C70" s="20" t="n">
        <v>25</v>
      </c>
    </row>
    <row r="71" customFormat="false" ht="15" hidden="false" customHeight="false" outlineLevel="0" collapsed="false">
      <c r="B71" s="9" t="s">
        <v>85</v>
      </c>
      <c r="C71" s="25" t="n">
        <v>0.5625</v>
      </c>
    </row>
    <row r="72" customFormat="false" ht="15" hidden="false" customHeight="false" outlineLevel="0" collapsed="false">
      <c r="B72" s="9" t="s">
        <v>56</v>
      </c>
      <c r="C72" s="10" t="n">
        <v>0.0575</v>
      </c>
    </row>
    <row r="73" customFormat="false" ht="15" hidden="false" customHeight="false" outlineLevel="0" collapsed="false">
      <c r="B73" s="9" t="s">
        <v>86</v>
      </c>
      <c r="C73" s="10" t="n">
        <v>0.005</v>
      </c>
    </row>
    <row r="74" customFormat="false" ht="15" hidden="false" customHeight="false" outlineLevel="0" collapsed="false">
      <c r="B74" s="9" t="s">
        <v>87</v>
      </c>
      <c r="C74" s="23" t="n">
        <v>0.75</v>
      </c>
    </row>
    <row r="75" customFormat="false" ht="15" hidden="false" customHeight="false" outlineLevel="0" collapsed="false">
      <c r="B75" s="9" t="s">
        <v>88</v>
      </c>
      <c r="C75" s="10" t="n">
        <v>0.0225</v>
      </c>
    </row>
    <row r="76" customFormat="false" ht="15" hidden="false" customHeight="false" outlineLevel="0" collapsed="false">
      <c r="B76" s="9" t="s">
        <v>89</v>
      </c>
      <c r="C76" s="10" t="n">
        <v>0.0125</v>
      </c>
    </row>
    <row r="77" customFormat="false" ht="15" hidden="false" customHeight="false" outlineLevel="0" collapsed="false">
      <c r="B77" s="9" t="s">
        <v>73</v>
      </c>
      <c r="C77" s="10" t="n">
        <v>0.006</v>
      </c>
    </row>
    <row r="78" customFormat="false" ht="15" hidden="false" customHeight="false" outlineLevel="0" collapsed="false">
      <c r="B78" s="9" t="s">
        <v>90</v>
      </c>
      <c r="C78" s="10" t="n">
        <v>0.0025</v>
      </c>
    </row>
    <row r="79" customFormat="false" ht="15" hidden="false" customHeight="false" outlineLevel="0" collapsed="false">
      <c r="B79" s="9" t="s">
        <v>91</v>
      </c>
      <c r="C79" s="21" t="n">
        <v>0.125</v>
      </c>
    </row>
    <row r="80" customFormat="false" ht="15" hidden="false" customHeight="false" outlineLevel="0" collapsed="false">
      <c r="B80" s="9" t="s">
        <v>92</v>
      </c>
      <c r="C80" s="21" t="n">
        <v>0.05</v>
      </c>
    </row>
    <row r="81" customFormat="false" ht="15" hidden="false" customHeight="false" outlineLevel="0" collapsed="false">
      <c r="B81" s="9" t="s">
        <v>59</v>
      </c>
      <c r="C81" s="21" t="n">
        <v>0.025</v>
      </c>
    </row>
    <row r="82" customFormat="false" ht="15" hidden="false" customHeight="false" outlineLevel="0" collapsed="false">
      <c r="B82" s="9" t="s">
        <v>93</v>
      </c>
      <c r="C82" s="12" t="n">
        <v>0.4</v>
      </c>
    </row>
    <row r="83" customFormat="false" ht="15" hidden="false" customHeight="false" outlineLevel="0" collapsed="false">
      <c r="B83" s="9" t="s">
        <v>94</v>
      </c>
      <c r="C83" s="12" t="n">
        <v>0.05</v>
      </c>
    </row>
    <row r="85" customFormat="false" ht="15" hidden="false" customHeight="false" outlineLevel="0" collapsed="false">
      <c r="B85" s="7" t="s">
        <v>95</v>
      </c>
      <c r="C85" s="8"/>
      <c r="D85" s="8"/>
      <c r="E85" s="8"/>
    </row>
    <row r="86" customFormat="false" ht="15" hidden="false" customHeight="false" outlineLevel="0" collapsed="false">
      <c r="B86" s="9" t="s">
        <v>96</v>
      </c>
      <c r="C86" s="26" t="n">
        <f aca="false">$C$7-5*$C$20-($F$32+$F$33+$F$34+$F$35+$F$36+$F$37)-$C$40-3*$C$48-$C$69</f>
        <v>52000</v>
      </c>
    </row>
    <row r="88" customFormat="false" ht="15" hidden="false" customHeight="false" outlineLevel="0" collapsed="false">
      <c r="B88" s="6" t="s">
        <v>97</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D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5" min="3" style="0" width="14"/>
    <col collapsed="false" customWidth="true" hidden="false" outlineLevel="0" max="6" min="6" style="0" width="30"/>
  </cols>
  <sheetData>
    <row r="1" customFormat="false" ht="6" hidden="false" customHeight="true" outlineLevel="0" collapsed="false"/>
    <row r="2" customFormat="false" ht="17.35" hidden="false" customHeight="false" outlineLevel="0" collapsed="false">
      <c r="B2" s="5" t="s">
        <v>98</v>
      </c>
    </row>
    <row r="3" customFormat="false" ht="15" hidden="false" customHeight="false" outlineLevel="0" collapsed="false">
      <c r="B3" s="6" t="s">
        <v>99</v>
      </c>
    </row>
    <row r="5" customFormat="false" ht="15" hidden="false" customHeight="false" outlineLevel="0" collapsed="false">
      <c r="B5" s="9" t="s">
        <v>44</v>
      </c>
      <c r="C5" s="17" t="n">
        <f aca="false">Assumptions!$D$37</f>
        <v>0.085</v>
      </c>
    </row>
    <row r="6" customFormat="false" ht="15" hidden="false" customHeight="false" outlineLevel="0" collapsed="false">
      <c r="B6" s="9" t="s">
        <v>45</v>
      </c>
      <c r="C6" s="27" t="n">
        <f aca="false">Assumptions!$E$37</f>
        <v>94</v>
      </c>
    </row>
    <row r="7" customFormat="false" ht="15" hidden="false" customHeight="false" outlineLevel="0" collapsed="false">
      <c r="B7" s="9" t="s">
        <v>100</v>
      </c>
      <c r="C7" s="28" t="n">
        <f aca="false">Assumptions!$C$30</f>
        <v>5</v>
      </c>
    </row>
    <row r="8" customFormat="false" ht="15" hidden="false" customHeight="false" outlineLevel="0" collapsed="false">
      <c r="B8" s="9" t="s">
        <v>101</v>
      </c>
      <c r="C8" s="19" t="n">
        <f aca="false">Assumptions!$C$29*$C$6/100</f>
        <v>11750</v>
      </c>
    </row>
    <row r="9" customFormat="false" ht="15" hidden="false" customHeight="false" outlineLevel="0" collapsed="false">
      <c r="B9" s="9" t="s">
        <v>102</v>
      </c>
      <c r="C9" s="17" t="n">
        <f aca="false">$C$5/($C$6/100)</f>
        <v>0.0904255319148936</v>
      </c>
    </row>
    <row r="10" customFormat="false" ht="15" hidden="false" customHeight="false" outlineLevel="0" collapsed="false">
      <c r="B10" s="29" t="s">
        <v>103</v>
      </c>
      <c r="C10" s="30" t="n">
        <f aca="false">RATE($C$7*2,$C$5*100/2,-$C$6,100)*2</f>
        <v>0.100561753609911</v>
      </c>
    </row>
    <row r="11" customFormat="false" ht="15" hidden="false" customHeight="false" outlineLevel="0" collapsed="false">
      <c r="B11" s="9" t="s">
        <v>104</v>
      </c>
      <c r="C11" s="17" t="n">
        <f aca="false">$C$10-Assumptions!$C$6</f>
        <v>0.0605617536099108</v>
      </c>
    </row>
    <row r="12" customFormat="false" ht="15" hidden="false" customHeight="false" outlineLevel="0" collapsed="false">
      <c r="B12" s="9" t="s">
        <v>105</v>
      </c>
      <c r="C12" s="17" t="n">
        <f aca="false">$C$10-$C$9</f>
        <v>0.0101362216950172</v>
      </c>
    </row>
    <row r="13" customFormat="false" ht="15" hidden="false" customHeight="false" outlineLevel="0" collapsed="false">
      <c r="B13" s="9" t="s">
        <v>106</v>
      </c>
      <c r="C13" s="19" t="n">
        <f aca="false">Assumptions!$C$29*Assumptions!$C$8</f>
        <v>5000</v>
      </c>
    </row>
    <row r="15" customFormat="false" ht="15" hidden="false" customHeight="false" outlineLevel="0" collapsed="false">
      <c r="B15" s="7" t="s">
        <v>107</v>
      </c>
      <c r="C15" s="8"/>
      <c r="D15" s="8"/>
    </row>
    <row r="16" customFormat="false" ht="15" hidden="false" customHeight="false" outlineLevel="0" collapsed="false">
      <c r="B16" s="13" t="s">
        <v>108</v>
      </c>
      <c r="C16" s="14" t="s">
        <v>109</v>
      </c>
    </row>
    <row r="17" customFormat="false" ht="15" hidden="false" customHeight="false" outlineLevel="0" collapsed="false">
      <c r="B17" s="31" t="n">
        <v>0</v>
      </c>
      <c r="C17" s="27" t="n">
        <f aca="false">IF(B17=0,-$C$6,IF(B17&lt;=$C$7*2,$C$5*100/2+IF(B17=$C$7*2,100,0),0))</f>
        <v>-94</v>
      </c>
    </row>
    <row r="18" customFormat="false" ht="15" hidden="false" customHeight="false" outlineLevel="0" collapsed="false">
      <c r="B18" s="31" t="n">
        <v>1</v>
      </c>
      <c r="C18" s="27" t="n">
        <f aca="false">IF(B18=0,-$C$6,IF(B18&lt;=$C$7*2,$C$5*100/2+IF(B18=$C$7*2,100,0),0))</f>
        <v>4.25</v>
      </c>
    </row>
    <row r="19" customFormat="false" ht="15" hidden="false" customHeight="false" outlineLevel="0" collapsed="false">
      <c r="B19" s="31" t="n">
        <v>2</v>
      </c>
      <c r="C19" s="27" t="n">
        <f aca="false">IF(B19=0,-$C$6,IF(B19&lt;=$C$7*2,$C$5*100/2+IF(B19=$C$7*2,100,0),0))</f>
        <v>4.25</v>
      </c>
    </row>
    <row r="20" customFormat="false" ht="15" hidden="false" customHeight="false" outlineLevel="0" collapsed="false">
      <c r="B20" s="31" t="n">
        <v>3</v>
      </c>
      <c r="C20" s="27" t="n">
        <f aca="false">IF(B20=0,-$C$6,IF(B20&lt;=$C$7*2,$C$5*100/2+IF(B20=$C$7*2,100,0),0))</f>
        <v>4.25</v>
      </c>
    </row>
    <row r="21" customFormat="false" ht="15" hidden="false" customHeight="false" outlineLevel="0" collapsed="false">
      <c r="B21" s="31" t="n">
        <v>4</v>
      </c>
      <c r="C21" s="27" t="n">
        <f aca="false">IF(B21=0,-$C$6,IF(B21&lt;=$C$7*2,$C$5*100/2+IF(B21=$C$7*2,100,0),0))</f>
        <v>4.25</v>
      </c>
    </row>
    <row r="22" customFormat="false" ht="15" hidden="false" customHeight="false" outlineLevel="0" collapsed="false">
      <c r="B22" s="31" t="n">
        <v>5</v>
      </c>
      <c r="C22" s="27" t="n">
        <f aca="false">IF(B22=0,-$C$6,IF(B22&lt;=$C$7*2,$C$5*100/2+IF(B22=$C$7*2,100,0),0))</f>
        <v>4.25</v>
      </c>
    </row>
    <row r="23" customFormat="false" ht="15" hidden="false" customHeight="false" outlineLevel="0" collapsed="false">
      <c r="B23" s="31" t="n">
        <v>6</v>
      </c>
      <c r="C23" s="27" t="n">
        <f aca="false">IF(B23=0,-$C$6,IF(B23&lt;=$C$7*2,$C$5*100/2+IF(B23=$C$7*2,100,0),0))</f>
        <v>4.25</v>
      </c>
    </row>
    <row r="24" customFormat="false" ht="15" hidden="false" customHeight="false" outlineLevel="0" collapsed="false">
      <c r="B24" s="31" t="n">
        <v>7</v>
      </c>
      <c r="C24" s="27" t="n">
        <f aca="false">IF(B24=0,-$C$6,IF(B24&lt;=$C$7*2,$C$5*100/2+IF(B24=$C$7*2,100,0),0))</f>
        <v>4.25</v>
      </c>
    </row>
    <row r="25" customFormat="false" ht="15" hidden="false" customHeight="false" outlineLevel="0" collapsed="false">
      <c r="B25" s="31" t="n">
        <v>8</v>
      </c>
      <c r="C25" s="27" t="n">
        <f aca="false">IF(B25=0,-$C$6,IF(B25&lt;=$C$7*2,$C$5*100/2+IF(B25=$C$7*2,100,0),0))</f>
        <v>4.25</v>
      </c>
    </row>
    <row r="26" customFormat="false" ht="15" hidden="false" customHeight="false" outlineLevel="0" collapsed="false">
      <c r="B26" s="31" t="n">
        <v>9</v>
      </c>
      <c r="C26" s="27" t="n">
        <f aca="false">IF(B26=0,-$C$6,IF(B26&lt;=$C$7*2,$C$5*100/2+IF(B26=$C$7*2,100,0),0))</f>
        <v>4.25</v>
      </c>
    </row>
    <row r="27" customFormat="false" ht="15" hidden="false" customHeight="false" outlineLevel="0" collapsed="false">
      <c r="B27" s="31" t="n">
        <v>10</v>
      </c>
      <c r="C27" s="27" t="n">
        <f aca="false">IF(B27=0,-$C$6,IF(B27&lt;=$C$7*2,$C$5*100/2+IF(B27=$C$7*2,100,0),0))</f>
        <v>104.25</v>
      </c>
    </row>
    <row r="28" customFormat="false" ht="15" hidden="false" customHeight="false" outlineLevel="0" collapsed="false">
      <c r="B28" s="9" t="s">
        <v>110</v>
      </c>
      <c r="C28" s="17" t="n">
        <f aca="false">IRR(C17:C27,0.05)*2</f>
        <v>0.100561753609911</v>
      </c>
    </row>
    <row r="30" customFormat="false" ht="15" hidden="false" customHeight="false" outlineLevel="0" collapsed="false">
      <c r="B30" s="7" t="s">
        <v>111</v>
      </c>
      <c r="C30" s="8"/>
      <c r="D30" s="8"/>
    </row>
    <row r="31" customFormat="false" ht="15" hidden="false" customHeight="false" outlineLevel="0" collapsed="false">
      <c r="B31" s="9" t="s">
        <v>112</v>
      </c>
      <c r="C31" s="17" t="n">
        <f aca="false">Assumptions!$F$26</f>
        <v>0.0545</v>
      </c>
    </row>
    <row r="32" customFormat="false" ht="15" hidden="false" customHeight="false" outlineLevel="0" collapsed="false">
      <c r="B32" s="9" t="s">
        <v>113</v>
      </c>
      <c r="C32" s="17" t="n">
        <f aca="false">(1+$C$31/2)^2-1</f>
        <v>0.0552425624999999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F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6"/>
    <col collapsed="false" customWidth="true" hidden="false" outlineLevel="0" max="4" min="3" style="0" width="14"/>
    <col collapsed="false" customWidth="true" hidden="false" outlineLevel="0" max="6" min="5" style="0" width="18"/>
    <col collapsed="false" customWidth="true" hidden="false" outlineLevel="0" max="7" min="7" style="0" width="14"/>
  </cols>
  <sheetData>
    <row r="1" customFormat="false" ht="6" hidden="false" customHeight="true" outlineLevel="0" collapsed="false"/>
    <row r="2" customFormat="false" ht="17.35" hidden="false" customHeight="false" outlineLevel="0" collapsed="false">
      <c r="B2" s="5" t="s">
        <v>114</v>
      </c>
    </row>
    <row r="3" customFormat="false" ht="15" hidden="false" customHeight="false" outlineLevel="0" collapsed="false">
      <c r="B3" s="6" t="s">
        <v>115</v>
      </c>
    </row>
    <row r="5" customFormat="false" ht="15" hidden="false" customHeight="false" outlineLevel="0" collapsed="false">
      <c r="B5" s="9" t="s">
        <v>116</v>
      </c>
      <c r="C5" s="16" t="n">
        <v>5</v>
      </c>
    </row>
    <row r="7" customFormat="false" ht="30" hidden="false" customHeight="true" outlineLevel="0" collapsed="false">
      <c r="B7" s="13" t="s">
        <v>23</v>
      </c>
      <c r="C7" s="14" t="s">
        <v>24</v>
      </c>
      <c r="D7" s="14" t="s">
        <v>117</v>
      </c>
      <c r="E7" s="14" t="s">
        <v>118</v>
      </c>
      <c r="F7" s="14" t="s">
        <v>119</v>
      </c>
    </row>
    <row r="8" customFormat="false" ht="15" hidden="false" customHeight="false" outlineLevel="0" collapsed="false">
      <c r="B8" s="32" t="s">
        <v>25</v>
      </c>
      <c r="C8" s="17" t="n">
        <f aca="false">Assumptions!$D$13</f>
        <v>0.0005</v>
      </c>
      <c r="D8" s="22" t="n">
        <f aca="false">Assumptions!$C$8</f>
        <v>0.4</v>
      </c>
      <c r="E8" s="17" t="n">
        <f aca="false">C8*(1-D8)</f>
        <v>0.0003</v>
      </c>
      <c r="F8" s="33" t="n">
        <f aca="false">1-(1-C8)^$C$5</f>
        <v>0.00249750124968728</v>
      </c>
    </row>
    <row r="9" customFormat="false" ht="15" hidden="false" customHeight="false" outlineLevel="0" collapsed="false">
      <c r="B9" s="32" t="s">
        <v>26</v>
      </c>
      <c r="C9" s="17" t="n">
        <f aca="false">Assumptions!$D$14</f>
        <v>0.002</v>
      </c>
      <c r="D9" s="22" t="n">
        <f aca="false">Assumptions!$C$8</f>
        <v>0.4</v>
      </c>
      <c r="E9" s="17" t="n">
        <f aca="false">C9*(1-D9)</f>
        <v>0.0012</v>
      </c>
      <c r="F9" s="33" t="n">
        <f aca="false">1-(1-C9)^$C$5</f>
        <v>0.00996007992003201</v>
      </c>
    </row>
    <row r="10" customFormat="false" ht="15" hidden="false" customHeight="false" outlineLevel="0" collapsed="false">
      <c r="B10" s="32" t="s">
        <v>27</v>
      </c>
      <c r="C10" s="17" t="n">
        <f aca="false">Assumptions!$D$15</f>
        <v>0.01</v>
      </c>
      <c r="D10" s="22" t="n">
        <f aca="false">Assumptions!$C$8</f>
        <v>0.4</v>
      </c>
      <c r="E10" s="17" t="n">
        <f aca="false">C10*(1-D10)</f>
        <v>0.006</v>
      </c>
      <c r="F10" s="33" t="n">
        <f aca="false">1-(1-C10)^$C$5</f>
        <v>0.0490099501000001</v>
      </c>
    </row>
    <row r="11" customFormat="false" ht="15" hidden="false" customHeight="false" outlineLevel="0" collapsed="false">
      <c r="B11" s="32" t="s">
        <v>28</v>
      </c>
      <c r="C11" s="17" t="n">
        <f aca="false">Assumptions!$D$16</f>
        <v>0.03</v>
      </c>
      <c r="D11" s="22" t="n">
        <f aca="false">Assumptions!$C$8</f>
        <v>0.4</v>
      </c>
      <c r="E11" s="17" t="n">
        <f aca="false">C11*(1-D11)</f>
        <v>0.018</v>
      </c>
      <c r="F11" s="33" t="n">
        <f aca="false">1-(1-C11)^$C$5</f>
        <v>0.1412659743</v>
      </c>
    </row>
    <row r="12" customFormat="false" ht="15" hidden="false" customHeight="false" outlineLevel="0" collapsed="false">
      <c r="B12" s="32" t="s">
        <v>29</v>
      </c>
      <c r="C12" s="17" t="n">
        <f aca="false">Assumptions!$D$17</f>
        <v>0.15</v>
      </c>
      <c r="D12" s="22" t="n">
        <f aca="false">Assumptions!$C$8</f>
        <v>0.4</v>
      </c>
      <c r="E12" s="17" t="n">
        <f aca="false">C12*(1-D12)</f>
        <v>0.09</v>
      </c>
      <c r="F12" s="33" t="n">
        <f aca="false">1-(1-C12)^$C$5</f>
        <v>0.5562946875</v>
      </c>
    </row>
    <row r="14" customFormat="false" ht="15" hidden="false" customHeight="false" outlineLevel="0" collapsed="false">
      <c r="B14" s="7" t="s">
        <v>120</v>
      </c>
      <c r="C14" s="8"/>
      <c r="D14" s="8"/>
    </row>
    <row r="15" customFormat="false" ht="15" hidden="false" customHeight="false" outlineLevel="0" collapsed="false">
      <c r="B15" s="9" t="s">
        <v>121</v>
      </c>
      <c r="C15" s="17" t="n">
        <f aca="false">INDEX(Assumptions!$D$13:$D$17,MATCH(Assumptions!$C$37,Assumptions!$C$13:$C$17,0))*(1-Assumptions!$C$8)</f>
        <v>0.09</v>
      </c>
    </row>
    <row r="16" customFormat="false" ht="15" hidden="false" customHeight="false" outlineLevel="0" collapsed="false">
      <c r="B16" s="9" t="s">
        <v>104</v>
      </c>
      <c r="C16" s="17" t="n">
        <f aca="false">Yield_Measures!$C$11</f>
        <v>0.0605617536099108</v>
      </c>
    </row>
    <row r="17" customFormat="false" ht="15" hidden="false" customHeight="false" outlineLevel="0" collapsed="false">
      <c r="B17" s="29" t="s">
        <v>122</v>
      </c>
      <c r="C17" s="30" t="n">
        <f aca="false">Yield_Measures!$C$10-$C$15</f>
        <v>0.0105617536099108</v>
      </c>
    </row>
    <row r="18" customFormat="false" ht="15" hidden="false" customHeight="false" outlineLevel="0" collapsed="false">
      <c r="B18" s="29" t="s">
        <v>123</v>
      </c>
      <c r="C18" s="30" t="n">
        <f aca="false">$C$16/(1-Assumptions!$C$8)</f>
        <v>0.100936256016518</v>
      </c>
    </row>
    <row r="19" customFormat="false" ht="15" hidden="false" customHeight="false" outlineLevel="0" collapsed="false">
      <c r="B19" s="9" t="s">
        <v>124</v>
      </c>
      <c r="C19" s="17" t="n">
        <f aca="false">Yield_Measures!$C$10-$C$18*(1-Assumptions!$C$8)</f>
        <v>0.04</v>
      </c>
    </row>
    <row r="21" customFormat="false" ht="15" hidden="false" customHeight="false" outlineLevel="0" collapsed="false">
      <c r="B21" s="7" t="s">
        <v>125</v>
      </c>
      <c r="C21" s="8"/>
      <c r="D21" s="8"/>
      <c r="E21" s="8"/>
      <c r="F21" s="8"/>
    </row>
    <row r="22" customFormat="false" ht="30" hidden="false" customHeight="true" outlineLevel="0" collapsed="false">
      <c r="B22" s="13" t="s">
        <v>32</v>
      </c>
      <c r="C22" s="14" t="s">
        <v>23</v>
      </c>
      <c r="D22" s="14" t="s">
        <v>46</v>
      </c>
      <c r="E22" s="14" t="s">
        <v>126</v>
      </c>
      <c r="F22" s="14" t="s">
        <v>127</v>
      </c>
    </row>
    <row r="23" customFormat="false" ht="15" hidden="false" customHeight="false" outlineLevel="0" collapsed="false">
      <c r="B23" s="9" t="s">
        <v>36</v>
      </c>
      <c r="C23" s="34" t="str">
        <f aca="false">Assumptions!$C$22</f>
        <v>A</v>
      </c>
      <c r="D23" s="26" t="n">
        <f aca="false">Assumptions!$C$20</f>
        <v>25000</v>
      </c>
      <c r="E23" s="17" t="n">
        <f aca="false">Assumptions!$F$22</f>
        <v>0.048</v>
      </c>
      <c r="F23" s="17" t="n">
        <f aca="false">E23-INDEX(Assumptions!$D$13:$D$17,MATCH(C23,Assumptions!$C$13:$C$17,0))*(1-Assumptions!$C$8)</f>
        <v>0.0477</v>
      </c>
    </row>
    <row r="24" customFormat="false" ht="15" hidden="false" customHeight="false" outlineLevel="0" collapsed="false">
      <c r="B24" s="9" t="s">
        <v>37</v>
      </c>
      <c r="C24" s="34" t="str">
        <f aca="false">Assumptions!$C$23</f>
        <v>A</v>
      </c>
      <c r="D24" s="26" t="n">
        <f aca="false">Assumptions!$C$20</f>
        <v>25000</v>
      </c>
      <c r="E24" s="17" t="n">
        <f aca="false">Assumptions!$F$23</f>
        <v>0.0495</v>
      </c>
      <c r="F24" s="17" t="n">
        <f aca="false">E24-INDEX(Assumptions!$D$13:$D$17,MATCH(C24,Assumptions!$C$13:$C$17,0))*(1-Assumptions!$C$8)</f>
        <v>0.0492</v>
      </c>
    </row>
    <row r="25" customFormat="false" ht="15" hidden="false" customHeight="false" outlineLevel="0" collapsed="false">
      <c r="B25" s="9" t="s">
        <v>38</v>
      </c>
      <c r="C25" s="34" t="str">
        <f aca="false">Assumptions!$C$24</f>
        <v>BBB</v>
      </c>
      <c r="D25" s="26" t="n">
        <f aca="false">Assumptions!$C$20</f>
        <v>25000</v>
      </c>
      <c r="E25" s="17" t="n">
        <f aca="false">Assumptions!$F$24</f>
        <v>0.0515</v>
      </c>
      <c r="F25" s="17" t="n">
        <f aca="false">E25-INDEX(Assumptions!$D$13:$D$17,MATCH(C25,Assumptions!$C$13:$C$17,0))*(1-Assumptions!$C$8)</f>
        <v>0.0503</v>
      </c>
    </row>
    <row r="26" customFormat="false" ht="15" hidden="false" customHeight="false" outlineLevel="0" collapsed="false">
      <c r="B26" s="9" t="s">
        <v>39</v>
      </c>
      <c r="C26" s="34" t="str">
        <f aca="false">Assumptions!$C$25</f>
        <v>BBB</v>
      </c>
      <c r="D26" s="26" t="n">
        <f aca="false">Assumptions!$C$20</f>
        <v>25000</v>
      </c>
      <c r="E26" s="17" t="n">
        <f aca="false">Assumptions!$F$25</f>
        <v>0.053</v>
      </c>
      <c r="F26" s="17" t="n">
        <f aca="false">E26-INDEX(Assumptions!$D$13:$D$17,MATCH(C26,Assumptions!$C$13:$C$17,0))*(1-Assumptions!$C$8)</f>
        <v>0.0518</v>
      </c>
    </row>
    <row r="27" customFormat="false" ht="15" hidden="false" customHeight="false" outlineLevel="0" collapsed="false">
      <c r="B27" s="9" t="s">
        <v>40</v>
      </c>
      <c r="C27" s="34" t="str">
        <f aca="false">Assumptions!$C$26</f>
        <v>BBB</v>
      </c>
      <c r="D27" s="26" t="n">
        <f aca="false">Assumptions!$C$20</f>
        <v>25000</v>
      </c>
      <c r="E27" s="17" t="n">
        <f aca="false">Assumptions!$F$26</f>
        <v>0.0545</v>
      </c>
      <c r="F27" s="17" t="n">
        <f aca="false">E27-INDEX(Assumptions!$D$13:$D$17,MATCH(C27,Assumptions!$C$13:$C$17,0))*(1-Assumptions!$C$8)</f>
        <v>0.0533</v>
      </c>
    </row>
    <row r="28" customFormat="false" ht="15" hidden="false" customHeight="false" outlineLevel="0" collapsed="false">
      <c r="B28" s="9" t="s">
        <v>47</v>
      </c>
      <c r="C28" s="34" t="str">
        <f aca="false">Assumptions!$C$32</f>
        <v>BB</v>
      </c>
      <c r="D28" s="26" t="n">
        <f aca="false">Assumptions!$F$32</f>
        <v>12375</v>
      </c>
      <c r="E28" s="17" t="n">
        <f aca="false">RATE(Assumptions!$C$30*2,Assumptions!$D$32*100/2,-Assumptions!$E$32,100)*2</f>
        <v>0.0699042470751673</v>
      </c>
      <c r="F28" s="17" t="n">
        <f aca="false">E28-INDEX(Assumptions!$D$13:$D$17,MATCH(C28,Assumptions!$C$13:$C$17,0))*(1-Assumptions!$C$8)</f>
        <v>0.0639042470751673</v>
      </c>
    </row>
    <row r="29" customFormat="false" ht="15" hidden="false" customHeight="false" outlineLevel="0" collapsed="false">
      <c r="B29" s="9" t="s">
        <v>48</v>
      </c>
      <c r="C29" s="34" t="str">
        <f aca="false">Assumptions!$C$33</f>
        <v>BB</v>
      </c>
      <c r="D29" s="26" t="n">
        <f aca="false">Assumptions!$F$33</f>
        <v>12312.5</v>
      </c>
      <c r="E29" s="17" t="n">
        <f aca="false">RATE(Assumptions!$C$30*2,Assumptions!$D$33*100/2,-Assumptions!$E$33,100)*2</f>
        <v>0.0736404123832243</v>
      </c>
      <c r="F29" s="17" t="n">
        <f aca="false">E29-INDEX(Assumptions!$D$13:$D$17,MATCH(C29,Assumptions!$C$13:$C$17,0))*(1-Assumptions!$C$8)</f>
        <v>0.0676404123832243</v>
      </c>
    </row>
    <row r="30" customFormat="false" ht="15" hidden="false" customHeight="false" outlineLevel="0" collapsed="false">
      <c r="B30" s="9" t="s">
        <v>49</v>
      </c>
      <c r="C30" s="34" t="str">
        <f aca="false">Assumptions!$C$34</f>
        <v>B</v>
      </c>
      <c r="D30" s="26" t="n">
        <f aca="false">Assumptions!$F$34</f>
        <v>12250</v>
      </c>
      <c r="E30" s="17" t="n">
        <f aca="false">RATE(Assumptions!$C$30*2,Assumptions!$D$34*100/2,-Assumptions!$E$34,100)*2</f>
        <v>0.0773997713205988</v>
      </c>
      <c r="F30" s="17" t="n">
        <f aca="false">E30-INDEX(Assumptions!$D$13:$D$17,MATCH(C30,Assumptions!$C$13:$C$17,0))*(1-Assumptions!$C$8)</f>
        <v>0.0593997713205988</v>
      </c>
    </row>
    <row r="31" customFormat="false" ht="15" hidden="false" customHeight="false" outlineLevel="0" collapsed="false">
      <c r="B31" s="9" t="s">
        <v>50</v>
      </c>
      <c r="C31" s="34" t="str">
        <f aca="false">Assumptions!$C$35</f>
        <v>B</v>
      </c>
      <c r="D31" s="26" t="n">
        <f aca="false">Assumptions!$F$35</f>
        <v>12187.5</v>
      </c>
      <c r="E31" s="17" t="n">
        <f aca="false">RATE(Assumptions!$C$30*2,Assumptions!$D$35*100/2,-Assumptions!$E$35,100)*2</f>
        <v>0.0811827080590467</v>
      </c>
      <c r="F31" s="17" t="n">
        <f aca="false">E31-INDEX(Assumptions!$D$13:$D$17,MATCH(C31,Assumptions!$C$13:$C$17,0))*(1-Assumptions!$C$8)</f>
        <v>0.0631827080590467</v>
      </c>
    </row>
    <row r="32" customFormat="false" ht="15" hidden="false" customHeight="false" outlineLevel="0" collapsed="false">
      <c r="B32" s="9" t="s">
        <v>51</v>
      </c>
      <c r="C32" s="34" t="str">
        <f aca="false">Assumptions!$C$36</f>
        <v>B</v>
      </c>
      <c r="D32" s="26" t="n">
        <f aca="false">Assumptions!$F$36</f>
        <v>12125</v>
      </c>
      <c r="E32" s="17" t="n">
        <f aca="false">RATE(Assumptions!$C$30*2,Assumptions!$D$36*100/2,-Assumptions!$E$36,100)*2</f>
        <v>0.0875368825411204</v>
      </c>
      <c r="F32" s="17" t="n">
        <f aca="false">E32-INDEX(Assumptions!$D$13:$D$17,MATCH(C32,Assumptions!$C$13:$C$17,0))*(1-Assumptions!$C$8)</f>
        <v>0.0695368825411204</v>
      </c>
    </row>
    <row r="33" customFormat="false" ht="15" hidden="false" customHeight="false" outlineLevel="0" collapsed="false">
      <c r="B33" s="9" t="s">
        <v>52</v>
      </c>
      <c r="C33" s="34" t="str">
        <f aca="false">Assumptions!$C$37</f>
        <v>CCC</v>
      </c>
      <c r="D33" s="26" t="n">
        <f aca="false">Assumptions!$F$37</f>
        <v>11750</v>
      </c>
      <c r="E33" s="17" t="n">
        <f aca="false">RATE(Assumptions!$C$30*2,Assumptions!$D$37*100/2,-Assumptions!$E$37,100)*2</f>
        <v>0.100561753609911</v>
      </c>
      <c r="F33" s="17" t="n">
        <f aca="false">E33-INDEX(Assumptions!$D$13:$D$17,MATCH(C33,Assumptions!$C$13:$C$17,0))*(1-Assumptions!$C$8)</f>
        <v>0.0105617536099108</v>
      </c>
    </row>
    <row r="34" customFormat="false" ht="15" hidden="false" customHeight="false" outlineLevel="0" collapsed="false">
      <c r="B34" s="9" t="s">
        <v>128</v>
      </c>
      <c r="C34" s="26" t="n">
        <f aca="false">SUM(D23:D27)</f>
        <v>125000</v>
      </c>
    </row>
    <row r="35" customFormat="false" ht="15" hidden="false" customHeight="false" outlineLevel="0" collapsed="false">
      <c r="B35" s="9" t="s">
        <v>129</v>
      </c>
      <c r="C35" s="26" t="n">
        <f aca="false">SUM(D28:D33)</f>
        <v>73000</v>
      </c>
    </row>
    <row r="36" customFormat="false" ht="15" hidden="false" customHeight="false" outlineLevel="0" collapsed="false">
      <c r="B36" s="9" t="s">
        <v>130</v>
      </c>
      <c r="C36" s="33" t="n">
        <f aca="false">Assumptions!$C$40/Assumptions!$C$7</f>
        <v>0.15</v>
      </c>
    </row>
    <row r="38" customFormat="false" ht="15" hidden="false" customHeight="false" outlineLevel="0" collapsed="false">
      <c r="B38" s="7" t="s">
        <v>131</v>
      </c>
      <c r="C38" s="8"/>
      <c r="D38" s="8"/>
    </row>
    <row r="39" customFormat="false" ht="15" hidden="false" customHeight="false" outlineLevel="0" collapsed="false">
      <c r="B39" s="9" t="s">
        <v>59</v>
      </c>
      <c r="C39" s="33" t="n">
        <f aca="false">Assumptions!$C$44</f>
        <v>0.03</v>
      </c>
    </row>
    <row r="40" customFormat="false" ht="15" hidden="false" customHeight="false" outlineLevel="0" collapsed="false">
      <c r="B40" s="9" t="s">
        <v>93</v>
      </c>
      <c r="C40" s="22" t="n">
        <f aca="false">Assumptions!$C$45</f>
        <v>0.35</v>
      </c>
    </row>
    <row r="41" customFormat="false" ht="15" hidden="false" customHeight="false" outlineLevel="0" collapsed="false">
      <c r="B41" s="9" t="s">
        <v>118</v>
      </c>
      <c r="C41" s="17" t="n">
        <f aca="false">$C$39*$C$40</f>
        <v>0.0105</v>
      </c>
    </row>
    <row r="43" customFormat="false" ht="15" hidden="false" customHeight="false" outlineLevel="0" collapsed="false">
      <c r="B43" s="7" t="s">
        <v>132</v>
      </c>
      <c r="C43" s="8"/>
      <c r="D43" s="8"/>
    </row>
    <row r="44" customFormat="false" ht="15" hidden="false" customHeight="false" outlineLevel="0" collapsed="false">
      <c r="B44" s="9" t="s">
        <v>133</v>
      </c>
      <c r="C44" s="16" t="n">
        <v>7</v>
      </c>
    </row>
    <row r="45" customFormat="false" ht="15" hidden="false" customHeight="false" outlineLevel="0" collapsed="false">
      <c r="B45" s="9" t="s">
        <v>134</v>
      </c>
      <c r="C45" s="35" t="n">
        <v>30</v>
      </c>
    </row>
    <row r="46" customFormat="false" ht="15" hidden="false" customHeight="false" outlineLevel="0" collapsed="false">
      <c r="B46" s="9" t="s">
        <v>135</v>
      </c>
      <c r="C46" s="16" t="n">
        <v>10</v>
      </c>
    </row>
    <row r="47" customFormat="false" ht="15" hidden="false" customHeight="false" outlineLevel="0" collapsed="false">
      <c r="B47" s="9" t="s">
        <v>136</v>
      </c>
      <c r="C47" s="35" t="n">
        <v>40</v>
      </c>
    </row>
    <row r="48" customFormat="false" ht="15" hidden="false" customHeight="false" outlineLevel="0" collapsed="false">
      <c r="B48" s="9" t="s">
        <v>137</v>
      </c>
      <c r="C48" s="35" t="n">
        <v>25</v>
      </c>
    </row>
    <row r="49" customFormat="false" ht="15" hidden="false" customHeight="false" outlineLevel="0" collapsed="false">
      <c r="B49" s="29" t="s">
        <v>138</v>
      </c>
      <c r="C49" s="36" t="n">
        <f aca="false">($C$47/$C$45)^(4/($C$46-$C$44))-1</f>
        <v>0.467523221730945</v>
      </c>
    </row>
    <row r="50" customFormat="false" ht="15" hidden="false" customHeight="false" outlineLevel="0" collapsed="false">
      <c r="B50" s="29" t="s">
        <v>139</v>
      </c>
      <c r="C50" s="36" t="n">
        <f aca="false">($C$48/$C$45)^(4/($C$46-$C$44))-1</f>
        <v>-0.215803309265809</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Y20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7" min="3" style="0" width="13"/>
    <col collapsed="false" customWidth="true" hidden="false" outlineLevel="0" max="8" min="8" style="0" width="12"/>
    <col collapsed="false" customWidth="true" hidden="false" outlineLevel="0" max="25" min="9" style="0" width="10.5"/>
  </cols>
  <sheetData>
    <row r="1" customFormat="false" ht="6" hidden="false" customHeight="true" outlineLevel="0" collapsed="false"/>
    <row r="2" customFormat="false" ht="17.35" hidden="false" customHeight="false" outlineLevel="0" collapsed="false">
      <c r="B2" s="5" t="s">
        <v>140</v>
      </c>
    </row>
    <row r="3" customFormat="false" ht="15" hidden="false" customHeight="false" outlineLevel="0" collapsed="false">
      <c r="B3" s="6" t="s">
        <v>141</v>
      </c>
    </row>
    <row r="5" customFormat="false" ht="15" hidden="false" customHeight="false" outlineLevel="0" collapsed="false">
      <c r="B5" s="9" t="s">
        <v>142</v>
      </c>
      <c r="C5" s="16" t="n">
        <v>6</v>
      </c>
    </row>
    <row r="6" customFormat="false" ht="15" hidden="false" customHeight="false" outlineLevel="0" collapsed="false">
      <c r="B6" s="9" t="s">
        <v>135</v>
      </c>
      <c r="C6" s="16" t="n">
        <v>10</v>
      </c>
    </row>
    <row r="8" customFormat="false" ht="15" hidden="false" customHeight="false" outlineLevel="0" collapsed="false">
      <c r="B8" s="13" t="s">
        <v>32</v>
      </c>
      <c r="C8" s="14" t="s">
        <v>143</v>
      </c>
    </row>
    <row r="9" customFormat="false" ht="15" hidden="false" customHeight="false" outlineLevel="0" collapsed="false">
      <c r="B9" s="9" t="s">
        <v>47</v>
      </c>
      <c r="C9" s="16" t="n">
        <v>6</v>
      </c>
    </row>
    <row r="10" customFormat="false" ht="15" hidden="false" customHeight="false" outlineLevel="0" collapsed="false">
      <c r="B10" s="9" t="s">
        <v>48</v>
      </c>
      <c r="C10" s="16" t="n">
        <v>5</v>
      </c>
    </row>
    <row r="11" customFormat="false" ht="15" hidden="false" customHeight="false" outlineLevel="0" collapsed="false">
      <c r="B11" s="9" t="s">
        <v>49</v>
      </c>
      <c r="C11" s="16" t="n">
        <v>4</v>
      </c>
    </row>
    <row r="12" customFormat="false" ht="15" hidden="false" customHeight="false" outlineLevel="0" collapsed="false">
      <c r="B12" s="9" t="s">
        <v>50</v>
      </c>
      <c r="C12" s="16" t="n">
        <v>3</v>
      </c>
    </row>
    <row r="13" customFormat="false" ht="15" hidden="false" customHeight="false" outlineLevel="0" collapsed="false">
      <c r="B13" s="9" t="s">
        <v>51</v>
      </c>
      <c r="C13" s="16" t="n">
        <v>2</v>
      </c>
    </row>
    <row r="14" customFormat="false" ht="15" hidden="false" customHeight="false" outlineLevel="0" collapsed="false">
      <c r="B14" s="9" t="s">
        <v>52</v>
      </c>
      <c r="C14" s="16" t="n">
        <v>1</v>
      </c>
    </row>
    <row r="16" customFormat="false" ht="15" hidden="false" customHeight="false" outlineLevel="0" collapsed="false">
      <c r="B16" s="7" t="s">
        <v>144</v>
      </c>
      <c r="C16" s="8"/>
      <c r="D16" s="8"/>
      <c r="E16" s="8"/>
      <c r="F16" s="8"/>
      <c r="G16" s="8"/>
    </row>
    <row r="17" customFormat="false" ht="15" hidden="false" customHeight="false" outlineLevel="0" collapsed="false">
      <c r="B17" s="7" t="s">
        <v>145</v>
      </c>
      <c r="C17" s="31" t="n">
        <v>0</v>
      </c>
      <c r="D17" s="31" t="n">
        <v>1</v>
      </c>
      <c r="E17" s="31" t="n">
        <v>2</v>
      </c>
      <c r="F17" s="31" t="n">
        <v>3</v>
      </c>
      <c r="G17" s="31" t="n">
        <v>4</v>
      </c>
    </row>
    <row r="18" customFormat="false" ht="15" hidden="false" customHeight="false" outlineLevel="0" collapsed="false">
      <c r="B18" s="12" t="n">
        <v>0.25</v>
      </c>
      <c r="C18" s="37" t="n">
        <f aca="false">$H$34</f>
        <v>0.0832358496413976</v>
      </c>
      <c r="D18" s="37" t="n">
        <f aca="false">$H$46</f>
        <v>0.0332428773936524</v>
      </c>
      <c r="E18" s="37" t="n">
        <f aca="false">$H$58</f>
        <v>-0.0227331144139129</v>
      </c>
      <c r="F18" s="37" t="n">
        <f aca="false">$H$70</f>
        <v>-0.0861030965550614</v>
      </c>
      <c r="G18" s="37" t="n">
        <f aca="false">$H$82</f>
        <v>-0.160856525122337</v>
      </c>
    </row>
    <row r="19" customFormat="false" ht="15" hidden="false" customHeight="false" outlineLevel="0" collapsed="false">
      <c r="B19" s="12" t="n">
        <v>0.4</v>
      </c>
      <c r="C19" s="37" t="n">
        <f aca="false">$H$94</f>
        <v>0.0832358496413976</v>
      </c>
      <c r="D19" s="37" t="n">
        <f aca="false">$H$106</f>
        <v>0.0421815773308225</v>
      </c>
      <c r="E19" s="37" t="n">
        <f aca="false">$H$118</f>
        <v>-0.00327681431979043</v>
      </c>
      <c r="F19" s="37" t="n">
        <f aca="false">$H$130</f>
        <v>-0.0537585023773277</v>
      </c>
      <c r="G19" s="37" t="n">
        <f aca="false">$H$142</f>
        <v>-0.111657902616308</v>
      </c>
    </row>
    <row r="20" customFormat="false" ht="15" hidden="false" customHeight="false" outlineLevel="0" collapsed="false">
      <c r="B20" s="12" t="n">
        <v>0.55</v>
      </c>
      <c r="C20" s="37" t="n">
        <f aca="false">$H$154</f>
        <v>0.0832358496413976</v>
      </c>
      <c r="D20" s="37" t="n">
        <f aca="false">$H$166</f>
        <v>0.0510343553507282</v>
      </c>
      <c r="E20" s="37" t="n">
        <f aca="false">$H$178</f>
        <v>0.0157481690831436</v>
      </c>
      <c r="F20" s="37" t="n">
        <f aca="false">$H$190</f>
        <v>-0.0226912277354683</v>
      </c>
      <c r="G20" s="37" t="n">
        <f aca="false">$H$202</f>
        <v>-0.0656770399067929</v>
      </c>
    </row>
    <row r="22" customFormat="false" ht="15" hidden="false" customHeight="false" outlineLevel="0" collapsed="false">
      <c r="B22" s="6" t="s">
        <v>146</v>
      </c>
    </row>
    <row r="24" customFormat="false" ht="15" hidden="false" customHeight="false" outlineLevel="0" collapsed="false">
      <c r="B24" s="7" t="s">
        <v>147</v>
      </c>
      <c r="C24" s="8"/>
      <c r="D24" s="8"/>
      <c r="E24" s="8"/>
      <c r="F24" s="8"/>
      <c r="G24" s="8"/>
      <c r="H24" s="8"/>
      <c r="I24" s="8"/>
      <c r="J24" s="8"/>
      <c r="K24" s="8"/>
      <c r="L24" s="8"/>
      <c r="M24" s="8"/>
      <c r="N24" s="8"/>
      <c r="O24" s="8"/>
      <c r="P24" s="8"/>
      <c r="Q24" s="8"/>
      <c r="R24" s="8"/>
      <c r="S24" s="8"/>
      <c r="T24" s="8"/>
      <c r="U24" s="8"/>
      <c r="V24" s="8"/>
      <c r="W24" s="8"/>
      <c r="X24" s="8"/>
      <c r="Y24" s="8"/>
    </row>
    <row r="25" customFormat="false" ht="15" hidden="false" customHeight="false" outlineLevel="0" collapsed="false">
      <c r="B25" s="9" t="s">
        <v>117</v>
      </c>
      <c r="C25" s="22" t="n">
        <f aca="false">$B$18</f>
        <v>0.25</v>
      </c>
    </row>
    <row r="26" customFormat="false" ht="15" hidden="false" customHeight="false" outlineLevel="0" collapsed="false">
      <c r="B26" s="9" t="s">
        <v>148</v>
      </c>
      <c r="C26" s="28" t="n">
        <f aca="false">C$17</f>
        <v>0</v>
      </c>
    </row>
    <row r="27" customFormat="false" ht="30" hidden="false" customHeight="true" outlineLevel="0" collapsed="false">
      <c r="B27" s="13" t="s">
        <v>32</v>
      </c>
      <c r="C27" s="14" t="s">
        <v>149</v>
      </c>
      <c r="D27" s="14" t="s">
        <v>46</v>
      </c>
      <c r="E27" s="14" t="s">
        <v>150</v>
      </c>
      <c r="F27" s="14" t="s">
        <v>151</v>
      </c>
      <c r="G27" s="14" t="s">
        <v>152</v>
      </c>
      <c r="H27" s="14" t="s">
        <v>153</v>
      </c>
      <c r="I27" s="38" t="n">
        <v>0</v>
      </c>
      <c r="J27" s="38" t="n">
        <v>1</v>
      </c>
      <c r="K27" s="38" t="n">
        <v>2</v>
      </c>
      <c r="L27" s="38" t="n">
        <v>3</v>
      </c>
      <c r="M27" s="38" t="n">
        <v>4</v>
      </c>
      <c r="N27" s="38" t="n">
        <v>5</v>
      </c>
      <c r="O27" s="38" t="n">
        <v>6</v>
      </c>
      <c r="P27" s="38" t="n">
        <v>7</v>
      </c>
      <c r="Q27" s="38" t="n">
        <v>8</v>
      </c>
      <c r="R27" s="38" t="n">
        <v>9</v>
      </c>
      <c r="S27" s="38" t="n">
        <v>10</v>
      </c>
      <c r="T27" s="38" t="n">
        <v>11</v>
      </c>
      <c r="U27" s="38" t="n">
        <v>12</v>
      </c>
      <c r="V27" s="38" t="n">
        <v>13</v>
      </c>
      <c r="W27" s="38" t="n">
        <v>14</v>
      </c>
      <c r="X27" s="38" t="n">
        <v>15</v>
      </c>
      <c r="Y27" s="38" t="n">
        <v>16</v>
      </c>
    </row>
    <row r="28" customFormat="false" ht="15" hidden="false" customHeight="false" outlineLevel="0" collapsed="false">
      <c r="B28" s="9" t="s">
        <v>47</v>
      </c>
      <c r="C28" s="28" t="n">
        <f aca="false">IF($C$9&lt;=$C$26,1,0)</f>
        <v>0</v>
      </c>
      <c r="D28" s="19" t="n">
        <f aca="false">Assumptions!$F$32</f>
        <v>12375</v>
      </c>
      <c r="E28" s="39" t="n">
        <f aca="false">PV($F28/2,(Assumptions!$C$30*4-12)/2,-Assumptions!$D$32*100/2,-100)</f>
        <v>99.5584003138178</v>
      </c>
      <c r="F28" s="17" t="n">
        <f aca="false">RATE(Assumptions!$C$30*2,Assumptions!$D$32*100/2,-Assumptions!$E$32,100)*2</f>
        <v>0.0699042470751673</v>
      </c>
      <c r="G28" s="26" t="n">
        <f aca="false">SUM(I28:Y28)</f>
        <v>2601.05003922723</v>
      </c>
      <c r="H28" s="17" t="n">
        <f aca="false">(1+IRR(I28:Y28,IF(SUM(I28:Y28)&lt;0,-0.05,0.01)))^4-1</f>
        <v>0.0711258980149541</v>
      </c>
      <c r="I28" s="40" t="n">
        <f aca="false">IF(I$27=0,-Assumptions!$C$29*Assumptions!$E$32/100,0)+IF(AND(I$27&gt;=2,MOD(I$27,2)=0,I$27&lt;=IF($C28=1,$C$5-2,12)),Assumptions!$C$29*Assumptions!$D$32/2,0)+IF($C28=1,IF(I$27=$C$6,Assumptions!$C$29*$C$25,0),IF(I$27=12,Assumptions!$C$29*$E28/100,0))</f>
        <v>-12375</v>
      </c>
      <c r="J28" s="40" t="n">
        <f aca="false">IF(J$27=0,-Assumptions!$C$29*Assumptions!$E$32/100,0)+IF(AND(J$27&gt;=2,MOD(J$27,2)=0,J$27&lt;=IF($C28=1,$C$5-2,12)),Assumptions!$C$29*Assumptions!$D$32/2,0)+IF($C28=1,IF(J$27=$C$6,Assumptions!$C$29*$C$25,0),IF(J$27=12,Assumptions!$C$29*$E28/100,0))</f>
        <v>0</v>
      </c>
      <c r="K28" s="40" t="n">
        <f aca="false">IF(K$27=0,-Assumptions!$C$29*Assumptions!$E$32/100,0)+IF(AND(K$27&gt;=2,MOD(K$27,2)=0,K$27&lt;=IF($C28=1,$C$5-2,12)),Assumptions!$C$29*Assumptions!$D$32/2,0)+IF($C28=1,IF(K$27=$C$6,Assumptions!$C$29*$C$25,0),IF(K$27=12,Assumptions!$C$29*$E28/100,0))</f>
        <v>421.875</v>
      </c>
      <c r="L28" s="40" t="n">
        <f aca="false">IF(L$27=0,-Assumptions!$C$29*Assumptions!$E$32/100,0)+IF(AND(L$27&gt;=2,MOD(L$27,2)=0,L$27&lt;=IF($C28=1,$C$5-2,12)),Assumptions!$C$29*Assumptions!$D$32/2,0)+IF($C28=1,IF(L$27=$C$6,Assumptions!$C$29*$C$25,0),IF(L$27=12,Assumptions!$C$29*$E28/100,0))</f>
        <v>0</v>
      </c>
      <c r="M28" s="40" t="n">
        <f aca="false">IF(M$27=0,-Assumptions!$C$29*Assumptions!$E$32/100,0)+IF(AND(M$27&gt;=2,MOD(M$27,2)=0,M$27&lt;=IF($C28=1,$C$5-2,12)),Assumptions!$C$29*Assumptions!$D$32/2,0)+IF($C28=1,IF(M$27=$C$6,Assumptions!$C$29*$C$25,0),IF(M$27=12,Assumptions!$C$29*$E28/100,0))</f>
        <v>421.875</v>
      </c>
      <c r="N28" s="40" t="n">
        <f aca="false">IF(N$27=0,-Assumptions!$C$29*Assumptions!$E$32/100,0)+IF(AND(N$27&gt;=2,MOD(N$27,2)=0,N$27&lt;=IF($C28=1,$C$5-2,12)),Assumptions!$C$29*Assumptions!$D$32/2,0)+IF($C28=1,IF(N$27=$C$6,Assumptions!$C$29*$C$25,0),IF(N$27=12,Assumptions!$C$29*$E28/100,0))</f>
        <v>0</v>
      </c>
      <c r="O28" s="40" t="n">
        <f aca="false">IF(O$27=0,-Assumptions!$C$29*Assumptions!$E$32/100,0)+IF(AND(O$27&gt;=2,MOD(O$27,2)=0,O$27&lt;=IF($C28=1,$C$5-2,12)),Assumptions!$C$29*Assumptions!$D$32/2,0)+IF($C28=1,IF(O$27=$C$6,Assumptions!$C$29*$C$25,0),IF(O$27=12,Assumptions!$C$29*$E28/100,0))</f>
        <v>421.875</v>
      </c>
      <c r="P28" s="40" t="n">
        <f aca="false">IF(P$27=0,-Assumptions!$C$29*Assumptions!$E$32/100,0)+IF(AND(P$27&gt;=2,MOD(P$27,2)=0,P$27&lt;=IF($C28=1,$C$5-2,12)),Assumptions!$C$29*Assumptions!$D$32/2,0)+IF($C28=1,IF(P$27=$C$6,Assumptions!$C$29*$C$25,0),IF(P$27=12,Assumptions!$C$29*$E28/100,0))</f>
        <v>0</v>
      </c>
      <c r="Q28" s="40" t="n">
        <f aca="false">IF(Q$27=0,-Assumptions!$C$29*Assumptions!$E$32/100,0)+IF(AND(Q$27&gt;=2,MOD(Q$27,2)=0,Q$27&lt;=IF($C28=1,$C$5-2,12)),Assumptions!$C$29*Assumptions!$D$32/2,0)+IF($C28=1,IF(Q$27=$C$6,Assumptions!$C$29*$C$25,0),IF(Q$27=12,Assumptions!$C$29*$E28/100,0))</f>
        <v>421.875</v>
      </c>
      <c r="R28" s="40" t="n">
        <f aca="false">IF(R$27=0,-Assumptions!$C$29*Assumptions!$E$32/100,0)+IF(AND(R$27&gt;=2,MOD(R$27,2)=0,R$27&lt;=IF($C28=1,$C$5-2,12)),Assumptions!$C$29*Assumptions!$D$32/2,0)+IF($C28=1,IF(R$27=$C$6,Assumptions!$C$29*$C$25,0),IF(R$27=12,Assumptions!$C$29*$E28/100,0))</f>
        <v>0</v>
      </c>
      <c r="S28" s="40" t="n">
        <f aca="false">IF(S$27=0,-Assumptions!$C$29*Assumptions!$E$32/100,0)+IF(AND(S$27&gt;=2,MOD(S$27,2)=0,S$27&lt;=IF($C28=1,$C$5-2,12)),Assumptions!$C$29*Assumptions!$D$32/2,0)+IF($C28=1,IF(S$27=$C$6,Assumptions!$C$29*$C$25,0),IF(S$27=12,Assumptions!$C$29*$E28/100,0))</f>
        <v>421.875</v>
      </c>
      <c r="T28" s="40" t="n">
        <f aca="false">IF(T$27=0,-Assumptions!$C$29*Assumptions!$E$32/100,0)+IF(AND(T$27&gt;=2,MOD(T$27,2)=0,T$27&lt;=IF($C28=1,$C$5-2,12)),Assumptions!$C$29*Assumptions!$D$32/2,0)+IF($C28=1,IF(T$27=$C$6,Assumptions!$C$29*$C$25,0),IF(T$27=12,Assumptions!$C$29*$E28/100,0))</f>
        <v>0</v>
      </c>
      <c r="U28" s="40" t="n">
        <f aca="false">IF(U$27=0,-Assumptions!$C$29*Assumptions!$E$32/100,0)+IF(AND(U$27&gt;=2,MOD(U$27,2)=0,U$27&lt;=IF($C28=1,$C$5-2,12)),Assumptions!$C$29*Assumptions!$D$32/2,0)+IF($C28=1,IF(U$27=$C$6,Assumptions!$C$29*$C$25,0),IF(U$27=12,Assumptions!$C$29*$E28/100,0))</f>
        <v>12866.6750392272</v>
      </c>
      <c r="V28" s="40" t="n">
        <f aca="false">IF(V$27=0,-Assumptions!$C$29*Assumptions!$E$32/100,0)+IF(AND(V$27&gt;=2,MOD(V$27,2)=0,V$27&lt;=IF($C28=1,$C$5-2,12)),Assumptions!$C$29*Assumptions!$D$32/2,0)+IF($C28=1,IF(V$27=$C$6,Assumptions!$C$29*$C$25,0),IF(V$27=12,Assumptions!$C$29*$E28/100,0))</f>
        <v>0</v>
      </c>
      <c r="W28" s="40" t="n">
        <f aca="false">IF(W$27=0,-Assumptions!$C$29*Assumptions!$E$32/100,0)+IF(AND(W$27&gt;=2,MOD(W$27,2)=0,W$27&lt;=IF($C28=1,$C$5-2,12)),Assumptions!$C$29*Assumptions!$D$32/2,0)+IF($C28=1,IF(W$27=$C$6,Assumptions!$C$29*$C$25,0),IF(W$27=12,Assumptions!$C$29*$E28/100,0))</f>
        <v>0</v>
      </c>
      <c r="X28" s="40" t="n">
        <f aca="false">IF(X$27=0,-Assumptions!$C$29*Assumptions!$E$32/100,0)+IF(AND(X$27&gt;=2,MOD(X$27,2)=0,X$27&lt;=IF($C28=1,$C$5-2,12)),Assumptions!$C$29*Assumptions!$D$32/2,0)+IF($C28=1,IF(X$27=$C$6,Assumptions!$C$29*$C$25,0),IF(X$27=12,Assumptions!$C$29*$E28/100,0))</f>
        <v>0</v>
      </c>
      <c r="Y28" s="40" t="n">
        <f aca="false">IF(Y$27=0,-Assumptions!$C$29*Assumptions!$E$32/100,0)+IF(AND(Y$27&gt;=2,MOD(Y$27,2)=0,Y$27&lt;=IF($C28=1,$C$5-2,12)),Assumptions!$C$29*Assumptions!$D$32/2,0)+IF($C28=1,IF(Y$27=$C$6,Assumptions!$C$29*$C$25,0),IF(Y$27=12,Assumptions!$C$29*$E28/100,0))</f>
        <v>0</v>
      </c>
    </row>
    <row r="29" customFormat="false" ht="15" hidden="false" customHeight="false" outlineLevel="0" collapsed="false">
      <c r="B29" s="9" t="s">
        <v>48</v>
      </c>
      <c r="C29" s="28" t="n">
        <f aca="false">IF($C$10&lt;=$C$26,1,0)</f>
        <v>0</v>
      </c>
      <c r="D29" s="19" t="n">
        <f aca="false">Assumptions!$F$33</f>
        <v>12312.5</v>
      </c>
      <c r="E29" s="39" t="n">
        <f aca="false">PV($F29/2,(Assumptions!$C$30*4-12)/2,-Assumptions!$D$33*100/2,-100)</f>
        <v>99.3343027458663</v>
      </c>
      <c r="F29" s="17" t="n">
        <f aca="false">RATE(Assumptions!$C$30*2,Assumptions!$D$33*100/2,-Assumptions!$E$33,100)*2</f>
        <v>0.0736404123832243</v>
      </c>
      <c r="G29" s="26" t="n">
        <f aca="false">SUM(I29:Y29)</f>
        <v>2729.28784323328</v>
      </c>
      <c r="H29" s="17" t="n">
        <f aca="false">(1+IRR(I29:Y29,IF(SUM(I29:Y29)&lt;0,-0.05,0.01)))^4-1</f>
        <v>0.0749961399672177</v>
      </c>
      <c r="I29" s="40" t="n">
        <f aca="false">IF(I$27=0,-Assumptions!$C$29*Assumptions!$E$33/100,0)+IF(AND(I$27&gt;=2,MOD(I$27,2)=0,I$27&lt;=IF($C29=1,$C$5-2,12)),Assumptions!$C$29*Assumptions!$D$33/2,0)+IF($C29=1,IF(I$27=$C$6,Assumptions!$C$29*$C$25,0),IF(I$27=12,Assumptions!$C$29*$E29/100,0))</f>
        <v>-12312.5</v>
      </c>
      <c r="J29" s="40" t="n">
        <f aca="false">IF(J$27=0,-Assumptions!$C$29*Assumptions!$E$33/100,0)+IF(AND(J$27&gt;=2,MOD(J$27,2)=0,J$27&lt;=IF($C29=1,$C$5-2,12)),Assumptions!$C$29*Assumptions!$D$33/2,0)+IF($C29=1,IF(J$27=$C$6,Assumptions!$C$29*$C$25,0),IF(J$27=12,Assumptions!$C$29*$E29/100,0))</f>
        <v>0</v>
      </c>
      <c r="K29" s="40" t="n">
        <f aca="false">IF(K$27=0,-Assumptions!$C$29*Assumptions!$E$33/100,0)+IF(AND(K$27&gt;=2,MOD(K$27,2)=0,K$27&lt;=IF($C29=1,$C$5-2,12)),Assumptions!$C$29*Assumptions!$D$33/2,0)+IF($C29=1,IF(K$27=$C$6,Assumptions!$C$29*$C$25,0),IF(K$27=12,Assumptions!$C$29*$E29/100,0))</f>
        <v>437.5</v>
      </c>
      <c r="L29" s="40" t="n">
        <f aca="false">IF(L$27=0,-Assumptions!$C$29*Assumptions!$E$33/100,0)+IF(AND(L$27&gt;=2,MOD(L$27,2)=0,L$27&lt;=IF($C29=1,$C$5-2,12)),Assumptions!$C$29*Assumptions!$D$33/2,0)+IF($C29=1,IF(L$27=$C$6,Assumptions!$C$29*$C$25,0),IF(L$27=12,Assumptions!$C$29*$E29/100,0))</f>
        <v>0</v>
      </c>
      <c r="M29" s="40" t="n">
        <f aca="false">IF(M$27=0,-Assumptions!$C$29*Assumptions!$E$33/100,0)+IF(AND(M$27&gt;=2,MOD(M$27,2)=0,M$27&lt;=IF($C29=1,$C$5-2,12)),Assumptions!$C$29*Assumptions!$D$33/2,0)+IF($C29=1,IF(M$27=$C$6,Assumptions!$C$29*$C$25,0),IF(M$27=12,Assumptions!$C$29*$E29/100,0))</f>
        <v>437.5</v>
      </c>
      <c r="N29" s="40" t="n">
        <f aca="false">IF(N$27=0,-Assumptions!$C$29*Assumptions!$E$33/100,0)+IF(AND(N$27&gt;=2,MOD(N$27,2)=0,N$27&lt;=IF($C29=1,$C$5-2,12)),Assumptions!$C$29*Assumptions!$D$33/2,0)+IF($C29=1,IF(N$27=$C$6,Assumptions!$C$29*$C$25,0),IF(N$27=12,Assumptions!$C$29*$E29/100,0))</f>
        <v>0</v>
      </c>
      <c r="O29" s="40" t="n">
        <f aca="false">IF(O$27=0,-Assumptions!$C$29*Assumptions!$E$33/100,0)+IF(AND(O$27&gt;=2,MOD(O$27,2)=0,O$27&lt;=IF($C29=1,$C$5-2,12)),Assumptions!$C$29*Assumptions!$D$33/2,0)+IF($C29=1,IF(O$27=$C$6,Assumptions!$C$29*$C$25,0),IF(O$27=12,Assumptions!$C$29*$E29/100,0))</f>
        <v>437.5</v>
      </c>
      <c r="P29" s="40" t="n">
        <f aca="false">IF(P$27=0,-Assumptions!$C$29*Assumptions!$E$33/100,0)+IF(AND(P$27&gt;=2,MOD(P$27,2)=0,P$27&lt;=IF($C29=1,$C$5-2,12)),Assumptions!$C$29*Assumptions!$D$33/2,0)+IF($C29=1,IF(P$27=$C$6,Assumptions!$C$29*$C$25,0),IF(P$27=12,Assumptions!$C$29*$E29/100,0))</f>
        <v>0</v>
      </c>
      <c r="Q29" s="40" t="n">
        <f aca="false">IF(Q$27=0,-Assumptions!$C$29*Assumptions!$E$33/100,0)+IF(AND(Q$27&gt;=2,MOD(Q$27,2)=0,Q$27&lt;=IF($C29=1,$C$5-2,12)),Assumptions!$C$29*Assumptions!$D$33/2,0)+IF($C29=1,IF(Q$27=$C$6,Assumptions!$C$29*$C$25,0),IF(Q$27=12,Assumptions!$C$29*$E29/100,0))</f>
        <v>437.5</v>
      </c>
      <c r="R29" s="40" t="n">
        <f aca="false">IF(R$27=0,-Assumptions!$C$29*Assumptions!$E$33/100,0)+IF(AND(R$27&gt;=2,MOD(R$27,2)=0,R$27&lt;=IF($C29=1,$C$5-2,12)),Assumptions!$C$29*Assumptions!$D$33/2,0)+IF($C29=1,IF(R$27=$C$6,Assumptions!$C$29*$C$25,0),IF(R$27=12,Assumptions!$C$29*$E29/100,0))</f>
        <v>0</v>
      </c>
      <c r="S29" s="40" t="n">
        <f aca="false">IF(S$27=0,-Assumptions!$C$29*Assumptions!$E$33/100,0)+IF(AND(S$27&gt;=2,MOD(S$27,2)=0,S$27&lt;=IF($C29=1,$C$5-2,12)),Assumptions!$C$29*Assumptions!$D$33/2,0)+IF($C29=1,IF(S$27=$C$6,Assumptions!$C$29*$C$25,0),IF(S$27=12,Assumptions!$C$29*$E29/100,0))</f>
        <v>437.5</v>
      </c>
      <c r="T29" s="40" t="n">
        <f aca="false">IF(T$27=0,-Assumptions!$C$29*Assumptions!$E$33/100,0)+IF(AND(T$27&gt;=2,MOD(T$27,2)=0,T$27&lt;=IF($C29=1,$C$5-2,12)),Assumptions!$C$29*Assumptions!$D$33/2,0)+IF($C29=1,IF(T$27=$C$6,Assumptions!$C$29*$C$25,0),IF(T$27=12,Assumptions!$C$29*$E29/100,0))</f>
        <v>0</v>
      </c>
      <c r="U29" s="40" t="n">
        <f aca="false">IF(U$27=0,-Assumptions!$C$29*Assumptions!$E$33/100,0)+IF(AND(U$27&gt;=2,MOD(U$27,2)=0,U$27&lt;=IF($C29=1,$C$5-2,12)),Assumptions!$C$29*Assumptions!$D$33/2,0)+IF($C29=1,IF(U$27=$C$6,Assumptions!$C$29*$C$25,0),IF(U$27=12,Assumptions!$C$29*$E29/100,0))</f>
        <v>12854.2878432333</v>
      </c>
      <c r="V29" s="40" t="n">
        <f aca="false">IF(V$27=0,-Assumptions!$C$29*Assumptions!$E$33/100,0)+IF(AND(V$27&gt;=2,MOD(V$27,2)=0,V$27&lt;=IF($C29=1,$C$5-2,12)),Assumptions!$C$29*Assumptions!$D$33/2,0)+IF($C29=1,IF(V$27=$C$6,Assumptions!$C$29*$C$25,0),IF(V$27=12,Assumptions!$C$29*$E29/100,0))</f>
        <v>0</v>
      </c>
      <c r="W29" s="40" t="n">
        <f aca="false">IF(W$27=0,-Assumptions!$C$29*Assumptions!$E$33/100,0)+IF(AND(W$27&gt;=2,MOD(W$27,2)=0,W$27&lt;=IF($C29=1,$C$5-2,12)),Assumptions!$C$29*Assumptions!$D$33/2,0)+IF($C29=1,IF(W$27=$C$6,Assumptions!$C$29*$C$25,0),IF(W$27=12,Assumptions!$C$29*$E29/100,0))</f>
        <v>0</v>
      </c>
      <c r="X29" s="40" t="n">
        <f aca="false">IF(X$27=0,-Assumptions!$C$29*Assumptions!$E$33/100,0)+IF(AND(X$27&gt;=2,MOD(X$27,2)=0,X$27&lt;=IF($C29=1,$C$5-2,12)),Assumptions!$C$29*Assumptions!$D$33/2,0)+IF($C29=1,IF(X$27=$C$6,Assumptions!$C$29*$C$25,0),IF(X$27=12,Assumptions!$C$29*$E29/100,0))</f>
        <v>0</v>
      </c>
      <c r="Y29" s="40" t="n">
        <f aca="false">IF(Y$27=0,-Assumptions!$C$29*Assumptions!$E$33/100,0)+IF(AND(Y$27&gt;=2,MOD(Y$27,2)=0,Y$27&lt;=IF($C29=1,$C$5-2,12)),Assumptions!$C$29*Assumptions!$D$33/2,0)+IF($C29=1,IF(Y$27=$C$6,Assumptions!$C$29*$C$25,0),IF(Y$27=12,Assumptions!$C$29*$E29/100,0))</f>
        <v>0</v>
      </c>
    </row>
    <row r="30" customFormat="false" ht="15" hidden="false" customHeight="false" outlineLevel="0" collapsed="false">
      <c r="B30" s="9" t="s">
        <v>49</v>
      </c>
      <c r="C30" s="28" t="n">
        <f aca="false">IF($C$11&lt;=$C$26,1,0)</f>
        <v>0</v>
      </c>
      <c r="D30" s="19" t="n">
        <f aca="false">Assumptions!$F$34</f>
        <v>12250</v>
      </c>
      <c r="E30" s="39" t="n">
        <f aca="false">PV($F30/2,(Assumptions!$C$30*4-12)/2,-Assumptions!$D$34*100/2,-100)</f>
        <v>99.1079856396595</v>
      </c>
      <c r="F30" s="17" t="n">
        <f aca="false">RATE(Assumptions!$C$30*2,Assumptions!$D$34*100/2,-Assumptions!$E$34,100)*2</f>
        <v>0.0773997713205988</v>
      </c>
      <c r="G30" s="26" t="n">
        <f aca="false">SUM(I30:Y30)</f>
        <v>2857.24820495744</v>
      </c>
      <c r="H30" s="17" t="n">
        <f aca="false">(1+IRR(I30:Y30,IF(SUM(I30:Y30)&lt;0,-0.05,0.01)))^4-1</f>
        <v>0.0788974524707193</v>
      </c>
      <c r="I30" s="40" t="n">
        <f aca="false">IF(I$27=0,-Assumptions!$C$29*Assumptions!$E$34/100,0)+IF(AND(I$27&gt;=2,MOD(I$27,2)=0,I$27&lt;=IF($C30=1,$C$5-2,12)),Assumptions!$C$29*Assumptions!$D$34/2,0)+IF($C30=1,IF(I$27=$C$6,Assumptions!$C$29*$C$25,0),IF(I$27=12,Assumptions!$C$29*$E30/100,0))</f>
        <v>-12250</v>
      </c>
      <c r="J30" s="40" t="n">
        <f aca="false">IF(J$27=0,-Assumptions!$C$29*Assumptions!$E$34/100,0)+IF(AND(J$27&gt;=2,MOD(J$27,2)=0,J$27&lt;=IF($C30=1,$C$5-2,12)),Assumptions!$C$29*Assumptions!$D$34/2,0)+IF($C30=1,IF(J$27=$C$6,Assumptions!$C$29*$C$25,0),IF(J$27=12,Assumptions!$C$29*$E30/100,0))</f>
        <v>0</v>
      </c>
      <c r="K30" s="40" t="n">
        <f aca="false">IF(K$27=0,-Assumptions!$C$29*Assumptions!$E$34/100,0)+IF(AND(K$27&gt;=2,MOD(K$27,2)=0,K$27&lt;=IF($C30=1,$C$5-2,12)),Assumptions!$C$29*Assumptions!$D$34/2,0)+IF($C30=1,IF(K$27=$C$6,Assumptions!$C$29*$C$25,0),IF(K$27=12,Assumptions!$C$29*$E30/100,0))</f>
        <v>453.125</v>
      </c>
      <c r="L30" s="40" t="n">
        <f aca="false">IF(L$27=0,-Assumptions!$C$29*Assumptions!$E$34/100,0)+IF(AND(L$27&gt;=2,MOD(L$27,2)=0,L$27&lt;=IF($C30=1,$C$5-2,12)),Assumptions!$C$29*Assumptions!$D$34/2,0)+IF($C30=1,IF(L$27=$C$6,Assumptions!$C$29*$C$25,0),IF(L$27=12,Assumptions!$C$29*$E30/100,0))</f>
        <v>0</v>
      </c>
      <c r="M30" s="40" t="n">
        <f aca="false">IF(M$27=0,-Assumptions!$C$29*Assumptions!$E$34/100,0)+IF(AND(M$27&gt;=2,MOD(M$27,2)=0,M$27&lt;=IF($C30=1,$C$5-2,12)),Assumptions!$C$29*Assumptions!$D$34/2,0)+IF($C30=1,IF(M$27=$C$6,Assumptions!$C$29*$C$25,0),IF(M$27=12,Assumptions!$C$29*$E30/100,0))</f>
        <v>453.125</v>
      </c>
      <c r="N30" s="40" t="n">
        <f aca="false">IF(N$27=0,-Assumptions!$C$29*Assumptions!$E$34/100,0)+IF(AND(N$27&gt;=2,MOD(N$27,2)=0,N$27&lt;=IF($C30=1,$C$5-2,12)),Assumptions!$C$29*Assumptions!$D$34/2,0)+IF($C30=1,IF(N$27=$C$6,Assumptions!$C$29*$C$25,0),IF(N$27=12,Assumptions!$C$29*$E30/100,0))</f>
        <v>0</v>
      </c>
      <c r="O30" s="40" t="n">
        <f aca="false">IF(O$27=0,-Assumptions!$C$29*Assumptions!$E$34/100,0)+IF(AND(O$27&gt;=2,MOD(O$27,2)=0,O$27&lt;=IF($C30=1,$C$5-2,12)),Assumptions!$C$29*Assumptions!$D$34/2,0)+IF($C30=1,IF(O$27=$C$6,Assumptions!$C$29*$C$25,0),IF(O$27=12,Assumptions!$C$29*$E30/100,0))</f>
        <v>453.125</v>
      </c>
      <c r="P30" s="40" t="n">
        <f aca="false">IF(P$27=0,-Assumptions!$C$29*Assumptions!$E$34/100,0)+IF(AND(P$27&gt;=2,MOD(P$27,2)=0,P$27&lt;=IF($C30=1,$C$5-2,12)),Assumptions!$C$29*Assumptions!$D$34/2,0)+IF($C30=1,IF(P$27=$C$6,Assumptions!$C$29*$C$25,0),IF(P$27=12,Assumptions!$C$29*$E30/100,0))</f>
        <v>0</v>
      </c>
      <c r="Q30" s="40" t="n">
        <f aca="false">IF(Q$27=0,-Assumptions!$C$29*Assumptions!$E$34/100,0)+IF(AND(Q$27&gt;=2,MOD(Q$27,2)=0,Q$27&lt;=IF($C30=1,$C$5-2,12)),Assumptions!$C$29*Assumptions!$D$34/2,0)+IF($C30=1,IF(Q$27=$C$6,Assumptions!$C$29*$C$25,0),IF(Q$27=12,Assumptions!$C$29*$E30/100,0))</f>
        <v>453.125</v>
      </c>
      <c r="R30" s="40" t="n">
        <f aca="false">IF(R$27=0,-Assumptions!$C$29*Assumptions!$E$34/100,0)+IF(AND(R$27&gt;=2,MOD(R$27,2)=0,R$27&lt;=IF($C30=1,$C$5-2,12)),Assumptions!$C$29*Assumptions!$D$34/2,0)+IF($C30=1,IF(R$27=$C$6,Assumptions!$C$29*$C$25,0),IF(R$27=12,Assumptions!$C$29*$E30/100,0))</f>
        <v>0</v>
      </c>
      <c r="S30" s="40" t="n">
        <f aca="false">IF(S$27=0,-Assumptions!$C$29*Assumptions!$E$34/100,0)+IF(AND(S$27&gt;=2,MOD(S$27,2)=0,S$27&lt;=IF($C30=1,$C$5-2,12)),Assumptions!$C$29*Assumptions!$D$34/2,0)+IF($C30=1,IF(S$27=$C$6,Assumptions!$C$29*$C$25,0),IF(S$27=12,Assumptions!$C$29*$E30/100,0))</f>
        <v>453.125</v>
      </c>
      <c r="T30" s="40" t="n">
        <f aca="false">IF(T$27=0,-Assumptions!$C$29*Assumptions!$E$34/100,0)+IF(AND(T$27&gt;=2,MOD(T$27,2)=0,T$27&lt;=IF($C30=1,$C$5-2,12)),Assumptions!$C$29*Assumptions!$D$34/2,0)+IF($C30=1,IF(T$27=$C$6,Assumptions!$C$29*$C$25,0),IF(T$27=12,Assumptions!$C$29*$E30/100,0))</f>
        <v>0</v>
      </c>
      <c r="U30" s="40" t="n">
        <f aca="false">IF(U$27=0,-Assumptions!$C$29*Assumptions!$E$34/100,0)+IF(AND(U$27&gt;=2,MOD(U$27,2)=0,U$27&lt;=IF($C30=1,$C$5-2,12)),Assumptions!$C$29*Assumptions!$D$34/2,0)+IF($C30=1,IF(U$27=$C$6,Assumptions!$C$29*$C$25,0),IF(U$27=12,Assumptions!$C$29*$E30/100,0))</f>
        <v>12841.6232049574</v>
      </c>
      <c r="V30" s="40" t="n">
        <f aca="false">IF(V$27=0,-Assumptions!$C$29*Assumptions!$E$34/100,0)+IF(AND(V$27&gt;=2,MOD(V$27,2)=0,V$27&lt;=IF($C30=1,$C$5-2,12)),Assumptions!$C$29*Assumptions!$D$34/2,0)+IF($C30=1,IF(V$27=$C$6,Assumptions!$C$29*$C$25,0),IF(V$27=12,Assumptions!$C$29*$E30/100,0))</f>
        <v>0</v>
      </c>
      <c r="W30" s="40" t="n">
        <f aca="false">IF(W$27=0,-Assumptions!$C$29*Assumptions!$E$34/100,0)+IF(AND(W$27&gt;=2,MOD(W$27,2)=0,W$27&lt;=IF($C30=1,$C$5-2,12)),Assumptions!$C$29*Assumptions!$D$34/2,0)+IF($C30=1,IF(W$27=$C$6,Assumptions!$C$29*$C$25,0),IF(W$27=12,Assumptions!$C$29*$E30/100,0))</f>
        <v>0</v>
      </c>
      <c r="X30" s="40" t="n">
        <f aca="false">IF(X$27=0,-Assumptions!$C$29*Assumptions!$E$34/100,0)+IF(AND(X$27&gt;=2,MOD(X$27,2)=0,X$27&lt;=IF($C30=1,$C$5-2,12)),Assumptions!$C$29*Assumptions!$D$34/2,0)+IF($C30=1,IF(X$27=$C$6,Assumptions!$C$29*$C$25,0),IF(X$27=12,Assumptions!$C$29*$E30/100,0))</f>
        <v>0</v>
      </c>
      <c r="Y30" s="40" t="n">
        <f aca="false">IF(Y$27=0,-Assumptions!$C$29*Assumptions!$E$34/100,0)+IF(AND(Y$27&gt;=2,MOD(Y$27,2)=0,Y$27&lt;=IF($C30=1,$C$5-2,12)),Assumptions!$C$29*Assumptions!$D$34/2,0)+IF($C30=1,IF(Y$27=$C$6,Assumptions!$C$29*$C$25,0),IF(Y$27=12,Assumptions!$C$29*$E30/100,0))</f>
        <v>0</v>
      </c>
    </row>
    <row r="31" customFormat="false" ht="15" hidden="false" customHeight="false" outlineLevel="0" collapsed="false">
      <c r="B31" s="9" t="s">
        <v>50</v>
      </c>
      <c r="C31" s="28" t="n">
        <f aca="false">IF($C$12&lt;=$C$26,1,0)</f>
        <v>0</v>
      </c>
      <c r="D31" s="19" t="n">
        <f aca="false">Assumptions!$F$35</f>
        <v>12187.5</v>
      </c>
      <c r="E31" s="39" t="n">
        <f aca="false">PV($F31/2,(Assumptions!$C$30*4-12)/2,-Assumptions!$D$35*100/2,-100)</f>
        <v>98.8794329841845</v>
      </c>
      <c r="F31" s="17" t="n">
        <f aca="false">RATE(Assumptions!$C$30*2,Assumptions!$D$35*100/2,-Assumptions!$E$35,100)*2</f>
        <v>0.0811827080590467</v>
      </c>
      <c r="G31" s="26" t="n">
        <f aca="false">SUM(I31:Y31)</f>
        <v>2984.92912302306</v>
      </c>
      <c r="H31" s="17" t="n">
        <f aca="false">(1+IRR(I31:Y31,IF(SUM(I31:Y31)&lt;0,-0.05,0.01)))^4-1</f>
        <v>0.0828303660809961</v>
      </c>
      <c r="I31" s="40" t="n">
        <f aca="false">IF(I$27=0,-Assumptions!$C$29*Assumptions!$E$35/100,0)+IF(AND(I$27&gt;=2,MOD(I$27,2)=0,I$27&lt;=IF($C31=1,$C$5-2,12)),Assumptions!$C$29*Assumptions!$D$35/2,0)+IF($C31=1,IF(I$27=$C$6,Assumptions!$C$29*$C$25,0),IF(I$27=12,Assumptions!$C$29*$E31/100,0))</f>
        <v>-12187.5</v>
      </c>
      <c r="J31" s="40" t="n">
        <f aca="false">IF(J$27=0,-Assumptions!$C$29*Assumptions!$E$35/100,0)+IF(AND(J$27&gt;=2,MOD(J$27,2)=0,J$27&lt;=IF($C31=1,$C$5-2,12)),Assumptions!$C$29*Assumptions!$D$35/2,0)+IF($C31=1,IF(J$27=$C$6,Assumptions!$C$29*$C$25,0),IF(J$27=12,Assumptions!$C$29*$E31/100,0))</f>
        <v>0</v>
      </c>
      <c r="K31" s="40" t="n">
        <f aca="false">IF(K$27=0,-Assumptions!$C$29*Assumptions!$E$35/100,0)+IF(AND(K$27&gt;=2,MOD(K$27,2)=0,K$27&lt;=IF($C31=1,$C$5-2,12)),Assumptions!$C$29*Assumptions!$D$35/2,0)+IF($C31=1,IF(K$27=$C$6,Assumptions!$C$29*$C$25,0),IF(K$27=12,Assumptions!$C$29*$E31/100,0))</f>
        <v>468.75</v>
      </c>
      <c r="L31" s="40" t="n">
        <f aca="false">IF(L$27=0,-Assumptions!$C$29*Assumptions!$E$35/100,0)+IF(AND(L$27&gt;=2,MOD(L$27,2)=0,L$27&lt;=IF($C31=1,$C$5-2,12)),Assumptions!$C$29*Assumptions!$D$35/2,0)+IF($C31=1,IF(L$27=$C$6,Assumptions!$C$29*$C$25,0),IF(L$27=12,Assumptions!$C$29*$E31/100,0))</f>
        <v>0</v>
      </c>
      <c r="M31" s="40" t="n">
        <f aca="false">IF(M$27=0,-Assumptions!$C$29*Assumptions!$E$35/100,0)+IF(AND(M$27&gt;=2,MOD(M$27,2)=0,M$27&lt;=IF($C31=1,$C$5-2,12)),Assumptions!$C$29*Assumptions!$D$35/2,0)+IF($C31=1,IF(M$27=$C$6,Assumptions!$C$29*$C$25,0),IF(M$27=12,Assumptions!$C$29*$E31/100,0))</f>
        <v>468.75</v>
      </c>
      <c r="N31" s="40" t="n">
        <f aca="false">IF(N$27=0,-Assumptions!$C$29*Assumptions!$E$35/100,0)+IF(AND(N$27&gt;=2,MOD(N$27,2)=0,N$27&lt;=IF($C31=1,$C$5-2,12)),Assumptions!$C$29*Assumptions!$D$35/2,0)+IF($C31=1,IF(N$27=$C$6,Assumptions!$C$29*$C$25,0),IF(N$27=12,Assumptions!$C$29*$E31/100,0))</f>
        <v>0</v>
      </c>
      <c r="O31" s="40" t="n">
        <f aca="false">IF(O$27=0,-Assumptions!$C$29*Assumptions!$E$35/100,0)+IF(AND(O$27&gt;=2,MOD(O$27,2)=0,O$27&lt;=IF($C31=1,$C$5-2,12)),Assumptions!$C$29*Assumptions!$D$35/2,0)+IF($C31=1,IF(O$27=$C$6,Assumptions!$C$29*$C$25,0),IF(O$27=12,Assumptions!$C$29*$E31/100,0))</f>
        <v>468.75</v>
      </c>
      <c r="P31" s="40" t="n">
        <f aca="false">IF(P$27=0,-Assumptions!$C$29*Assumptions!$E$35/100,0)+IF(AND(P$27&gt;=2,MOD(P$27,2)=0,P$27&lt;=IF($C31=1,$C$5-2,12)),Assumptions!$C$29*Assumptions!$D$35/2,0)+IF($C31=1,IF(P$27=$C$6,Assumptions!$C$29*$C$25,0),IF(P$27=12,Assumptions!$C$29*$E31/100,0))</f>
        <v>0</v>
      </c>
      <c r="Q31" s="40" t="n">
        <f aca="false">IF(Q$27=0,-Assumptions!$C$29*Assumptions!$E$35/100,0)+IF(AND(Q$27&gt;=2,MOD(Q$27,2)=0,Q$27&lt;=IF($C31=1,$C$5-2,12)),Assumptions!$C$29*Assumptions!$D$35/2,0)+IF($C31=1,IF(Q$27=$C$6,Assumptions!$C$29*$C$25,0),IF(Q$27=12,Assumptions!$C$29*$E31/100,0))</f>
        <v>468.75</v>
      </c>
      <c r="R31" s="40" t="n">
        <f aca="false">IF(R$27=0,-Assumptions!$C$29*Assumptions!$E$35/100,0)+IF(AND(R$27&gt;=2,MOD(R$27,2)=0,R$27&lt;=IF($C31=1,$C$5-2,12)),Assumptions!$C$29*Assumptions!$D$35/2,0)+IF($C31=1,IF(R$27=$C$6,Assumptions!$C$29*$C$25,0),IF(R$27=12,Assumptions!$C$29*$E31/100,0))</f>
        <v>0</v>
      </c>
      <c r="S31" s="40" t="n">
        <f aca="false">IF(S$27=0,-Assumptions!$C$29*Assumptions!$E$35/100,0)+IF(AND(S$27&gt;=2,MOD(S$27,2)=0,S$27&lt;=IF($C31=1,$C$5-2,12)),Assumptions!$C$29*Assumptions!$D$35/2,0)+IF($C31=1,IF(S$27=$C$6,Assumptions!$C$29*$C$25,0),IF(S$27=12,Assumptions!$C$29*$E31/100,0))</f>
        <v>468.75</v>
      </c>
      <c r="T31" s="40" t="n">
        <f aca="false">IF(T$27=0,-Assumptions!$C$29*Assumptions!$E$35/100,0)+IF(AND(T$27&gt;=2,MOD(T$27,2)=0,T$27&lt;=IF($C31=1,$C$5-2,12)),Assumptions!$C$29*Assumptions!$D$35/2,0)+IF($C31=1,IF(T$27=$C$6,Assumptions!$C$29*$C$25,0),IF(T$27=12,Assumptions!$C$29*$E31/100,0))</f>
        <v>0</v>
      </c>
      <c r="U31" s="40" t="n">
        <f aca="false">IF(U$27=0,-Assumptions!$C$29*Assumptions!$E$35/100,0)+IF(AND(U$27&gt;=2,MOD(U$27,2)=0,U$27&lt;=IF($C31=1,$C$5-2,12)),Assumptions!$C$29*Assumptions!$D$35/2,0)+IF($C31=1,IF(U$27=$C$6,Assumptions!$C$29*$C$25,0),IF(U$27=12,Assumptions!$C$29*$E31/100,0))</f>
        <v>12828.6791230231</v>
      </c>
      <c r="V31" s="40" t="n">
        <f aca="false">IF(V$27=0,-Assumptions!$C$29*Assumptions!$E$35/100,0)+IF(AND(V$27&gt;=2,MOD(V$27,2)=0,V$27&lt;=IF($C31=1,$C$5-2,12)),Assumptions!$C$29*Assumptions!$D$35/2,0)+IF($C31=1,IF(V$27=$C$6,Assumptions!$C$29*$C$25,0),IF(V$27=12,Assumptions!$C$29*$E31/100,0))</f>
        <v>0</v>
      </c>
      <c r="W31" s="40" t="n">
        <f aca="false">IF(W$27=0,-Assumptions!$C$29*Assumptions!$E$35/100,0)+IF(AND(W$27&gt;=2,MOD(W$27,2)=0,W$27&lt;=IF($C31=1,$C$5-2,12)),Assumptions!$C$29*Assumptions!$D$35/2,0)+IF($C31=1,IF(W$27=$C$6,Assumptions!$C$29*$C$25,0),IF(W$27=12,Assumptions!$C$29*$E31/100,0))</f>
        <v>0</v>
      </c>
      <c r="X31" s="40" t="n">
        <f aca="false">IF(X$27=0,-Assumptions!$C$29*Assumptions!$E$35/100,0)+IF(AND(X$27&gt;=2,MOD(X$27,2)=0,X$27&lt;=IF($C31=1,$C$5-2,12)),Assumptions!$C$29*Assumptions!$D$35/2,0)+IF($C31=1,IF(X$27=$C$6,Assumptions!$C$29*$C$25,0),IF(X$27=12,Assumptions!$C$29*$E31/100,0))</f>
        <v>0</v>
      </c>
      <c r="Y31" s="40" t="n">
        <f aca="false">IF(Y$27=0,-Assumptions!$C$29*Assumptions!$E$35/100,0)+IF(AND(Y$27&gt;=2,MOD(Y$27,2)=0,Y$27&lt;=IF($C31=1,$C$5-2,12)),Assumptions!$C$29*Assumptions!$D$35/2,0)+IF($C31=1,IF(Y$27=$C$6,Assumptions!$C$29*$C$25,0),IF(Y$27=12,Assumptions!$C$29*$E31/100,0))</f>
        <v>0</v>
      </c>
    </row>
    <row r="32" customFormat="false" ht="15" hidden="false" customHeight="false" outlineLevel="0" collapsed="false">
      <c r="B32" s="9" t="s">
        <v>51</v>
      </c>
      <c r="C32" s="28" t="n">
        <f aca="false">IF($C$13&lt;=$C$26,1,0)</f>
        <v>0</v>
      </c>
      <c r="D32" s="19" t="n">
        <f aca="false">Assumptions!$F$36</f>
        <v>12125</v>
      </c>
      <c r="E32" s="39" t="n">
        <f aca="false">PV($F32/2,(Assumptions!$C$30*4-12)/2,-Assumptions!$D$36*100/2,-100)</f>
        <v>98.6441572961372</v>
      </c>
      <c r="F32" s="17" t="n">
        <f aca="false">RATE(Assumptions!$C$30*2,Assumptions!$D$36*100/2,-Assumptions!$E$36,100)*2</f>
        <v>0.0875368825411204</v>
      </c>
      <c r="G32" s="26" t="n">
        <f aca="false">SUM(I32:Y32)</f>
        <v>3205.51966201715</v>
      </c>
      <c r="H32" s="17" t="n">
        <f aca="false">(1+IRR(I32:Y32,IF(SUM(I32:Y32)&lt;0,-0.05,0.01)))^4-1</f>
        <v>0.0894525589923749</v>
      </c>
      <c r="I32" s="40" t="n">
        <f aca="false">IF(I$27=0,-Assumptions!$C$29*Assumptions!$E$36/100,0)+IF(AND(I$27&gt;=2,MOD(I$27,2)=0,I$27&lt;=IF($C32=1,$C$5-2,12)),Assumptions!$C$29*Assumptions!$D$36/2,0)+IF($C32=1,IF(I$27=$C$6,Assumptions!$C$29*$C$25,0),IF(I$27=12,Assumptions!$C$29*$E32/100,0))</f>
        <v>-12125</v>
      </c>
      <c r="J32" s="40" t="n">
        <f aca="false">IF(J$27=0,-Assumptions!$C$29*Assumptions!$E$36/100,0)+IF(AND(J$27&gt;=2,MOD(J$27,2)=0,J$27&lt;=IF($C32=1,$C$5-2,12)),Assumptions!$C$29*Assumptions!$D$36/2,0)+IF($C32=1,IF(J$27=$C$6,Assumptions!$C$29*$C$25,0),IF(J$27=12,Assumptions!$C$29*$E32/100,0))</f>
        <v>0</v>
      </c>
      <c r="K32" s="40" t="n">
        <f aca="false">IF(K$27=0,-Assumptions!$C$29*Assumptions!$E$36/100,0)+IF(AND(K$27&gt;=2,MOD(K$27,2)=0,K$27&lt;=IF($C32=1,$C$5-2,12)),Assumptions!$C$29*Assumptions!$D$36/2,0)+IF($C32=1,IF(K$27=$C$6,Assumptions!$C$29*$C$25,0),IF(K$27=12,Assumptions!$C$29*$E32/100,0))</f>
        <v>500</v>
      </c>
      <c r="L32" s="40" t="n">
        <f aca="false">IF(L$27=0,-Assumptions!$C$29*Assumptions!$E$36/100,0)+IF(AND(L$27&gt;=2,MOD(L$27,2)=0,L$27&lt;=IF($C32=1,$C$5-2,12)),Assumptions!$C$29*Assumptions!$D$36/2,0)+IF($C32=1,IF(L$27=$C$6,Assumptions!$C$29*$C$25,0),IF(L$27=12,Assumptions!$C$29*$E32/100,0))</f>
        <v>0</v>
      </c>
      <c r="M32" s="40" t="n">
        <f aca="false">IF(M$27=0,-Assumptions!$C$29*Assumptions!$E$36/100,0)+IF(AND(M$27&gt;=2,MOD(M$27,2)=0,M$27&lt;=IF($C32=1,$C$5-2,12)),Assumptions!$C$29*Assumptions!$D$36/2,0)+IF($C32=1,IF(M$27=$C$6,Assumptions!$C$29*$C$25,0),IF(M$27=12,Assumptions!$C$29*$E32/100,0))</f>
        <v>500</v>
      </c>
      <c r="N32" s="40" t="n">
        <f aca="false">IF(N$27=0,-Assumptions!$C$29*Assumptions!$E$36/100,0)+IF(AND(N$27&gt;=2,MOD(N$27,2)=0,N$27&lt;=IF($C32=1,$C$5-2,12)),Assumptions!$C$29*Assumptions!$D$36/2,0)+IF($C32=1,IF(N$27=$C$6,Assumptions!$C$29*$C$25,0),IF(N$27=12,Assumptions!$C$29*$E32/100,0))</f>
        <v>0</v>
      </c>
      <c r="O32" s="40" t="n">
        <f aca="false">IF(O$27=0,-Assumptions!$C$29*Assumptions!$E$36/100,0)+IF(AND(O$27&gt;=2,MOD(O$27,2)=0,O$27&lt;=IF($C32=1,$C$5-2,12)),Assumptions!$C$29*Assumptions!$D$36/2,0)+IF($C32=1,IF(O$27=$C$6,Assumptions!$C$29*$C$25,0),IF(O$27=12,Assumptions!$C$29*$E32/100,0))</f>
        <v>500</v>
      </c>
      <c r="P32" s="40" t="n">
        <f aca="false">IF(P$27=0,-Assumptions!$C$29*Assumptions!$E$36/100,0)+IF(AND(P$27&gt;=2,MOD(P$27,2)=0,P$27&lt;=IF($C32=1,$C$5-2,12)),Assumptions!$C$29*Assumptions!$D$36/2,0)+IF($C32=1,IF(P$27=$C$6,Assumptions!$C$29*$C$25,0),IF(P$27=12,Assumptions!$C$29*$E32/100,0))</f>
        <v>0</v>
      </c>
      <c r="Q32" s="40" t="n">
        <f aca="false">IF(Q$27=0,-Assumptions!$C$29*Assumptions!$E$36/100,0)+IF(AND(Q$27&gt;=2,MOD(Q$27,2)=0,Q$27&lt;=IF($C32=1,$C$5-2,12)),Assumptions!$C$29*Assumptions!$D$36/2,0)+IF($C32=1,IF(Q$27=$C$6,Assumptions!$C$29*$C$25,0),IF(Q$27=12,Assumptions!$C$29*$E32/100,0))</f>
        <v>500</v>
      </c>
      <c r="R32" s="40" t="n">
        <f aca="false">IF(R$27=0,-Assumptions!$C$29*Assumptions!$E$36/100,0)+IF(AND(R$27&gt;=2,MOD(R$27,2)=0,R$27&lt;=IF($C32=1,$C$5-2,12)),Assumptions!$C$29*Assumptions!$D$36/2,0)+IF($C32=1,IF(R$27=$C$6,Assumptions!$C$29*$C$25,0),IF(R$27=12,Assumptions!$C$29*$E32/100,0))</f>
        <v>0</v>
      </c>
      <c r="S32" s="40" t="n">
        <f aca="false">IF(S$27=0,-Assumptions!$C$29*Assumptions!$E$36/100,0)+IF(AND(S$27&gt;=2,MOD(S$27,2)=0,S$27&lt;=IF($C32=1,$C$5-2,12)),Assumptions!$C$29*Assumptions!$D$36/2,0)+IF($C32=1,IF(S$27=$C$6,Assumptions!$C$29*$C$25,0),IF(S$27=12,Assumptions!$C$29*$E32/100,0))</f>
        <v>500</v>
      </c>
      <c r="T32" s="40" t="n">
        <f aca="false">IF(T$27=0,-Assumptions!$C$29*Assumptions!$E$36/100,0)+IF(AND(T$27&gt;=2,MOD(T$27,2)=0,T$27&lt;=IF($C32=1,$C$5-2,12)),Assumptions!$C$29*Assumptions!$D$36/2,0)+IF($C32=1,IF(T$27=$C$6,Assumptions!$C$29*$C$25,0),IF(T$27=12,Assumptions!$C$29*$E32/100,0))</f>
        <v>0</v>
      </c>
      <c r="U32" s="40" t="n">
        <f aca="false">IF(U$27=0,-Assumptions!$C$29*Assumptions!$E$36/100,0)+IF(AND(U$27&gt;=2,MOD(U$27,2)=0,U$27&lt;=IF($C32=1,$C$5-2,12)),Assumptions!$C$29*Assumptions!$D$36/2,0)+IF($C32=1,IF(U$27=$C$6,Assumptions!$C$29*$C$25,0),IF(U$27=12,Assumptions!$C$29*$E32/100,0))</f>
        <v>12830.5196620172</v>
      </c>
      <c r="V32" s="40" t="n">
        <f aca="false">IF(V$27=0,-Assumptions!$C$29*Assumptions!$E$36/100,0)+IF(AND(V$27&gt;=2,MOD(V$27,2)=0,V$27&lt;=IF($C32=1,$C$5-2,12)),Assumptions!$C$29*Assumptions!$D$36/2,0)+IF($C32=1,IF(V$27=$C$6,Assumptions!$C$29*$C$25,0),IF(V$27=12,Assumptions!$C$29*$E32/100,0))</f>
        <v>0</v>
      </c>
      <c r="W32" s="40" t="n">
        <f aca="false">IF(W$27=0,-Assumptions!$C$29*Assumptions!$E$36/100,0)+IF(AND(W$27&gt;=2,MOD(W$27,2)=0,W$27&lt;=IF($C32=1,$C$5-2,12)),Assumptions!$C$29*Assumptions!$D$36/2,0)+IF($C32=1,IF(W$27=$C$6,Assumptions!$C$29*$C$25,0),IF(W$27=12,Assumptions!$C$29*$E32/100,0))</f>
        <v>0</v>
      </c>
      <c r="X32" s="40" t="n">
        <f aca="false">IF(X$27=0,-Assumptions!$C$29*Assumptions!$E$36/100,0)+IF(AND(X$27&gt;=2,MOD(X$27,2)=0,X$27&lt;=IF($C32=1,$C$5-2,12)),Assumptions!$C$29*Assumptions!$D$36/2,0)+IF($C32=1,IF(X$27=$C$6,Assumptions!$C$29*$C$25,0),IF(X$27=12,Assumptions!$C$29*$E32/100,0))</f>
        <v>0</v>
      </c>
      <c r="Y32" s="40" t="n">
        <f aca="false">IF(Y$27=0,-Assumptions!$C$29*Assumptions!$E$36/100,0)+IF(AND(Y$27&gt;=2,MOD(Y$27,2)=0,Y$27&lt;=IF($C32=1,$C$5-2,12)),Assumptions!$C$29*Assumptions!$D$36/2,0)+IF($C32=1,IF(Y$27=$C$6,Assumptions!$C$29*$C$25,0),IF(Y$27=12,Assumptions!$C$29*$E32/100,0))</f>
        <v>0</v>
      </c>
    </row>
    <row r="33" customFormat="false" ht="15" hidden="false" customHeight="false" outlineLevel="0" collapsed="false">
      <c r="B33" s="9" t="s">
        <v>52</v>
      </c>
      <c r="C33" s="28" t="n">
        <f aca="false">IF($C$14&lt;=$C$26,1,0)</f>
        <v>0</v>
      </c>
      <c r="D33" s="19" t="n">
        <f aca="false">Assumptions!$F$37</f>
        <v>11750</v>
      </c>
      <c r="E33" s="39" t="n">
        <f aca="false">PV($F33/2,(Assumptions!$C$30*4-12)/2,-Assumptions!$D$37*100/2,-100)</f>
        <v>97.2427387979842</v>
      </c>
      <c r="F33" s="17" t="n">
        <f aca="false">RATE(Assumptions!$C$30*2,Assumptions!$D$37*100/2,-Assumptions!$E$37,100)*2</f>
        <v>0.100561753609911</v>
      </c>
      <c r="G33" s="26" t="n">
        <f aca="false">SUM(I33:Y33)</f>
        <v>3592.84234974802</v>
      </c>
      <c r="H33" s="17" t="n">
        <f aca="false">(1+IRR(I33:Y33,IF(SUM(I33:Y33)&lt;0,-0.05,0.01)))^4-1</f>
        <v>0.103089920182186</v>
      </c>
      <c r="I33" s="40" t="n">
        <f aca="false">IF(I$27=0,-Assumptions!$C$29*Assumptions!$E$37/100,0)+IF(AND(I$27&gt;=2,MOD(I$27,2)=0,I$27&lt;=IF($C33=1,$C$5-2,12)),Assumptions!$C$29*Assumptions!$D$37/2,0)+IF($C33=1,IF(I$27=$C$6,Assumptions!$C$29*$C$25,0),IF(I$27=12,Assumptions!$C$29*$E33/100,0))</f>
        <v>-11750</v>
      </c>
      <c r="J33" s="40" t="n">
        <f aca="false">IF(J$27=0,-Assumptions!$C$29*Assumptions!$E$37/100,0)+IF(AND(J$27&gt;=2,MOD(J$27,2)=0,J$27&lt;=IF($C33=1,$C$5-2,12)),Assumptions!$C$29*Assumptions!$D$37/2,0)+IF($C33=1,IF(J$27=$C$6,Assumptions!$C$29*$C$25,0),IF(J$27=12,Assumptions!$C$29*$E33/100,0))</f>
        <v>0</v>
      </c>
      <c r="K33" s="40" t="n">
        <f aca="false">IF(K$27=0,-Assumptions!$C$29*Assumptions!$E$37/100,0)+IF(AND(K$27&gt;=2,MOD(K$27,2)=0,K$27&lt;=IF($C33=1,$C$5-2,12)),Assumptions!$C$29*Assumptions!$D$37/2,0)+IF($C33=1,IF(K$27=$C$6,Assumptions!$C$29*$C$25,0),IF(K$27=12,Assumptions!$C$29*$E33/100,0))</f>
        <v>531.25</v>
      </c>
      <c r="L33" s="40" t="n">
        <f aca="false">IF(L$27=0,-Assumptions!$C$29*Assumptions!$E$37/100,0)+IF(AND(L$27&gt;=2,MOD(L$27,2)=0,L$27&lt;=IF($C33=1,$C$5-2,12)),Assumptions!$C$29*Assumptions!$D$37/2,0)+IF($C33=1,IF(L$27=$C$6,Assumptions!$C$29*$C$25,0),IF(L$27=12,Assumptions!$C$29*$E33/100,0))</f>
        <v>0</v>
      </c>
      <c r="M33" s="40" t="n">
        <f aca="false">IF(M$27=0,-Assumptions!$C$29*Assumptions!$E$37/100,0)+IF(AND(M$27&gt;=2,MOD(M$27,2)=0,M$27&lt;=IF($C33=1,$C$5-2,12)),Assumptions!$C$29*Assumptions!$D$37/2,0)+IF($C33=1,IF(M$27=$C$6,Assumptions!$C$29*$C$25,0),IF(M$27=12,Assumptions!$C$29*$E33/100,0))</f>
        <v>531.25</v>
      </c>
      <c r="N33" s="40" t="n">
        <f aca="false">IF(N$27=0,-Assumptions!$C$29*Assumptions!$E$37/100,0)+IF(AND(N$27&gt;=2,MOD(N$27,2)=0,N$27&lt;=IF($C33=1,$C$5-2,12)),Assumptions!$C$29*Assumptions!$D$37/2,0)+IF($C33=1,IF(N$27=$C$6,Assumptions!$C$29*$C$25,0),IF(N$27=12,Assumptions!$C$29*$E33/100,0))</f>
        <v>0</v>
      </c>
      <c r="O33" s="40" t="n">
        <f aca="false">IF(O$27=0,-Assumptions!$C$29*Assumptions!$E$37/100,0)+IF(AND(O$27&gt;=2,MOD(O$27,2)=0,O$27&lt;=IF($C33=1,$C$5-2,12)),Assumptions!$C$29*Assumptions!$D$37/2,0)+IF($C33=1,IF(O$27=$C$6,Assumptions!$C$29*$C$25,0),IF(O$27=12,Assumptions!$C$29*$E33/100,0))</f>
        <v>531.25</v>
      </c>
      <c r="P33" s="40" t="n">
        <f aca="false">IF(P$27=0,-Assumptions!$C$29*Assumptions!$E$37/100,0)+IF(AND(P$27&gt;=2,MOD(P$27,2)=0,P$27&lt;=IF($C33=1,$C$5-2,12)),Assumptions!$C$29*Assumptions!$D$37/2,0)+IF($C33=1,IF(P$27=$C$6,Assumptions!$C$29*$C$25,0),IF(P$27=12,Assumptions!$C$29*$E33/100,0))</f>
        <v>0</v>
      </c>
      <c r="Q33" s="40" t="n">
        <f aca="false">IF(Q$27=0,-Assumptions!$C$29*Assumptions!$E$37/100,0)+IF(AND(Q$27&gt;=2,MOD(Q$27,2)=0,Q$27&lt;=IF($C33=1,$C$5-2,12)),Assumptions!$C$29*Assumptions!$D$37/2,0)+IF($C33=1,IF(Q$27=$C$6,Assumptions!$C$29*$C$25,0),IF(Q$27=12,Assumptions!$C$29*$E33/100,0))</f>
        <v>531.25</v>
      </c>
      <c r="R33" s="40" t="n">
        <f aca="false">IF(R$27=0,-Assumptions!$C$29*Assumptions!$E$37/100,0)+IF(AND(R$27&gt;=2,MOD(R$27,2)=0,R$27&lt;=IF($C33=1,$C$5-2,12)),Assumptions!$C$29*Assumptions!$D$37/2,0)+IF($C33=1,IF(R$27=$C$6,Assumptions!$C$29*$C$25,0),IF(R$27=12,Assumptions!$C$29*$E33/100,0))</f>
        <v>0</v>
      </c>
      <c r="S33" s="40" t="n">
        <f aca="false">IF(S$27=0,-Assumptions!$C$29*Assumptions!$E$37/100,0)+IF(AND(S$27&gt;=2,MOD(S$27,2)=0,S$27&lt;=IF($C33=1,$C$5-2,12)),Assumptions!$C$29*Assumptions!$D$37/2,0)+IF($C33=1,IF(S$27=$C$6,Assumptions!$C$29*$C$25,0),IF(S$27=12,Assumptions!$C$29*$E33/100,0))</f>
        <v>531.25</v>
      </c>
      <c r="T33" s="40" t="n">
        <f aca="false">IF(T$27=0,-Assumptions!$C$29*Assumptions!$E$37/100,0)+IF(AND(T$27&gt;=2,MOD(T$27,2)=0,T$27&lt;=IF($C33=1,$C$5-2,12)),Assumptions!$C$29*Assumptions!$D$37/2,0)+IF($C33=1,IF(T$27=$C$6,Assumptions!$C$29*$C$25,0),IF(T$27=12,Assumptions!$C$29*$E33/100,0))</f>
        <v>0</v>
      </c>
      <c r="U33" s="40" t="n">
        <f aca="false">IF(U$27=0,-Assumptions!$C$29*Assumptions!$E$37/100,0)+IF(AND(U$27&gt;=2,MOD(U$27,2)=0,U$27&lt;=IF($C33=1,$C$5-2,12)),Assumptions!$C$29*Assumptions!$D$37/2,0)+IF($C33=1,IF(U$27=$C$6,Assumptions!$C$29*$C$25,0),IF(U$27=12,Assumptions!$C$29*$E33/100,0))</f>
        <v>12686.592349748</v>
      </c>
      <c r="V33" s="40" t="n">
        <f aca="false">IF(V$27=0,-Assumptions!$C$29*Assumptions!$E$37/100,0)+IF(AND(V$27&gt;=2,MOD(V$27,2)=0,V$27&lt;=IF($C33=1,$C$5-2,12)),Assumptions!$C$29*Assumptions!$D$37/2,0)+IF($C33=1,IF(V$27=$C$6,Assumptions!$C$29*$C$25,0),IF(V$27=12,Assumptions!$C$29*$E33/100,0))</f>
        <v>0</v>
      </c>
      <c r="W33" s="40" t="n">
        <f aca="false">IF(W$27=0,-Assumptions!$C$29*Assumptions!$E$37/100,0)+IF(AND(W$27&gt;=2,MOD(W$27,2)=0,W$27&lt;=IF($C33=1,$C$5-2,12)),Assumptions!$C$29*Assumptions!$D$37/2,0)+IF($C33=1,IF(W$27=$C$6,Assumptions!$C$29*$C$25,0),IF(W$27=12,Assumptions!$C$29*$E33/100,0))</f>
        <v>0</v>
      </c>
      <c r="X33" s="40" t="n">
        <f aca="false">IF(X$27=0,-Assumptions!$C$29*Assumptions!$E$37/100,0)+IF(AND(X$27&gt;=2,MOD(X$27,2)=0,X$27&lt;=IF($C33=1,$C$5-2,12)),Assumptions!$C$29*Assumptions!$D$37/2,0)+IF($C33=1,IF(X$27=$C$6,Assumptions!$C$29*$C$25,0),IF(X$27=12,Assumptions!$C$29*$E33/100,0))</f>
        <v>0</v>
      </c>
      <c r="Y33" s="40" t="n">
        <f aca="false">IF(Y$27=0,-Assumptions!$C$29*Assumptions!$E$37/100,0)+IF(AND(Y$27&gt;=2,MOD(Y$27,2)=0,Y$27&lt;=IF($C33=1,$C$5-2,12)),Assumptions!$C$29*Assumptions!$D$37/2,0)+IF($C33=1,IF(Y$27=$C$6,Assumptions!$C$29*$C$25,0),IF(Y$27=12,Assumptions!$C$29*$E33/100,0))</f>
        <v>0</v>
      </c>
    </row>
    <row r="34" customFormat="false" ht="15" hidden="false" customHeight="false" outlineLevel="0" collapsed="false">
      <c r="B34" s="29" t="s">
        <v>154</v>
      </c>
      <c r="D34" s="41" t="n">
        <f aca="false">SUM(D28:D33)</f>
        <v>73000</v>
      </c>
      <c r="G34" s="41" t="n">
        <f aca="false">SUM(I34:Y34)</f>
        <v>17970.8772222062</v>
      </c>
      <c r="H34" s="30" t="n">
        <f aca="false">(1+IRR(I34:Y34,IF(SUM(I34:Y34)&lt;0,-0.05,0.01)))^4-1</f>
        <v>0.0832358496413976</v>
      </c>
      <c r="I34" s="42" t="n">
        <f aca="false">SUM(I28:I33)</f>
        <v>-73000</v>
      </c>
      <c r="J34" s="42" t="n">
        <f aca="false">SUM(J28:J33)</f>
        <v>0</v>
      </c>
      <c r="K34" s="42" t="n">
        <f aca="false">SUM(K28:K33)</f>
        <v>2812.5</v>
      </c>
      <c r="L34" s="42" t="n">
        <f aca="false">SUM(L28:L33)</f>
        <v>0</v>
      </c>
      <c r="M34" s="42" t="n">
        <f aca="false">SUM(M28:M33)</f>
        <v>2812.5</v>
      </c>
      <c r="N34" s="42" t="n">
        <f aca="false">SUM(N28:N33)</f>
        <v>0</v>
      </c>
      <c r="O34" s="42" t="n">
        <f aca="false">SUM(O28:O33)</f>
        <v>2812.5</v>
      </c>
      <c r="P34" s="42" t="n">
        <f aca="false">SUM(P28:P33)</f>
        <v>0</v>
      </c>
      <c r="Q34" s="42" t="n">
        <f aca="false">SUM(Q28:Q33)</f>
        <v>2812.5</v>
      </c>
      <c r="R34" s="42" t="n">
        <f aca="false">SUM(R28:R33)</f>
        <v>0</v>
      </c>
      <c r="S34" s="42" t="n">
        <f aca="false">SUM(S28:S33)</f>
        <v>2812.5</v>
      </c>
      <c r="T34" s="42" t="n">
        <f aca="false">SUM(T28:T33)</f>
        <v>0</v>
      </c>
      <c r="U34" s="42" t="n">
        <f aca="false">SUM(U28:U33)</f>
        <v>76908.3772222062</v>
      </c>
      <c r="V34" s="42" t="n">
        <f aca="false">SUM(V28:V33)</f>
        <v>0</v>
      </c>
      <c r="W34" s="42" t="n">
        <f aca="false">SUM(W28:W33)</f>
        <v>0</v>
      </c>
      <c r="X34" s="42" t="n">
        <f aca="false">SUM(X28:X33)</f>
        <v>0</v>
      </c>
      <c r="Y34" s="42" t="n">
        <f aca="false">SUM(Y28:Y33)</f>
        <v>0</v>
      </c>
    </row>
    <row r="36" customFormat="false" ht="15" hidden="false" customHeight="false" outlineLevel="0" collapsed="false">
      <c r="B36" s="7" t="s">
        <v>155</v>
      </c>
      <c r="C36" s="8"/>
      <c r="D36" s="8"/>
      <c r="E36" s="8"/>
      <c r="F36" s="8"/>
      <c r="G36" s="8"/>
      <c r="H36" s="8"/>
      <c r="I36" s="8"/>
      <c r="J36" s="8"/>
      <c r="K36" s="8"/>
      <c r="L36" s="8"/>
      <c r="M36" s="8"/>
      <c r="N36" s="8"/>
      <c r="O36" s="8"/>
      <c r="P36" s="8"/>
      <c r="Q36" s="8"/>
      <c r="R36" s="8"/>
      <c r="S36" s="8"/>
      <c r="T36" s="8"/>
      <c r="U36" s="8"/>
      <c r="V36" s="8"/>
      <c r="W36" s="8"/>
      <c r="X36" s="8"/>
      <c r="Y36" s="8"/>
    </row>
    <row r="37" customFormat="false" ht="15" hidden="false" customHeight="false" outlineLevel="0" collapsed="false">
      <c r="B37" s="9" t="s">
        <v>117</v>
      </c>
      <c r="C37" s="22" t="n">
        <f aca="false">$B$18</f>
        <v>0.25</v>
      </c>
    </row>
    <row r="38" customFormat="false" ht="15" hidden="false" customHeight="false" outlineLevel="0" collapsed="false">
      <c r="B38" s="9" t="s">
        <v>148</v>
      </c>
      <c r="C38" s="28" t="n">
        <f aca="false">D$17</f>
        <v>1</v>
      </c>
    </row>
    <row r="39" customFormat="false" ht="30" hidden="false" customHeight="true" outlineLevel="0" collapsed="false">
      <c r="B39" s="13" t="s">
        <v>32</v>
      </c>
      <c r="C39" s="14" t="s">
        <v>149</v>
      </c>
      <c r="D39" s="14" t="s">
        <v>46</v>
      </c>
      <c r="E39" s="14" t="s">
        <v>150</v>
      </c>
      <c r="F39" s="14" t="s">
        <v>151</v>
      </c>
      <c r="G39" s="14" t="s">
        <v>152</v>
      </c>
      <c r="H39" s="14" t="s">
        <v>153</v>
      </c>
      <c r="I39" s="38" t="n">
        <v>0</v>
      </c>
      <c r="J39" s="38" t="n">
        <v>1</v>
      </c>
      <c r="K39" s="38" t="n">
        <v>2</v>
      </c>
      <c r="L39" s="38" t="n">
        <v>3</v>
      </c>
      <c r="M39" s="38" t="n">
        <v>4</v>
      </c>
      <c r="N39" s="38" t="n">
        <v>5</v>
      </c>
      <c r="O39" s="38" t="n">
        <v>6</v>
      </c>
      <c r="P39" s="38" t="n">
        <v>7</v>
      </c>
      <c r="Q39" s="38" t="n">
        <v>8</v>
      </c>
      <c r="R39" s="38" t="n">
        <v>9</v>
      </c>
      <c r="S39" s="38" t="n">
        <v>10</v>
      </c>
      <c r="T39" s="38" t="n">
        <v>11</v>
      </c>
      <c r="U39" s="38" t="n">
        <v>12</v>
      </c>
      <c r="V39" s="38" t="n">
        <v>13</v>
      </c>
      <c r="W39" s="38" t="n">
        <v>14</v>
      </c>
      <c r="X39" s="38" t="n">
        <v>15</v>
      </c>
      <c r="Y39" s="38" t="n">
        <v>16</v>
      </c>
    </row>
    <row r="40" customFormat="false" ht="15" hidden="false" customHeight="false" outlineLevel="0" collapsed="false">
      <c r="B40" s="9" t="s">
        <v>47</v>
      </c>
      <c r="C40" s="28" t="n">
        <f aca="false">IF($C$9&lt;=$C$38,1,0)</f>
        <v>0</v>
      </c>
      <c r="D40" s="19" t="n">
        <f aca="false">Assumptions!$F$32</f>
        <v>12375</v>
      </c>
      <c r="E40" s="39" t="n">
        <f aca="false">PV($F40/2,(Assumptions!$C$30*4-12)/2,-Assumptions!$D$32*100/2,-100)</f>
        <v>99.5584003138178</v>
      </c>
      <c r="F40" s="17" t="n">
        <f aca="false">RATE(Assumptions!$C$30*2,Assumptions!$D$32*100/2,-Assumptions!$E$32,100)*2</f>
        <v>0.0699042470751673</v>
      </c>
      <c r="G40" s="26" t="n">
        <f aca="false">SUM(I40:Y40)</f>
        <v>2601.05003922723</v>
      </c>
      <c r="H40" s="17" t="n">
        <f aca="false">(1+IRR(I40:Y40,IF(SUM(I40:Y40)&lt;0,-0.05,0.01)))^4-1</f>
        <v>0.0711258980149541</v>
      </c>
      <c r="I40" s="40" t="n">
        <f aca="false">IF(I$39=0,-Assumptions!$C$29*Assumptions!$E$32/100,0)+IF(AND(I$39&gt;=2,MOD(I$39,2)=0,I$39&lt;=IF($C40=1,$C$5-2,12)),Assumptions!$C$29*Assumptions!$D$32/2,0)+IF($C40=1,IF(I$39=$C$6,Assumptions!$C$29*$C$37,0),IF(I$39=12,Assumptions!$C$29*$E40/100,0))</f>
        <v>-12375</v>
      </c>
      <c r="J40" s="40" t="n">
        <f aca="false">IF(J$39=0,-Assumptions!$C$29*Assumptions!$E$32/100,0)+IF(AND(J$39&gt;=2,MOD(J$39,2)=0,J$39&lt;=IF($C40=1,$C$5-2,12)),Assumptions!$C$29*Assumptions!$D$32/2,0)+IF($C40=1,IF(J$39=$C$6,Assumptions!$C$29*$C$37,0),IF(J$39=12,Assumptions!$C$29*$E40/100,0))</f>
        <v>0</v>
      </c>
      <c r="K40" s="40" t="n">
        <f aca="false">IF(K$39=0,-Assumptions!$C$29*Assumptions!$E$32/100,0)+IF(AND(K$39&gt;=2,MOD(K$39,2)=0,K$39&lt;=IF($C40=1,$C$5-2,12)),Assumptions!$C$29*Assumptions!$D$32/2,0)+IF($C40=1,IF(K$39=$C$6,Assumptions!$C$29*$C$37,0),IF(K$39=12,Assumptions!$C$29*$E40/100,0))</f>
        <v>421.875</v>
      </c>
      <c r="L40" s="40" t="n">
        <f aca="false">IF(L$39=0,-Assumptions!$C$29*Assumptions!$E$32/100,0)+IF(AND(L$39&gt;=2,MOD(L$39,2)=0,L$39&lt;=IF($C40=1,$C$5-2,12)),Assumptions!$C$29*Assumptions!$D$32/2,0)+IF($C40=1,IF(L$39=$C$6,Assumptions!$C$29*$C$37,0),IF(L$39=12,Assumptions!$C$29*$E40/100,0))</f>
        <v>0</v>
      </c>
      <c r="M40" s="40" t="n">
        <f aca="false">IF(M$39=0,-Assumptions!$C$29*Assumptions!$E$32/100,0)+IF(AND(M$39&gt;=2,MOD(M$39,2)=0,M$39&lt;=IF($C40=1,$C$5-2,12)),Assumptions!$C$29*Assumptions!$D$32/2,0)+IF($C40=1,IF(M$39=$C$6,Assumptions!$C$29*$C$37,0),IF(M$39=12,Assumptions!$C$29*$E40/100,0))</f>
        <v>421.875</v>
      </c>
      <c r="N40" s="40" t="n">
        <f aca="false">IF(N$39=0,-Assumptions!$C$29*Assumptions!$E$32/100,0)+IF(AND(N$39&gt;=2,MOD(N$39,2)=0,N$39&lt;=IF($C40=1,$C$5-2,12)),Assumptions!$C$29*Assumptions!$D$32/2,0)+IF($C40=1,IF(N$39=$C$6,Assumptions!$C$29*$C$37,0),IF(N$39=12,Assumptions!$C$29*$E40/100,0))</f>
        <v>0</v>
      </c>
      <c r="O40" s="40" t="n">
        <f aca="false">IF(O$39=0,-Assumptions!$C$29*Assumptions!$E$32/100,0)+IF(AND(O$39&gt;=2,MOD(O$39,2)=0,O$39&lt;=IF($C40=1,$C$5-2,12)),Assumptions!$C$29*Assumptions!$D$32/2,0)+IF($C40=1,IF(O$39=$C$6,Assumptions!$C$29*$C$37,0),IF(O$39=12,Assumptions!$C$29*$E40/100,0))</f>
        <v>421.875</v>
      </c>
      <c r="P40" s="40" t="n">
        <f aca="false">IF(P$39=0,-Assumptions!$C$29*Assumptions!$E$32/100,0)+IF(AND(P$39&gt;=2,MOD(P$39,2)=0,P$39&lt;=IF($C40=1,$C$5-2,12)),Assumptions!$C$29*Assumptions!$D$32/2,0)+IF($C40=1,IF(P$39=$C$6,Assumptions!$C$29*$C$37,0),IF(P$39=12,Assumptions!$C$29*$E40/100,0))</f>
        <v>0</v>
      </c>
      <c r="Q40" s="40" t="n">
        <f aca="false">IF(Q$39=0,-Assumptions!$C$29*Assumptions!$E$32/100,0)+IF(AND(Q$39&gt;=2,MOD(Q$39,2)=0,Q$39&lt;=IF($C40=1,$C$5-2,12)),Assumptions!$C$29*Assumptions!$D$32/2,0)+IF($C40=1,IF(Q$39=$C$6,Assumptions!$C$29*$C$37,0),IF(Q$39=12,Assumptions!$C$29*$E40/100,0))</f>
        <v>421.875</v>
      </c>
      <c r="R40" s="40" t="n">
        <f aca="false">IF(R$39=0,-Assumptions!$C$29*Assumptions!$E$32/100,0)+IF(AND(R$39&gt;=2,MOD(R$39,2)=0,R$39&lt;=IF($C40=1,$C$5-2,12)),Assumptions!$C$29*Assumptions!$D$32/2,0)+IF($C40=1,IF(R$39=$C$6,Assumptions!$C$29*$C$37,0),IF(R$39=12,Assumptions!$C$29*$E40/100,0))</f>
        <v>0</v>
      </c>
      <c r="S40" s="40" t="n">
        <f aca="false">IF(S$39=0,-Assumptions!$C$29*Assumptions!$E$32/100,0)+IF(AND(S$39&gt;=2,MOD(S$39,2)=0,S$39&lt;=IF($C40=1,$C$5-2,12)),Assumptions!$C$29*Assumptions!$D$32/2,0)+IF($C40=1,IF(S$39=$C$6,Assumptions!$C$29*$C$37,0),IF(S$39=12,Assumptions!$C$29*$E40/100,0))</f>
        <v>421.875</v>
      </c>
      <c r="T40" s="40" t="n">
        <f aca="false">IF(T$39=0,-Assumptions!$C$29*Assumptions!$E$32/100,0)+IF(AND(T$39&gt;=2,MOD(T$39,2)=0,T$39&lt;=IF($C40=1,$C$5-2,12)),Assumptions!$C$29*Assumptions!$D$32/2,0)+IF($C40=1,IF(T$39=$C$6,Assumptions!$C$29*$C$37,0),IF(T$39=12,Assumptions!$C$29*$E40/100,0))</f>
        <v>0</v>
      </c>
      <c r="U40" s="40" t="n">
        <f aca="false">IF(U$39=0,-Assumptions!$C$29*Assumptions!$E$32/100,0)+IF(AND(U$39&gt;=2,MOD(U$39,2)=0,U$39&lt;=IF($C40=1,$C$5-2,12)),Assumptions!$C$29*Assumptions!$D$32/2,0)+IF($C40=1,IF(U$39=$C$6,Assumptions!$C$29*$C$37,0),IF(U$39=12,Assumptions!$C$29*$E40/100,0))</f>
        <v>12866.6750392272</v>
      </c>
      <c r="V40" s="40" t="n">
        <f aca="false">IF(V$39=0,-Assumptions!$C$29*Assumptions!$E$32/100,0)+IF(AND(V$39&gt;=2,MOD(V$39,2)=0,V$39&lt;=IF($C40=1,$C$5-2,12)),Assumptions!$C$29*Assumptions!$D$32/2,0)+IF($C40=1,IF(V$39=$C$6,Assumptions!$C$29*$C$37,0),IF(V$39=12,Assumptions!$C$29*$E40/100,0))</f>
        <v>0</v>
      </c>
      <c r="W40" s="40" t="n">
        <f aca="false">IF(W$39=0,-Assumptions!$C$29*Assumptions!$E$32/100,0)+IF(AND(W$39&gt;=2,MOD(W$39,2)=0,W$39&lt;=IF($C40=1,$C$5-2,12)),Assumptions!$C$29*Assumptions!$D$32/2,0)+IF($C40=1,IF(W$39=$C$6,Assumptions!$C$29*$C$37,0),IF(W$39=12,Assumptions!$C$29*$E40/100,0))</f>
        <v>0</v>
      </c>
      <c r="X40" s="40" t="n">
        <f aca="false">IF(X$39=0,-Assumptions!$C$29*Assumptions!$E$32/100,0)+IF(AND(X$39&gt;=2,MOD(X$39,2)=0,X$39&lt;=IF($C40=1,$C$5-2,12)),Assumptions!$C$29*Assumptions!$D$32/2,0)+IF($C40=1,IF(X$39=$C$6,Assumptions!$C$29*$C$37,0),IF(X$39=12,Assumptions!$C$29*$E40/100,0))</f>
        <v>0</v>
      </c>
      <c r="Y40" s="40" t="n">
        <f aca="false">IF(Y$39=0,-Assumptions!$C$29*Assumptions!$E$32/100,0)+IF(AND(Y$39&gt;=2,MOD(Y$39,2)=0,Y$39&lt;=IF($C40=1,$C$5-2,12)),Assumptions!$C$29*Assumptions!$D$32/2,0)+IF($C40=1,IF(Y$39=$C$6,Assumptions!$C$29*$C$37,0),IF(Y$39=12,Assumptions!$C$29*$E40/100,0))</f>
        <v>0</v>
      </c>
    </row>
    <row r="41" customFormat="false" ht="15" hidden="false" customHeight="false" outlineLevel="0" collapsed="false">
      <c r="B41" s="9" t="s">
        <v>48</v>
      </c>
      <c r="C41" s="28" t="n">
        <f aca="false">IF($C$10&lt;=$C$38,1,0)</f>
        <v>0</v>
      </c>
      <c r="D41" s="19" t="n">
        <f aca="false">Assumptions!$F$33</f>
        <v>12312.5</v>
      </c>
      <c r="E41" s="39" t="n">
        <f aca="false">PV($F41/2,(Assumptions!$C$30*4-12)/2,-Assumptions!$D$33*100/2,-100)</f>
        <v>99.3343027458663</v>
      </c>
      <c r="F41" s="17" t="n">
        <f aca="false">RATE(Assumptions!$C$30*2,Assumptions!$D$33*100/2,-Assumptions!$E$33,100)*2</f>
        <v>0.0736404123832243</v>
      </c>
      <c r="G41" s="26" t="n">
        <f aca="false">SUM(I41:Y41)</f>
        <v>2729.28784323328</v>
      </c>
      <c r="H41" s="17" t="n">
        <f aca="false">(1+IRR(I41:Y41,IF(SUM(I41:Y41)&lt;0,-0.05,0.01)))^4-1</f>
        <v>0.0749961399672177</v>
      </c>
      <c r="I41" s="40" t="n">
        <f aca="false">IF(I$39=0,-Assumptions!$C$29*Assumptions!$E$33/100,0)+IF(AND(I$39&gt;=2,MOD(I$39,2)=0,I$39&lt;=IF($C41=1,$C$5-2,12)),Assumptions!$C$29*Assumptions!$D$33/2,0)+IF($C41=1,IF(I$39=$C$6,Assumptions!$C$29*$C$37,0),IF(I$39=12,Assumptions!$C$29*$E41/100,0))</f>
        <v>-12312.5</v>
      </c>
      <c r="J41" s="40" t="n">
        <f aca="false">IF(J$39=0,-Assumptions!$C$29*Assumptions!$E$33/100,0)+IF(AND(J$39&gt;=2,MOD(J$39,2)=0,J$39&lt;=IF($C41=1,$C$5-2,12)),Assumptions!$C$29*Assumptions!$D$33/2,0)+IF($C41=1,IF(J$39=$C$6,Assumptions!$C$29*$C$37,0),IF(J$39=12,Assumptions!$C$29*$E41/100,0))</f>
        <v>0</v>
      </c>
      <c r="K41" s="40" t="n">
        <f aca="false">IF(K$39=0,-Assumptions!$C$29*Assumptions!$E$33/100,0)+IF(AND(K$39&gt;=2,MOD(K$39,2)=0,K$39&lt;=IF($C41=1,$C$5-2,12)),Assumptions!$C$29*Assumptions!$D$33/2,0)+IF($C41=1,IF(K$39=$C$6,Assumptions!$C$29*$C$37,0),IF(K$39=12,Assumptions!$C$29*$E41/100,0))</f>
        <v>437.5</v>
      </c>
      <c r="L41" s="40" t="n">
        <f aca="false">IF(L$39=0,-Assumptions!$C$29*Assumptions!$E$33/100,0)+IF(AND(L$39&gt;=2,MOD(L$39,2)=0,L$39&lt;=IF($C41=1,$C$5-2,12)),Assumptions!$C$29*Assumptions!$D$33/2,0)+IF($C41=1,IF(L$39=$C$6,Assumptions!$C$29*$C$37,0),IF(L$39=12,Assumptions!$C$29*$E41/100,0))</f>
        <v>0</v>
      </c>
      <c r="M41" s="40" t="n">
        <f aca="false">IF(M$39=0,-Assumptions!$C$29*Assumptions!$E$33/100,0)+IF(AND(M$39&gt;=2,MOD(M$39,2)=0,M$39&lt;=IF($C41=1,$C$5-2,12)),Assumptions!$C$29*Assumptions!$D$33/2,0)+IF($C41=1,IF(M$39=$C$6,Assumptions!$C$29*$C$37,0),IF(M$39=12,Assumptions!$C$29*$E41/100,0))</f>
        <v>437.5</v>
      </c>
      <c r="N41" s="40" t="n">
        <f aca="false">IF(N$39=0,-Assumptions!$C$29*Assumptions!$E$33/100,0)+IF(AND(N$39&gt;=2,MOD(N$39,2)=0,N$39&lt;=IF($C41=1,$C$5-2,12)),Assumptions!$C$29*Assumptions!$D$33/2,0)+IF($C41=1,IF(N$39=$C$6,Assumptions!$C$29*$C$37,0),IF(N$39=12,Assumptions!$C$29*$E41/100,0))</f>
        <v>0</v>
      </c>
      <c r="O41" s="40" t="n">
        <f aca="false">IF(O$39=0,-Assumptions!$C$29*Assumptions!$E$33/100,0)+IF(AND(O$39&gt;=2,MOD(O$39,2)=0,O$39&lt;=IF($C41=1,$C$5-2,12)),Assumptions!$C$29*Assumptions!$D$33/2,0)+IF($C41=1,IF(O$39=$C$6,Assumptions!$C$29*$C$37,0),IF(O$39=12,Assumptions!$C$29*$E41/100,0))</f>
        <v>437.5</v>
      </c>
      <c r="P41" s="40" t="n">
        <f aca="false">IF(P$39=0,-Assumptions!$C$29*Assumptions!$E$33/100,0)+IF(AND(P$39&gt;=2,MOD(P$39,2)=0,P$39&lt;=IF($C41=1,$C$5-2,12)),Assumptions!$C$29*Assumptions!$D$33/2,0)+IF($C41=1,IF(P$39=$C$6,Assumptions!$C$29*$C$37,0),IF(P$39=12,Assumptions!$C$29*$E41/100,0))</f>
        <v>0</v>
      </c>
      <c r="Q41" s="40" t="n">
        <f aca="false">IF(Q$39=0,-Assumptions!$C$29*Assumptions!$E$33/100,0)+IF(AND(Q$39&gt;=2,MOD(Q$39,2)=0,Q$39&lt;=IF($C41=1,$C$5-2,12)),Assumptions!$C$29*Assumptions!$D$33/2,0)+IF($C41=1,IF(Q$39=$C$6,Assumptions!$C$29*$C$37,0),IF(Q$39=12,Assumptions!$C$29*$E41/100,0))</f>
        <v>437.5</v>
      </c>
      <c r="R41" s="40" t="n">
        <f aca="false">IF(R$39=0,-Assumptions!$C$29*Assumptions!$E$33/100,0)+IF(AND(R$39&gt;=2,MOD(R$39,2)=0,R$39&lt;=IF($C41=1,$C$5-2,12)),Assumptions!$C$29*Assumptions!$D$33/2,0)+IF($C41=1,IF(R$39=$C$6,Assumptions!$C$29*$C$37,0),IF(R$39=12,Assumptions!$C$29*$E41/100,0))</f>
        <v>0</v>
      </c>
      <c r="S41" s="40" t="n">
        <f aca="false">IF(S$39=0,-Assumptions!$C$29*Assumptions!$E$33/100,0)+IF(AND(S$39&gt;=2,MOD(S$39,2)=0,S$39&lt;=IF($C41=1,$C$5-2,12)),Assumptions!$C$29*Assumptions!$D$33/2,0)+IF($C41=1,IF(S$39=$C$6,Assumptions!$C$29*$C$37,0),IF(S$39=12,Assumptions!$C$29*$E41/100,0))</f>
        <v>437.5</v>
      </c>
      <c r="T41" s="40" t="n">
        <f aca="false">IF(T$39=0,-Assumptions!$C$29*Assumptions!$E$33/100,0)+IF(AND(T$39&gt;=2,MOD(T$39,2)=0,T$39&lt;=IF($C41=1,$C$5-2,12)),Assumptions!$C$29*Assumptions!$D$33/2,0)+IF($C41=1,IF(T$39=$C$6,Assumptions!$C$29*$C$37,0),IF(T$39=12,Assumptions!$C$29*$E41/100,0))</f>
        <v>0</v>
      </c>
      <c r="U41" s="40" t="n">
        <f aca="false">IF(U$39=0,-Assumptions!$C$29*Assumptions!$E$33/100,0)+IF(AND(U$39&gt;=2,MOD(U$39,2)=0,U$39&lt;=IF($C41=1,$C$5-2,12)),Assumptions!$C$29*Assumptions!$D$33/2,0)+IF($C41=1,IF(U$39=$C$6,Assumptions!$C$29*$C$37,0),IF(U$39=12,Assumptions!$C$29*$E41/100,0))</f>
        <v>12854.2878432333</v>
      </c>
      <c r="V41" s="40" t="n">
        <f aca="false">IF(V$39=0,-Assumptions!$C$29*Assumptions!$E$33/100,0)+IF(AND(V$39&gt;=2,MOD(V$39,2)=0,V$39&lt;=IF($C41=1,$C$5-2,12)),Assumptions!$C$29*Assumptions!$D$33/2,0)+IF($C41=1,IF(V$39=$C$6,Assumptions!$C$29*$C$37,0),IF(V$39=12,Assumptions!$C$29*$E41/100,0))</f>
        <v>0</v>
      </c>
      <c r="W41" s="40" t="n">
        <f aca="false">IF(W$39=0,-Assumptions!$C$29*Assumptions!$E$33/100,0)+IF(AND(W$39&gt;=2,MOD(W$39,2)=0,W$39&lt;=IF($C41=1,$C$5-2,12)),Assumptions!$C$29*Assumptions!$D$33/2,0)+IF($C41=1,IF(W$39=$C$6,Assumptions!$C$29*$C$37,0),IF(W$39=12,Assumptions!$C$29*$E41/100,0))</f>
        <v>0</v>
      </c>
      <c r="X41" s="40" t="n">
        <f aca="false">IF(X$39=0,-Assumptions!$C$29*Assumptions!$E$33/100,0)+IF(AND(X$39&gt;=2,MOD(X$39,2)=0,X$39&lt;=IF($C41=1,$C$5-2,12)),Assumptions!$C$29*Assumptions!$D$33/2,0)+IF($C41=1,IF(X$39=$C$6,Assumptions!$C$29*$C$37,0),IF(X$39=12,Assumptions!$C$29*$E41/100,0))</f>
        <v>0</v>
      </c>
      <c r="Y41" s="40" t="n">
        <f aca="false">IF(Y$39=0,-Assumptions!$C$29*Assumptions!$E$33/100,0)+IF(AND(Y$39&gt;=2,MOD(Y$39,2)=0,Y$39&lt;=IF($C41=1,$C$5-2,12)),Assumptions!$C$29*Assumptions!$D$33/2,0)+IF($C41=1,IF(Y$39=$C$6,Assumptions!$C$29*$C$37,0),IF(Y$39=12,Assumptions!$C$29*$E41/100,0))</f>
        <v>0</v>
      </c>
    </row>
    <row r="42" customFormat="false" ht="15" hidden="false" customHeight="false" outlineLevel="0" collapsed="false">
      <c r="B42" s="9" t="s">
        <v>49</v>
      </c>
      <c r="C42" s="28" t="n">
        <f aca="false">IF($C$11&lt;=$C$38,1,0)</f>
        <v>0</v>
      </c>
      <c r="D42" s="19" t="n">
        <f aca="false">Assumptions!$F$34</f>
        <v>12250</v>
      </c>
      <c r="E42" s="39" t="n">
        <f aca="false">PV($F42/2,(Assumptions!$C$30*4-12)/2,-Assumptions!$D$34*100/2,-100)</f>
        <v>99.1079856396595</v>
      </c>
      <c r="F42" s="17" t="n">
        <f aca="false">RATE(Assumptions!$C$30*2,Assumptions!$D$34*100/2,-Assumptions!$E$34,100)*2</f>
        <v>0.0773997713205988</v>
      </c>
      <c r="G42" s="26" t="n">
        <f aca="false">SUM(I42:Y42)</f>
        <v>2857.24820495744</v>
      </c>
      <c r="H42" s="17" t="n">
        <f aca="false">(1+IRR(I42:Y42,IF(SUM(I42:Y42)&lt;0,-0.05,0.01)))^4-1</f>
        <v>0.0788974524707193</v>
      </c>
      <c r="I42" s="40" t="n">
        <f aca="false">IF(I$39=0,-Assumptions!$C$29*Assumptions!$E$34/100,0)+IF(AND(I$39&gt;=2,MOD(I$39,2)=0,I$39&lt;=IF($C42=1,$C$5-2,12)),Assumptions!$C$29*Assumptions!$D$34/2,0)+IF($C42=1,IF(I$39=$C$6,Assumptions!$C$29*$C$37,0),IF(I$39=12,Assumptions!$C$29*$E42/100,0))</f>
        <v>-12250</v>
      </c>
      <c r="J42" s="40" t="n">
        <f aca="false">IF(J$39=0,-Assumptions!$C$29*Assumptions!$E$34/100,0)+IF(AND(J$39&gt;=2,MOD(J$39,2)=0,J$39&lt;=IF($C42=1,$C$5-2,12)),Assumptions!$C$29*Assumptions!$D$34/2,0)+IF($C42=1,IF(J$39=$C$6,Assumptions!$C$29*$C$37,0),IF(J$39=12,Assumptions!$C$29*$E42/100,0))</f>
        <v>0</v>
      </c>
      <c r="K42" s="40" t="n">
        <f aca="false">IF(K$39=0,-Assumptions!$C$29*Assumptions!$E$34/100,0)+IF(AND(K$39&gt;=2,MOD(K$39,2)=0,K$39&lt;=IF($C42=1,$C$5-2,12)),Assumptions!$C$29*Assumptions!$D$34/2,0)+IF($C42=1,IF(K$39=$C$6,Assumptions!$C$29*$C$37,0),IF(K$39=12,Assumptions!$C$29*$E42/100,0))</f>
        <v>453.125</v>
      </c>
      <c r="L42" s="40" t="n">
        <f aca="false">IF(L$39=0,-Assumptions!$C$29*Assumptions!$E$34/100,0)+IF(AND(L$39&gt;=2,MOD(L$39,2)=0,L$39&lt;=IF($C42=1,$C$5-2,12)),Assumptions!$C$29*Assumptions!$D$34/2,0)+IF($C42=1,IF(L$39=$C$6,Assumptions!$C$29*$C$37,0),IF(L$39=12,Assumptions!$C$29*$E42/100,0))</f>
        <v>0</v>
      </c>
      <c r="M42" s="40" t="n">
        <f aca="false">IF(M$39=0,-Assumptions!$C$29*Assumptions!$E$34/100,0)+IF(AND(M$39&gt;=2,MOD(M$39,2)=0,M$39&lt;=IF($C42=1,$C$5-2,12)),Assumptions!$C$29*Assumptions!$D$34/2,0)+IF($C42=1,IF(M$39=$C$6,Assumptions!$C$29*$C$37,0),IF(M$39=12,Assumptions!$C$29*$E42/100,0))</f>
        <v>453.125</v>
      </c>
      <c r="N42" s="40" t="n">
        <f aca="false">IF(N$39=0,-Assumptions!$C$29*Assumptions!$E$34/100,0)+IF(AND(N$39&gt;=2,MOD(N$39,2)=0,N$39&lt;=IF($C42=1,$C$5-2,12)),Assumptions!$C$29*Assumptions!$D$34/2,0)+IF($C42=1,IF(N$39=$C$6,Assumptions!$C$29*$C$37,0),IF(N$39=12,Assumptions!$C$29*$E42/100,0))</f>
        <v>0</v>
      </c>
      <c r="O42" s="40" t="n">
        <f aca="false">IF(O$39=0,-Assumptions!$C$29*Assumptions!$E$34/100,0)+IF(AND(O$39&gt;=2,MOD(O$39,2)=0,O$39&lt;=IF($C42=1,$C$5-2,12)),Assumptions!$C$29*Assumptions!$D$34/2,0)+IF($C42=1,IF(O$39=$C$6,Assumptions!$C$29*$C$37,0),IF(O$39=12,Assumptions!$C$29*$E42/100,0))</f>
        <v>453.125</v>
      </c>
      <c r="P42" s="40" t="n">
        <f aca="false">IF(P$39=0,-Assumptions!$C$29*Assumptions!$E$34/100,0)+IF(AND(P$39&gt;=2,MOD(P$39,2)=0,P$39&lt;=IF($C42=1,$C$5-2,12)),Assumptions!$C$29*Assumptions!$D$34/2,0)+IF($C42=1,IF(P$39=$C$6,Assumptions!$C$29*$C$37,0),IF(P$39=12,Assumptions!$C$29*$E42/100,0))</f>
        <v>0</v>
      </c>
      <c r="Q42" s="40" t="n">
        <f aca="false">IF(Q$39=0,-Assumptions!$C$29*Assumptions!$E$34/100,0)+IF(AND(Q$39&gt;=2,MOD(Q$39,2)=0,Q$39&lt;=IF($C42=1,$C$5-2,12)),Assumptions!$C$29*Assumptions!$D$34/2,0)+IF($C42=1,IF(Q$39=$C$6,Assumptions!$C$29*$C$37,0),IF(Q$39=12,Assumptions!$C$29*$E42/100,0))</f>
        <v>453.125</v>
      </c>
      <c r="R42" s="40" t="n">
        <f aca="false">IF(R$39=0,-Assumptions!$C$29*Assumptions!$E$34/100,0)+IF(AND(R$39&gt;=2,MOD(R$39,2)=0,R$39&lt;=IF($C42=1,$C$5-2,12)),Assumptions!$C$29*Assumptions!$D$34/2,0)+IF($C42=1,IF(R$39=$C$6,Assumptions!$C$29*$C$37,0),IF(R$39=12,Assumptions!$C$29*$E42/100,0))</f>
        <v>0</v>
      </c>
      <c r="S42" s="40" t="n">
        <f aca="false">IF(S$39=0,-Assumptions!$C$29*Assumptions!$E$34/100,0)+IF(AND(S$39&gt;=2,MOD(S$39,2)=0,S$39&lt;=IF($C42=1,$C$5-2,12)),Assumptions!$C$29*Assumptions!$D$34/2,0)+IF($C42=1,IF(S$39=$C$6,Assumptions!$C$29*$C$37,0),IF(S$39=12,Assumptions!$C$29*$E42/100,0))</f>
        <v>453.125</v>
      </c>
      <c r="T42" s="40" t="n">
        <f aca="false">IF(T$39=0,-Assumptions!$C$29*Assumptions!$E$34/100,0)+IF(AND(T$39&gt;=2,MOD(T$39,2)=0,T$39&lt;=IF($C42=1,$C$5-2,12)),Assumptions!$C$29*Assumptions!$D$34/2,0)+IF($C42=1,IF(T$39=$C$6,Assumptions!$C$29*$C$37,0),IF(T$39=12,Assumptions!$C$29*$E42/100,0))</f>
        <v>0</v>
      </c>
      <c r="U42" s="40" t="n">
        <f aca="false">IF(U$39=0,-Assumptions!$C$29*Assumptions!$E$34/100,0)+IF(AND(U$39&gt;=2,MOD(U$39,2)=0,U$39&lt;=IF($C42=1,$C$5-2,12)),Assumptions!$C$29*Assumptions!$D$34/2,0)+IF($C42=1,IF(U$39=$C$6,Assumptions!$C$29*$C$37,0),IF(U$39=12,Assumptions!$C$29*$E42/100,0))</f>
        <v>12841.6232049574</v>
      </c>
      <c r="V42" s="40" t="n">
        <f aca="false">IF(V$39=0,-Assumptions!$C$29*Assumptions!$E$34/100,0)+IF(AND(V$39&gt;=2,MOD(V$39,2)=0,V$39&lt;=IF($C42=1,$C$5-2,12)),Assumptions!$C$29*Assumptions!$D$34/2,0)+IF($C42=1,IF(V$39=$C$6,Assumptions!$C$29*$C$37,0),IF(V$39=12,Assumptions!$C$29*$E42/100,0))</f>
        <v>0</v>
      </c>
      <c r="W42" s="40" t="n">
        <f aca="false">IF(W$39=0,-Assumptions!$C$29*Assumptions!$E$34/100,0)+IF(AND(W$39&gt;=2,MOD(W$39,2)=0,W$39&lt;=IF($C42=1,$C$5-2,12)),Assumptions!$C$29*Assumptions!$D$34/2,0)+IF($C42=1,IF(W$39=$C$6,Assumptions!$C$29*$C$37,0),IF(W$39=12,Assumptions!$C$29*$E42/100,0))</f>
        <v>0</v>
      </c>
      <c r="X42" s="40" t="n">
        <f aca="false">IF(X$39=0,-Assumptions!$C$29*Assumptions!$E$34/100,0)+IF(AND(X$39&gt;=2,MOD(X$39,2)=0,X$39&lt;=IF($C42=1,$C$5-2,12)),Assumptions!$C$29*Assumptions!$D$34/2,0)+IF($C42=1,IF(X$39=$C$6,Assumptions!$C$29*$C$37,0),IF(X$39=12,Assumptions!$C$29*$E42/100,0))</f>
        <v>0</v>
      </c>
      <c r="Y42" s="40" t="n">
        <f aca="false">IF(Y$39=0,-Assumptions!$C$29*Assumptions!$E$34/100,0)+IF(AND(Y$39&gt;=2,MOD(Y$39,2)=0,Y$39&lt;=IF($C42=1,$C$5-2,12)),Assumptions!$C$29*Assumptions!$D$34/2,0)+IF($C42=1,IF(Y$39=$C$6,Assumptions!$C$29*$C$37,0),IF(Y$39=12,Assumptions!$C$29*$E42/100,0))</f>
        <v>0</v>
      </c>
    </row>
    <row r="43" customFormat="false" ht="15" hidden="false" customHeight="false" outlineLevel="0" collapsed="false">
      <c r="B43" s="9" t="s">
        <v>50</v>
      </c>
      <c r="C43" s="28" t="n">
        <f aca="false">IF($C$12&lt;=$C$38,1,0)</f>
        <v>0</v>
      </c>
      <c r="D43" s="19" t="n">
        <f aca="false">Assumptions!$F$35</f>
        <v>12187.5</v>
      </c>
      <c r="E43" s="39" t="n">
        <f aca="false">PV($F43/2,(Assumptions!$C$30*4-12)/2,-Assumptions!$D$35*100/2,-100)</f>
        <v>98.8794329841845</v>
      </c>
      <c r="F43" s="17" t="n">
        <f aca="false">RATE(Assumptions!$C$30*2,Assumptions!$D$35*100/2,-Assumptions!$E$35,100)*2</f>
        <v>0.0811827080590467</v>
      </c>
      <c r="G43" s="26" t="n">
        <f aca="false">SUM(I43:Y43)</f>
        <v>2984.92912302306</v>
      </c>
      <c r="H43" s="17" t="n">
        <f aca="false">(1+IRR(I43:Y43,IF(SUM(I43:Y43)&lt;0,-0.05,0.01)))^4-1</f>
        <v>0.0828303660809961</v>
      </c>
      <c r="I43" s="40" t="n">
        <f aca="false">IF(I$39=0,-Assumptions!$C$29*Assumptions!$E$35/100,0)+IF(AND(I$39&gt;=2,MOD(I$39,2)=0,I$39&lt;=IF($C43=1,$C$5-2,12)),Assumptions!$C$29*Assumptions!$D$35/2,0)+IF($C43=1,IF(I$39=$C$6,Assumptions!$C$29*$C$37,0),IF(I$39=12,Assumptions!$C$29*$E43/100,0))</f>
        <v>-12187.5</v>
      </c>
      <c r="J43" s="40" t="n">
        <f aca="false">IF(J$39=0,-Assumptions!$C$29*Assumptions!$E$35/100,0)+IF(AND(J$39&gt;=2,MOD(J$39,2)=0,J$39&lt;=IF($C43=1,$C$5-2,12)),Assumptions!$C$29*Assumptions!$D$35/2,0)+IF($C43=1,IF(J$39=$C$6,Assumptions!$C$29*$C$37,0),IF(J$39=12,Assumptions!$C$29*$E43/100,0))</f>
        <v>0</v>
      </c>
      <c r="K43" s="40" t="n">
        <f aca="false">IF(K$39=0,-Assumptions!$C$29*Assumptions!$E$35/100,0)+IF(AND(K$39&gt;=2,MOD(K$39,2)=0,K$39&lt;=IF($C43=1,$C$5-2,12)),Assumptions!$C$29*Assumptions!$D$35/2,0)+IF($C43=1,IF(K$39=$C$6,Assumptions!$C$29*$C$37,0),IF(K$39=12,Assumptions!$C$29*$E43/100,0))</f>
        <v>468.75</v>
      </c>
      <c r="L43" s="40" t="n">
        <f aca="false">IF(L$39=0,-Assumptions!$C$29*Assumptions!$E$35/100,0)+IF(AND(L$39&gt;=2,MOD(L$39,2)=0,L$39&lt;=IF($C43=1,$C$5-2,12)),Assumptions!$C$29*Assumptions!$D$35/2,0)+IF($C43=1,IF(L$39=$C$6,Assumptions!$C$29*$C$37,0),IF(L$39=12,Assumptions!$C$29*$E43/100,0))</f>
        <v>0</v>
      </c>
      <c r="M43" s="40" t="n">
        <f aca="false">IF(M$39=0,-Assumptions!$C$29*Assumptions!$E$35/100,0)+IF(AND(M$39&gt;=2,MOD(M$39,2)=0,M$39&lt;=IF($C43=1,$C$5-2,12)),Assumptions!$C$29*Assumptions!$D$35/2,0)+IF($C43=1,IF(M$39=$C$6,Assumptions!$C$29*$C$37,0),IF(M$39=12,Assumptions!$C$29*$E43/100,0))</f>
        <v>468.75</v>
      </c>
      <c r="N43" s="40" t="n">
        <f aca="false">IF(N$39=0,-Assumptions!$C$29*Assumptions!$E$35/100,0)+IF(AND(N$39&gt;=2,MOD(N$39,2)=0,N$39&lt;=IF($C43=1,$C$5-2,12)),Assumptions!$C$29*Assumptions!$D$35/2,0)+IF($C43=1,IF(N$39=$C$6,Assumptions!$C$29*$C$37,0),IF(N$39=12,Assumptions!$C$29*$E43/100,0))</f>
        <v>0</v>
      </c>
      <c r="O43" s="40" t="n">
        <f aca="false">IF(O$39=0,-Assumptions!$C$29*Assumptions!$E$35/100,0)+IF(AND(O$39&gt;=2,MOD(O$39,2)=0,O$39&lt;=IF($C43=1,$C$5-2,12)),Assumptions!$C$29*Assumptions!$D$35/2,0)+IF($C43=1,IF(O$39=$C$6,Assumptions!$C$29*$C$37,0),IF(O$39=12,Assumptions!$C$29*$E43/100,0))</f>
        <v>468.75</v>
      </c>
      <c r="P43" s="40" t="n">
        <f aca="false">IF(P$39=0,-Assumptions!$C$29*Assumptions!$E$35/100,0)+IF(AND(P$39&gt;=2,MOD(P$39,2)=0,P$39&lt;=IF($C43=1,$C$5-2,12)),Assumptions!$C$29*Assumptions!$D$35/2,0)+IF($C43=1,IF(P$39=$C$6,Assumptions!$C$29*$C$37,0),IF(P$39=12,Assumptions!$C$29*$E43/100,0))</f>
        <v>0</v>
      </c>
      <c r="Q43" s="40" t="n">
        <f aca="false">IF(Q$39=0,-Assumptions!$C$29*Assumptions!$E$35/100,0)+IF(AND(Q$39&gt;=2,MOD(Q$39,2)=0,Q$39&lt;=IF($C43=1,$C$5-2,12)),Assumptions!$C$29*Assumptions!$D$35/2,0)+IF($C43=1,IF(Q$39=$C$6,Assumptions!$C$29*$C$37,0),IF(Q$39=12,Assumptions!$C$29*$E43/100,0))</f>
        <v>468.75</v>
      </c>
      <c r="R43" s="40" t="n">
        <f aca="false">IF(R$39=0,-Assumptions!$C$29*Assumptions!$E$35/100,0)+IF(AND(R$39&gt;=2,MOD(R$39,2)=0,R$39&lt;=IF($C43=1,$C$5-2,12)),Assumptions!$C$29*Assumptions!$D$35/2,0)+IF($C43=1,IF(R$39=$C$6,Assumptions!$C$29*$C$37,0),IF(R$39=12,Assumptions!$C$29*$E43/100,0))</f>
        <v>0</v>
      </c>
      <c r="S43" s="40" t="n">
        <f aca="false">IF(S$39=0,-Assumptions!$C$29*Assumptions!$E$35/100,0)+IF(AND(S$39&gt;=2,MOD(S$39,2)=0,S$39&lt;=IF($C43=1,$C$5-2,12)),Assumptions!$C$29*Assumptions!$D$35/2,0)+IF($C43=1,IF(S$39=$C$6,Assumptions!$C$29*$C$37,0),IF(S$39=12,Assumptions!$C$29*$E43/100,0))</f>
        <v>468.75</v>
      </c>
      <c r="T43" s="40" t="n">
        <f aca="false">IF(T$39=0,-Assumptions!$C$29*Assumptions!$E$35/100,0)+IF(AND(T$39&gt;=2,MOD(T$39,2)=0,T$39&lt;=IF($C43=1,$C$5-2,12)),Assumptions!$C$29*Assumptions!$D$35/2,0)+IF($C43=1,IF(T$39=$C$6,Assumptions!$C$29*$C$37,0),IF(T$39=12,Assumptions!$C$29*$E43/100,0))</f>
        <v>0</v>
      </c>
      <c r="U43" s="40" t="n">
        <f aca="false">IF(U$39=0,-Assumptions!$C$29*Assumptions!$E$35/100,0)+IF(AND(U$39&gt;=2,MOD(U$39,2)=0,U$39&lt;=IF($C43=1,$C$5-2,12)),Assumptions!$C$29*Assumptions!$D$35/2,0)+IF($C43=1,IF(U$39=$C$6,Assumptions!$C$29*$C$37,0),IF(U$39=12,Assumptions!$C$29*$E43/100,0))</f>
        <v>12828.6791230231</v>
      </c>
      <c r="V43" s="40" t="n">
        <f aca="false">IF(V$39=0,-Assumptions!$C$29*Assumptions!$E$35/100,0)+IF(AND(V$39&gt;=2,MOD(V$39,2)=0,V$39&lt;=IF($C43=1,$C$5-2,12)),Assumptions!$C$29*Assumptions!$D$35/2,0)+IF($C43=1,IF(V$39=$C$6,Assumptions!$C$29*$C$37,0),IF(V$39=12,Assumptions!$C$29*$E43/100,0))</f>
        <v>0</v>
      </c>
      <c r="W43" s="40" t="n">
        <f aca="false">IF(W$39=0,-Assumptions!$C$29*Assumptions!$E$35/100,0)+IF(AND(W$39&gt;=2,MOD(W$39,2)=0,W$39&lt;=IF($C43=1,$C$5-2,12)),Assumptions!$C$29*Assumptions!$D$35/2,0)+IF($C43=1,IF(W$39=$C$6,Assumptions!$C$29*$C$37,0),IF(W$39=12,Assumptions!$C$29*$E43/100,0))</f>
        <v>0</v>
      </c>
      <c r="X43" s="40" t="n">
        <f aca="false">IF(X$39=0,-Assumptions!$C$29*Assumptions!$E$35/100,0)+IF(AND(X$39&gt;=2,MOD(X$39,2)=0,X$39&lt;=IF($C43=1,$C$5-2,12)),Assumptions!$C$29*Assumptions!$D$35/2,0)+IF($C43=1,IF(X$39=$C$6,Assumptions!$C$29*$C$37,0),IF(X$39=12,Assumptions!$C$29*$E43/100,0))</f>
        <v>0</v>
      </c>
      <c r="Y43" s="40" t="n">
        <f aca="false">IF(Y$39=0,-Assumptions!$C$29*Assumptions!$E$35/100,0)+IF(AND(Y$39&gt;=2,MOD(Y$39,2)=0,Y$39&lt;=IF($C43=1,$C$5-2,12)),Assumptions!$C$29*Assumptions!$D$35/2,0)+IF($C43=1,IF(Y$39=$C$6,Assumptions!$C$29*$C$37,0),IF(Y$39=12,Assumptions!$C$29*$E43/100,0))</f>
        <v>0</v>
      </c>
    </row>
    <row r="44" customFormat="false" ht="15" hidden="false" customHeight="false" outlineLevel="0" collapsed="false">
      <c r="B44" s="9" t="s">
        <v>51</v>
      </c>
      <c r="C44" s="28" t="n">
        <f aca="false">IF($C$13&lt;=$C$38,1,0)</f>
        <v>0</v>
      </c>
      <c r="D44" s="19" t="n">
        <f aca="false">Assumptions!$F$36</f>
        <v>12125</v>
      </c>
      <c r="E44" s="39" t="n">
        <f aca="false">PV($F44/2,(Assumptions!$C$30*4-12)/2,-Assumptions!$D$36*100/2,-100)</f>
        <v>98.6441572961372</v>
      </c>
      <c r="F44" s="17" t="n">
        <f aca="false">RATE(Assumptions!$C$30*2,Assumptions!$D$36*100/2,-Assumptions!$E$36,100)*2</f>
        <v>0.0875368825411204</v>
      </c>
      <c r="G44" s="26" t="n">
        <f aca="false">SUM(I44:Y44)</f>
        <v>3205.51966201715</v>
      </c>
      <c r="H44" s="17" t="n">
        <f aca="false">(1+IRR(I44:Y44,IF(SUM(I44:Y44)&lt;0,-0.05,0.01)))^4-1</f>
        <v>0.0894525589923749</v>
      </c>
      <c r="I44" s="40" t="n">
        <f aca="false">IF(I$39=0,-Assumptions!$C$29*Assumptions!$E$36/100,0)+IF(AND(I$39&gt;=2,MOD(I$39,2)=0,I$39&lt;=IF($C44=1,$C$5-2,12)),Assumptions!$C$29*Assumptions!$D$36/2,0)+IF($C44=1,IF(I$39=$C$6,Assumptions!$C$29*$C$37,0),IF(I$39=12,Assumptions!$C$29*$E44/100,0))</f>
        <v>-12125</v>
      </c>
      <c r="J44" s="40" t="n">
        <f aca="false">IF(J$39=0,-Assumptions!$C$29*Assumptions!$E$36/100,0)+IF(AND(J$39&gt;=2,MOD(J$39,2)=0,J$39&lt;=IF($C44=1,$C$5-2,12)),Assumptions!$C$29*Assumptions!$D$36/2,0)+IF($C44=1,IF(J$39=$C$6,Assumptions!$C$29*$C$37,0),IF(J$39=12,Assumptions!$C$29*$E44/100,0))</f>
        <v>0</v>
      </c>
      <c r="K44" s="40" t="n">
        <f aca="false">IF(K$39=0,-Assumptions!$C$29*Assumptions!$E$36/100,0)+IF(AND(K$39&gt;=2,MOD(K$39,2)=0,K$39&lt;=IF($C44=1,$C$5-2,12)),Assumptions!$C$29*Assumptions!$D$36/2,0)+IF($C44=1,IF(K$39=$C$6,Assumptions!$C$29*$C$37,0),IF(K$39=12,Assumptions!$C$29*$E44/100,0))</f>
        <v>500</v>
      </c>
      <c r="L44" s="40" t="n">
        <f aca="false">IF(L$39=0,-Assumptions!$C$29*Assumptions!$E$36/100,0)+IF(AND(L$39&gt;=2,MOD(L$39,2)=0,L$39&lt;=IF($C44=1,$C$5-2,12)),Assumptions!$C$29*Assumptions!$D$36/2,0)+IF($C44=1,IF(L$39=$C$6,Assumptions!$C$29*$C$37,0),IF(L$39=12,Assumptions!$C$29*$E44/100,0))</f>
        <v>0</v>
      </c>
      <c r="M44" s="40" t="n">
        <f aca="false">IF(M$39=0,-Assumptions!$C$29*Assumptions!$E$36/100,0)+IF(AND(M$39&gt;=2,MOD(M$39,2)=0,M$39&lt;=IF($C44=1,$C$5-2,12)),Assumptions!$C$29*Assumptions!$D$36/2,0)+IF($C44=1,IF(M$39=$C$6,Assumptions!$C$29*$C$37,0),IF(M$39=12,Assumptions!$C$29*$E44/100,0))</f>
        <v>500</v>
      </c>
      <c r="N44" s="40" t="n">
        <f aca="false">IF(N$39=0,-Assumptions!$C$29*Assumptions!$E$36/100,0)+IF(AND(N$39&gt;=2,MOD(N$39,2)=0,N$39&lt;=IF($C44=1,$C$5-2,12)),Assumptions!$C$29*Assumptions!$D$36/2,0)+IF($C44=1,IF(N$39=$C$6,Assumptions!$C$29*$C$37,0),IF(N$39=12,Assumptions!$C$29*$E44/100,0))</f>
        <v>0</v>
      </c>
      <c r="O44" s="40" t="n">
        <f aca="false">IF(O$39=0,-Assumptions!$C$29*Assumptions!$E$36/100,0)+IF(AND(O$39&gt;=2,MOD(O$39,2)=0,O$39&lt;=IF($C44=1,$C$5-2,12)),Assumptions!$C$29*Assumptions!$D$36/2,0)+IF($C44=1,IF(O$39=$C$6,Assumptions!$C$29*$C$37,0),IF(O$39=12,Assumptions!$C$29*$E44/100,0))</f>
        <v>500</v>
      </c>
      <c r="P44" s="40" t="n">
        <f aca="false">IF(P$39=0,-Assumptions!$C$29*Assumptions!$E$36/100,0)+IF(AND(P$39&gt;=2,MOD(P$39,2)=0,P$39&lt;=IF($C44=1,$C$5-2,12)),Assumptions!$C$29*Assumptions!$D$36/2,0)+IF($C44=1,IF(P$39=$C$6,Assumptions!$C$29*$C$37,0),IF(P$39=12,Assumptions!$C$29*$E44/100,0))</f>
        <v>0</v>
      </c>
      <c r="Q44" s="40" t="n">
        <f aca="false">IF(Q$39=0,-Assumptions!$C$29*Assumptions!$E$36/100,0)+IF(AND(Q$39&gt;=2,MOD(Q$39,2)=0,Q$39&lt;=IF($C44=1,$C$5-2,12)),Assumptions!$C$29*Assumptions!$D$36/2,0)+IF($C44=1,IF(Q$39=$C$6,Assumptions!$C$29*$C$37,0),IF(Q$39=12,Assumptions!$C$29*$E44/100,0))</f>
        <v>500</v>
      </c>
      <c r="R44" s="40" t="n">
        <f aca="false">IF(R$39=0,-Assumptions!$C$29*Assumptions!$E$36/100,0)+IF(AND(R$39&gt;=2,MOD(R$39,2)=0,R$39&lt;=IF($C44=1,$C$5-2,12)),Assumptions!$C$29*Assumptions!$D$36/2,0)+IF($C44=1,IF(R$39=$C$6,Assumptions!$C$29*$C$37,0),IF(R$39=12,Assumptions!$C$29*$E44/100,0))</f>
        <v>0</v>
      </c>
      <c r="S44" s="40" t="n">
        <f aca="false">IF(S$39=0,-Assumptions!$C$29*Assumptions!$E$36/100,0)+IF(AND(S$39&gt;=2,MOD(S$39,2)=0,S$39&lt;=IF($C44=1,$C$5-2,12)),Assumptions!$C$29*Assumptions!$D$36/2,0)+IF($C44=1,IF(S$39=$C$6,Assumptions!$C$29*$C$37,0),IF(S$39=12,Assumptions!$C$29*$E44/100,0))</f>
        <v>500</v>
      </c>
      <c r="T44" s="40" t="n">
        <f aca="false">IF(T$39=0,-Assumptions!$C$29*Assumptions!$E$36/100,0)+IF(AND(T$39&gt;=2,MOD(T$39,2)=0,T$39&lt;=IF($C44=1,$C$5-2,12)),Assumptions!$C$29*Assumptions!$D$36/2,0)+IF($C44=1,IF(T$39=$C$6,Assumptions!$C$29*$C$37,0),IF(T$39=12,Assumptions!$C$29*$E44/100,0))</f>
        <v>0</v>
      </c>
      <c r="U44" s="40" t="n">
        <f aca="false">IF(U$39=0,-Assumptions!$C$29*Assumptions!$E$36/100,0)+IF(AND(U$39&gt;=2,MOD(U$39,2)=0,U$39&lt;=IF($C44=1,$C$5-2,12)),Assumptions!$C$29*Assumptions!$D$36/2,0)+IF($C44=1,IF(U$39=$C$6,Assumptions!$C$29*$C$37,0),IF(U$39=12,Assumptions!$C$29*$E44/100,0))</f>
        <v>12830.5196620172</v>
      </c>
      <c r="V44" s="40" t="n">
        <f aca="false">IF(V$39=0,-Assumptions!$C$29*Assumptions!$E$36/100,0)+IF(AND(V$39&gt;=2,MOD(V$39,2)=0,V$39&lt;=IF($C44=1,$C$5-2,12)),Assumptions!$C$29*Assumptions!$D$36/2,0)+IF($C44=1,IF(V$39=$C$6,Assumptions!$C$29*$C$37,0),IF(V$39=12,Assumptions!$C$29*$E44/100,0))</f>
        <v>0</v>
      </c>
      <c r="W44" s="40" t="n">
        <f aca="false">IF(W$39=0,-Assumptions!$C$29*Assumptions!$E$36/100,0)+IF(AND(W$39&gt;=2,MOD(W$39,2)=0,W$39&lt;=IF($C44=1,$C$5-2,12)),Assumptions!$C$29*Assumptions!$D$36/2,0)+IF($C44=1,IF(W$39=$C$6,Assumptions!$C$29*$C$37,0),IF(W$39=12,Assumptions!$C$29*$E44/100,0))</f>
        <v>0</v>
      </c>
      <c r="X44" s="40" t="n">
        <f aca="false">IF(X$39=0,-Assumptions!$C$29*Assumptions!$E$36/100,0)+IF(AND(X$39&gt;=2,MOD(X$39,2)=0,X$39&lt;=IF($C44=1,$C$5-2,12)),Assumptions!$C$29*Assumptions!$D$36/2,0)+IF($C44=1,IF(X$39=$C$6,Assumptions!$C$29*$C$37,0),IF(X$39=12,Assumptions!$C$29*$E44/100,0))</f>
        <v>0</v>
      </c>
      <c r="Y44" s="40" t="n">
        <f aca="false">IF(Y$39=0,-Assumptions!$C$29*Assumptions!$E$36/100,0)+IF(AND(Y$39&gt;=2,MOD(Y$39,2)=0,Y$39&lt;=IF($C44=1,$C$5-2,12)),Assumptions!$C$29*Assumptions!$D$36/2,0)+IF($C44=1,IF(Y$39=$C$6,Assumptions!$C$29*$C$37,0),IF(Y$39=12,Assumptions!$C$29*$E44/100,0))</f>
        <v>0</v>
      </c>
    </row>
    <row r="45" customFormat="false" ht="15" hidden="false" customHeight="false" outlineLevel="0" collapsed="false">
      <c r="B45" s="9" t="s">
        <v>52</v>
      </c>
      <c r="C45" s="28" t="n">
        <f aca="false">IF($C$14&lt;=$C$38,1,0)</f>
        <v>1</v>
      </c>
      <c r="D45" s="19" t="n">
        <f aca="false">Assumptions!$F$37</f>
        <v>11750</v>
      </c>
      <c r="E45" s="39" t="n">
        <f aca="false">PV($F45/2,(Assumptions!$C$30*4-12)/2,-Assumptions!$D$37*100/2,-100)</f>
        <v>97.2427387979842</v>
      </c>
      <c r="F45" s="17" t="n">
        <f aca="false">RATE(Assumptions!$C$30*2,Assumptions!$D$37*100/2,-Assumptions!$E$37,100)*2</f>
        <v>0.100561753609911</v>
      </c>
      <c r="G45" s="26" t="n">
        <f aca="false">SUM(I45:Y45)</f>
        <v>-7562.5</v>
      </c>
      <c r="H45" s="17" t="n">
        <f aca="false">(1+IRR(I45:Y45,IF(SUM(I45:Y45)&lt;0,-0.05,0.01)))^4-1</f>
        <v>-0.377547951583126</v>
      </c>
      <c r="I45" s="40" t="n">
        <f aca="false">IF(I$39=0,-Assumptions!$C$29*Assumptions!$E$37/100,0)+IF(AND(I$39&gt;=2,MOD(I$39,2)=0,I$39&lt;=IF($C45=1,$C$5-2,12)),Assumptions!$C$29*Assumptions!$D$37/2,0)+IF($C45=1,IF(I$39=$C$6,Assumptions!$C$29*$C$37,0),IF(I$39=12,Assumptions!$C$29*$E45/100,0))</f>
        <v>-11750</v>
      </c>
      <c r="J45" s="40" t="n">
        <f aca="false">IF(J$39=0,-Assumptions!$C$29*Assumptions!$E$37/100,0)+IF(AND(J$39&gt;=2,MOD(J$39,2)=0,J$39&lt;=IF($C45=1,$C$5-2,12)),Assumptions!$C$29*Assumptions!$D$37/2,0)+IF($C45=1,IF(J$39=$C$6,Assumptions!$C$29*$C$37,0),IF(J$39=12,Assumptions!$C$29*$E45/100,0))</f>
        <v>0</v>
      </c>
      <c r="K45" s="40" t="n">
        <f aca="false">IF(K$39=0,-Assumptions!$C$29*Assumptions!$E$37/100,0)+IF(AND(K$39&gt;=2,MOD(K$39,2)=0,K$39&lt;=IF($C45=1,$C$5-2,12)),Assumptions!$C$29*Assumptions!$D$37/2,0)+IF($C45=1,IF(K$39=$C$6,Assumptions!$C$29*$C$37,0),IF(K$39=12,Assumptions!$C$29*$E45/100,0))</f>
        <v>531.25</v>
      </c>
      <c r="L45" s="40" t="n">
        <f aca="false">IF(L$39=0,-Assumptions!$C$29*Assumptions!$E$37/100,0)+IF(AND(L$39&gt;=2,MOD(L$39,2)=0,L$39&lt;=IF($C45=1,$C$5-2,12)),Assumptions!$C$29*Assumptions!$D$37/2,0)+IF($C45=1,IF(L$39=$C$6,Assumptions!$C$29*$C$37,0),IF(L$39=12,Assumptions!$C$29*$E45/100,0))</f>
        <v>0</v>
      </c>
      <c r="M45" s="40" t="n">
        <f aca="false">IF(M$39=0,-Assumptions!$C$29*Assumptions!$E$37/100,0)+IF(AND(M$39&gt;=2,MOD(M$39,2)=0,M$39&lt;=IF($C45=1,$C$5-2,12)),Assumptions!$C$29*Assumptions!$D$37/2,0)+IF($C45=1,IF(M$39=$C$6,Assumptions!$C$29*$C$37,0),IF(M$39=12,Assumptions!$C$29*$E45/100,0))</f>
        <v>531.25</v>
      </c>
      <c r="N45" s="40" t="n">
        <f aca="false">IF(N$39=0,-Assumptions!$C$29*Assumptions!$E$37/100,0)+IF(AND(N$39&gt;=2,MOD(N$39,2)=0,N$39&lt;=IF($C45=1,$C$5-2,12)),Assumptions!$C$29*Assumptions!$D$37/2,0)+IF($C45=1,IF(N$39=$C$6,Assumptions!$C$29*$C$37,0),IF(N$39=12,Assumptions!$C$29*$E45/100,0))</f>
        <v>0</v>
      </c>
      <c r="O45" s="40" t="n">
        <f aca="false">IF(O$39=0,-Assumptions!$C$29*Assumptions!$E$37/100,0)+IF(AND(O$39&gt;=2,MOD(O$39,2)=0,O$39&lt;=IF($C45=1,$C$5-2,12)),Assumptions!$C$29*Assumptions!$D$37/2,0)+IF($C45=1,IF(O$39=$C$6,Assumptions!$C$29*$C$37,0),IF(O$39=12,Assumptions!$C$29*$E45/100,0))</f>
        <v>0</v>
      </c>
      <c r="P45" s="40" t="n">
        <f aca="false">IF(P$39=0,-Assumptions!$C$29*Assumptions!$E$37/100,0)+IF(AND(P$39&gt;=2,MOD(P$39,2)=0,P$39&lt;=IF($C45=1,$C$5-2,12)),Assumptions!$C$29*Assumptions!$D$37/2,0)+IF($C45=1,IF(P$39=$C$6,Assumptions!$C$29*$C$37,0),IF(P$39=12,Assumptions!$C$29*$E45/100,0))</f>
        <v>0</v>
      </c>
      <c r="Q45" s="40" t="n">
        <f aca="false">IF(Q$39=0,-Assumptions!$C$29*Assumptions!$E$37/100,0)+IF(AND(Q$39&gt;=2,MOD(Q$39,2)=0,Q$39&lt;=IF($C45=1,$C$5-2,12)),Assumptions!$C$29*Assumptions!$D$37/2,0)+IF($C45=1,IF(Q$39=$C$6,Assumptions!$C$29*$C$37,0),IF(Q$39=12,Assumptions!$C$29*$E45/100,0))</f>
        <v>0</v>
      </c>
      <c r="R45" s="40" t="n">
        <f aca="false">IF(R$39=0,-Assumptions!$C$29*Assumptions!$E$37/100,0)+IF(AND(R$39&gt;=2,MOD(R$39,2)=0,R$39&lt;=IF($C45=1,$C$5-2,12)),Assumptions!$C$29*Assumptions!$D$37/2,0)+IF($C45=1,IF(R$39=$C$6,Assumptions!$C$29*$C$37,0),IF(R$39=12,Assumptions!$C$29*$E45/100,0))</f>
        <v>0</v>
      </c>
      <c r="S45" s="40" t="n">
        <f aca="false">IF(S$39=0,-Assumptions!$C$29*Assumptions!$E$37/100,0)+IF(AND(S$39&gt;=2,MOD(S$39,2)=0,S$39&lt;=IF($C45=1,$C$5-2,12)),Assumptions!$C$29*Assumptions!$D$37/2,0)+IF($C45=1,IF(S$39=$C$6,Assumptions!$C$29*$C$37,0),IF(S$39=12,Assumptions!$C$29*$E45/100,0))</f>
        <v>3125</v>
      </c>
      <c r="T45" s="40" t="n">
        <f aca="false">IF(T$39=0,-Assumptions!$C$29*Assumptions!$E$37/100,0)+IF(AND(T$39&gt;=2,MOD(T$39,2)=0,T$39&lt;=IF($C45=1,$C$5-2,12)),Assumptions!$C$29*Assumptions!$D$37/2,0)+IF($C45=1,IF(T$39=$C$6,Assumptions!$C$29*$C$37,0),IF(T$39=12,Assumptions!$C$29*$E45/100,0))</f>
        <v>0</v>
      </c>
      <c r="U45" s="40" t="n">
        <f aca="false">IF(U$39=0,-Assumptions!$C$29*Assumptions!$E$37/100,0)+IF(AND(U$39&gt;=2,MOD(U$39,2)=0,U$39&lt;=IF($C45=1,$C$5-2,12)),Assumptions!$C$29*Assumptions!$D$37/2,0)+IF($C45=1,IF(U$39=$C$6,Assumptions!$C$29*$C$37,0),IF(U$39=12,Assumptions!$C$29*$E45/100,0))</f>
        <v>0</v>
      </c>
      <c r="V45" s="40" t="n">
        <f aca="false">IF(V$39=0,-Assumptions!$C$29*Assumptions!$E$37/100,0)+IF(AND(V$39&gt;=2,MOD(V$39,2)=0,V$39&lt;=IF($C45=1,$C$5-2,12)),Assumptions!$C$29*Assumptions!$D$37/2,0)+IF($C45=1,IF(V$39=$C$6,Assumptions!$C$29*$C$37,0),IF(V$39=12,Assumptions!$C$29*$E45/100,0))</f>
        <v>0</v>
      </c>
      <c r="W45" s="40" t="n">
        <f aca="false">IF(W$39=0,-Assumptions!$C$29*Assumptions!$E$37/100,0)+IF(AND(W$39&gt;=2,MOD(W$39,2)=0,W$39&lt;=IF($C45=1,$C$5-2,12)),Assumptions!$C$29*Assumptions!$D$37/2,0)+IF($C45=1,IF(W$39=$C$6,Assumptions!$C$29*$C$37,0),IF(W$39=12,Assumptions!$C$29*$E45/100,0))</f>
        <v>0</v>
      </c>
      <c r="X45" s="40" t="n">
        <f aca="false">IF(X$39=0,-Assumptions!$C$29*Assumptions!$E$37/100,0)+IF(AND(X$39&gt;=2,MOD(X$39,2)=0,X$39&lt;=IF($C45=1,$C$5-2,12)),Assumptions!$C$29*Assumptions!$D$37/2,0)+IF($C45=1,IF(X$39=$C$6,Assumptions!$C$29*$C$37,0),IF(X$39=12,Assumptions!$C$29*$E45/100,0))</f>
        <v>0</v>
      </c>
      <c r="Y45" s="40" t="n">
        <f aca="false">IF(Y$39=0,-Assumptions!$C$29*Assumptions!$E$37/100,0)+IF(AND(Y$39&gt;=2,MOD(Y$39,2)=0,Y$39&lt;=IF($C45=1,$C$5-2,12)),Assumptions!$C$29*Assumptions!$D$37/2,0)+IF($C45=1,IF(Y$39=$C$6,Assumptions!$C$29*$C$37,0),IF(Y$39=12,Assumptions!$C$29*$E45/100,0))</f>
        <v>0</v>
      </c>
    </row>
    <row r="46" customFormat="false" ht="15" hidden="false" customHeight="false" outlineLevel="0" collapsed="false">
      <c r="B46" s="29" t="s">
        <v>154</v>
      </c>
      <c r="D46" s="41" t="n">
        <f aca="false">SUM(D40:D45)</f>
        <v>73000</v>
      </c>
      <c r="G46" s="41" t="n">
        <f aca="false">SUM(I46:Y46)</f>
        <v>6815.53487245816</v>
      </c>
      <c r="H46" s="30" t="n">
        <f aca="false">(1+IRR(I46:Y46,IF(SUM(I46:Y46)&lt;0,-0.05,0.01)))^4-1</f>
        <v>0.0332428773936524</v>
      </c>
      <c r="I46" s="42" t="n">
        <f aca="false">SUM(I40:I45)</f>
        <v>-73000</v>
      </c>
      <c r="J46" s="42" t="n">
        <f aca="false">SUM(J40:J45)</f>
        <v>0</v>
      </c>
      <c r="K46" s="42" t="n">
        <f aca="false">SUM(K40:K45)</f>
        <v>2812.5</v>
      </c>
      <c r="L46" s="42" t="n">
        <f aca="false">SUM(L40:L45)</f>
        <v>0</v>
      </c>
      <c r="M46" s="42" t="n">
        <f aca="false">SUM(M40:M45)</f>
        <v>2812.5</v>
      </c>
      <c r="N46" s="42" t="n">
        <f aca="false">SUM(N40:N45)</f>
        <v>0</v>
      </c>
      <c r="O46" s="42" t="n">
        <f aca="false">SUM(O40:O45)</f>
        <v>2281.25</v>
      </c>
      <c r="P46" s="42" t="n">
        <f aca="false">SUM(P40:P45)</f>
        <v>0</v>
      </c>
      <c r="Q46" s="42" t="n">
        <f aca="false">SUM(Q40:Q45)</f>
        <v>2281.25</v>
      </c>
      <c r="R46" s="42" t="n">
        <f aca="false">SUM(R40:R45)</f>
        <v>0</v>
      </c>
      <c r="S46" s="42" t="n">
        <f aca="false">SUM(S40:S45)</f>
        <v>5406.25</v>
      </c>
      <c r="T46" s="42" t="n">
        <f aca="false">SUM(T40:T45)</f>
        <v>0</v>
      </c>
      <c r="U46" s="42" t="n">
        <f aca="false">SUM(U40:U45)</f>
        <v>64221.7848724582</v>
      </c>
      <c r="V46" s="42" t="n">
        <f aca="false">SUM(V40:V45)</f>
        <v>0</v>
      </c>
      <c r="W46" s="42" t="n">
        <f aca="false">SUM(W40:W45)</f>
        <v>0</v>
      </c>
      <c r="X46" s="42" t="n">
        <f aca="false">SUM(X40:X45)</f>
        <v>0</v>
      </c>
      <c r="Y46" s="42" t="n">
        <f aca="false">SUM(Y40:Y45)</f>
        <v>0</v>
      </c>
    </row>
    <row r="48" customFormat="false" ht="15" hidden="false" customHeight="false" outlineLevel="0" collapsed="false">
      <c r="B48" s="7" t="s">
        <v>156</v>
      </c>
      <c r="C48" s="8"/>
      <c r="D48" s="8"/>
      <c r="E48" s="8"/>
      <c r="F48" s="8"/>
      <c r="G48" s="8"/>
      <c r="H48" s="8"/>
      <c r="I48" s="8"/>
      <c r="J48" s="8"/>
      <c r="K48" s="8"/>
      <c r="L48" s="8"/>
      <c r="M48" s="8"/>
      <c r="N48" s="8"/>
      <c r="O48" s="8"/>
      <c r="P48" s="8"/>
      <c r="Q48" s="8"/>
      <c r="R48" s="8"/>
      <c r="S48" s="8"/>
      <c r="T48" s="8"/>
      <c r="U48" s="8"/>
      <c r="V48" s="8"/>
      <c r="W48" s="8"/>
      <c r="X48" s="8"/>
      <c r="Y48" s="8"/>
    </row>
    <row r="49" customFormat="false" ht="15" hidden="false" customHeight="false" outlineLevel="0" collapsed="false">
      <c r="B49" s="9" t="s">
        <v>117</v>
      </c>
      <c r="C49" s="22" t="n">
        <f aca="false">$B$18</f>
        <v>0.25</v>
      </c>
    </row>
    <row r="50" customFormat="false" ht="15" hidden="false" customHeight="false" outlineLevel="0" collapsed="false">
      <c r="B50" s="9" t="s">
        <v>148</v>
      </c>
      <c r="C50" s="28" t="n">
        <f aca="false">E$17</f>
        <v>2</v>
      </c>
    </row>
    <row r="51" customFormat="false" ht="30" hidden="false" customHeight="true" outlineLevel="0" collapsed="false">
      <c r="B51" s="13" t="s">
        <v>32</v>
      </c>
      <c r="C51" s="14" t="s">
        <v>149</v>
      </c>
      <c r="D51" s="14" t="s">
        <v>46</v>
      </c>
      <c r="E51" s="14" t="s">
        <v>150</v>
      </c>
      <c r="F51" s="14" t="s">
        <v>151</v>
      </c>
      <c r="G51" s="14" t="s">
        <v>152</v>
      </c>
      <c r="H51" s="14" t="s">
        <v>153</v>
      </c>
      <c r="I51" s="38" t="n">
        <v>0</v>
      </c>
      <c r="J51" s="38" t="n">
        <v>1</v>
      </c>
      <c r="K51" s="38" t="n">
        <v>2</v>
      </c>
      <c r="L51" s="38" t="n">
        <v>3</v>
      </c>
      <c r="M51" s="38" t="n">
        <v>4</v>
      </c>
      <c r="N51" s="38" t="n">
        <v>5</v>
      </c>
      <c r="O51" s="38" t="n">
        <v>6</v>
      </c>
      <c r="P51" s="38" t="n">
        <v>7</v>
      </c>
      <c r="Q51" s="38" t="n">
        <v>8</v>
      </c>
      <c r="R51" s="38" t="n">
        <v>9</v>
      </c>
      <c r="S51" s="38" t="n">
        <v>10</v>
      </c>
      <c r="T51" s="38" t="n">
        <v>11</v>
      </c>
      <c r="U51" s="38" t="n">
        <v>12</v>
      </c>
      <c r="V51" s="38" t="n">
        <v>13</v>
      </c>
      <c r="W51" s="38" t="n">
        <v>14</v>
      </c>
      <c r="X51" s="38" t="n">
        <v>15</v>
      </c>
      <c r="Y51" s="38" t="n">
        <v>16</v>
      </c>
    </row>
    <row r="52" customFormat="false" ht="15" hidden="false" customHeight="false" outlineLevel="0" collapsed="false">
      <c r="B52" s="9" t="s">
        <v>47</v>
      </c>
      <c r="C52" s="28" t="n">
        <f aca="false">IF($C$9&lt;=$C$50,1,0)</f>
        <v>0</v>
      </c>
      <c r="D52" s="19" t="n">
        <f aca="false">Assumptions!$F$32</f>
        <v>12375</v>
      </c>
      <c r="E52" s="39" t="n">
        <f aca="false">PV($F52/2,(Assumptions!$C$30*4-12)/2,-Assumptions!$D$32*100/2,-100)</f>
        <v>99.5584003138178</v>
      </c>
      <c r="F52" s="17" t="n">
        <f aca="false">RATE(Assumptions!$C$30*2,Assumptions!$D$32*100/2,-Assumptions!$E$32,100)*2</f>
        <v>0.0699042470751673</v>
      </c>
      <c r="G52" s="26" t="n">
        <f aca="false">SUM(I52:Y52)</f>
        <v>2601.05003922723</v>
      </c>
      <c r="H52" s="17" t="n">
        <f aca="false">(1+IRR(I52:Y52,IF(SUM(I52:Y52)&lt;0,-0.05,0.01)))^4-1</f>
        <v>0.0711258980149541</v>
      </c>
      <c r="I52" s="40" t="n">
        <f aca="false">IF(I$51=0,-Assumptions!$C$29*Assumptions!$E$32/100,0)+IF(AND(I$51&gt;=2,MOD(I$51,2)=0,I$51&lt;=IF($C52=1,$C$5-2,12)),Assumptions!$C$29*Assumptions!$D$32/2,0)+IF($C52=1,IF(I$51=$C$6,Assumptions!$C$29*$C$49,0),IF(I$51=12,Assumptions!$C$29*$E52/100,0))</f>
        <v>-12375</v>
      </c>
      <c r="J52" s="40" t="n">
        <f aca="false">IF(J$51=0,-Assumptions!$C$29*Assumptions!$E$32/100,0)+IF(AND(J$51&gt;=2,MOD(J$51,2)=0,J$51&lt;=IF($C52=1,$C$5-2,12)),Assumptions!$C$29*Assumptions!$D$32/2,0)+IF($C52=1,IF(J$51=$C$6,Assumptions!$C$29*$C$49,0),IF(J$51=12,Assumptions!$C$29*$E52/100,0))</f>
        <v>0</v>
      </c>
      <c r="K52" s="40" t="n">
        <f aca="false">IF(K$51=0,-Assumptions!$C$29*Assumptions!$E$32/100,0)+IF(AND(K$51&gt;=2,MOD(K$51,2)=0,K$51&lt;=IF($C52=1,$C$5-2,12)),Assumptions!$C$29*Assumptions!$D$32/2,0)+IF($C52=1,IF(K$51=$C$6,Assumptions!$C$29*$C$49,0),IF(K$51=12,Assumptions!$C$29*$E52/100,0))</f>
        <v>421.875</v>
      </c>
      <c r="L52" s="40" t="n">
        <f aca="false">IF(L$51=0,-Assumptions!$C$29*Assumptions!$E$32/100,0)+IF(AND(L$51&gt;=2,MOD(L$51,2)=0,L$51&lt;=IF($C52=1,$C$5-2,12)),Assumptions!$C$29*Assumptions!$D$32/2,0)+IF($C52=1,IF(L$51=$C$6,Assumptions!$C$29*$C$49,0),IF(L$51=12,Assumptions!$C$29*$E52/100,0))</f>
        <v>0</v>
      </c>
      <c r="M52" s="40" t="n">
        <f aca="false">IF(M$51=0,-Assumptions!$C$29*Assumptions!$E$32/100,0)+IF(AND(M$51&gt;=2,MOD(M$51,2)=0,M$51&lt;=IF($C52=1,$C$5-2,12)),Assumptions!$C$29*Assumptions!$D$32/2,0)+IF($C52=1,IF(M$51=$C$6,Assumptions!$C$29*$C$49,0),IF(M$51=12,Assumptions!$C$29*$E52/100,0))</f>
        <v>421.875</v>
      </c>
      <c r="N52" s="40" t="n">
        <f aca="false">IF(N$51=0,-Assumptions!$C$29*Assumptions!$E$32/100,0)+IF(AND(N$51&gt;=2,MOD(N$51,2)=0,N$51&lt;=IF($C52=1,$C$5-2,12)),Assumptions!$C$29*Assumptions!$D$32/2,0)+IF($C52=1,IF(N$51=$C$6,Assumptions!$C$29*$C$49,0),IF(N$51=12,Assumptions!$C$29*$E52/100,0))</f>
        <v>0</v>
      </c>
      <c r="O52" s="40" t="n">
        <f aca="false">IF(O$51=0,-Assumptions!$C$29*Assumptions!$E$32/100,0)+IF(AND(O$51&gt;=2,MOD(O$51,2)=0,O$51&lt;=IF($C52=1,$C$5-2,12)),Assumptions!$C$29*Assumptions!$D$32/2,0)+IF($C52=1,IF(O$51=$C$6,Assumptions!$C$29*$C$49,0),IF(O$51=12,Assumptions!$C$29*$E52/100,0))</f>
        <v>421.875</v>
      </c>
      <c r="P52" s="40" t="n">
        <f aca="false">IF(P$51=0,-Assumptions!$C$29*Assumptions!$E$32/100,0)+IF(AND(P$51&gt;=2,MOD(P$51,2)=0,P$51&lt;=IF($C52=1,$C$5-2,12)),Assumptions!$C$29*Assumptions!$D$32/2,0)+IF($C52=1,IF(P$51=$C$6,Assumptions!$C$29*$C$49,0),IF(P$51=12,Assumptions!$C$29*$E52/100,0))</f>
        <v>0</v>
      </c>
      <c r="Q52" s="40" t="n">
        <f aca="false">IF(Q$51=0,-Assumptions!$C$29*Assumptions!$E$32/100,0)+IF(AND(Q$51&gt;=2,MOD(Q$51,2)=0,Q$51&lt;=IF($C52=1,$C$5-2,12)),Assumptions!$C$29*Assumptions!$D$32/2,0)+IF($C52=1,IF(Q$51=$C$6,Assumptions!$C$29*$C$49,0),IF(Q$51=12,Assumptions!$C$29*$E52/100,0))</f>
        <v>421.875</v>
      </c>
      <c r="R52" s="40" t="n">
        <f aca="false">IF(R$51=0,-Assumptions!$C$29*Assumptions!$E$32/100,0)+IF(AND(R$51&gt;=2,MOD(R$51,2)=0,R$51&lt;=IF($C52=1,$C$5-2,12)),Assumptions!$C$29*Assumptions!$D$32/2,0)+IF($C52=1,IF(R$51=$C$6,Assumptions!$C$29*$C$49,0),IF(R$51=12,Assumptions!$C$29*$E52/100,0))</f>
        <v>0</v>
      </c>
      <c r="S52" s="40" t="n">
        <f aca="false">IF(S$51=0,-Assumptions!$C$29*Assumptions!$E$32/100,0)+IF(AND(S$51&gt;=2,MOD(S$51,2)=0,S$51&lt;=IF($C52=1,$C$5-2,12)),Assumptions!$C$29*Assumptions!$D$32/2,0)+IF($C52=1,IF(S$51=$C$6,Assumptions!$C$29*$C$49,0),IF(S$51=12,Assumptions!$C$29*$E52/100,0))</f>
        <v>421.875</v>
      </c>
      <c r="T52" s="40" t="n">
        <f aca="false">IF(T$51=0,-Assumptions!$C$29*Assumptions!$E$32/100,0)+IF(AND(T$51&gt;=2,MOD(T$51,2)=0,T$51&lt;=IF($C52=1,$C$5-2,12)),Assumptions!$C$29*Assumptions!$D$32/2,0)+IF($C52=1,IF(T$51=$C$6,Assumptions!$C$29*$C$49,0),IF(T$51=12,Assumptions!$C$29*$E52/100,0))</f>
        <v>0</v>
      </c>
      <c r="U52" s="40" t="n">
        <f aca="false">IF(U$51=0,-Assumptions!$C$29*Assumptions!$E$32/100,0)+IF(AND(U$51&gt;=2,MOD(U$51,2)=0,U$51&lt;=IF($C52=1,$C$5-2,12)),Assumptions!$C$29*Assumptions!$D$32/2,0)+IF($C52=1,IF(U$51=$C$6,Assumptions!$C$29*$C$49,0),IF(U$51=12,Assumptions!$C$29*$E52/100,0))</f>
        <v>12866.6750392272</v>
      </c>
      <c r="V52" s="40" t="n">
        <f aca="false">IF(V$51=0,-Assumptions!$C$29*Assumptions!$E$32/100,0)+IF(AND(V$51&gt;=2,MOD(V$51,2)=0,V$51&lt;=IF($C52=1,$C$5-2,12)),Assumptions!$C$29*Assumptions!$D$32/2,0)+IF($C52=1,IF(V$51=$C$6,Assumptions!$C$29*$C$49,0),IF(V$51=12,Assumptions!$C$29*$E52/100,0))</f>
        <v>0</v>
      </c>
      <c r="W52" s="40" t="n">
        <f aca="false">IF(W$51=0,-Assumptions!$C$29*Assumptions!$E$32/100,0)+IF(AND(W$51&gt;=2,MOD(W$51,2)=0,W$51&lt;=IF($C52=1,$C$5-2,12)),Assumptions!$C$29*Assumptions!$D$32/2,0)+IF($C52=1,IF(W$51=$C$6,Assumptions!$C$29*$C$49,0),IF(W$51=12,Assumptions!$C$29*$E52/100,0))</f>
        <v>0</v>
      </c>
      <c r="X52" s="40" t="n">
        <f aca="false">IF(X$51=0,-Assumptions!$C$29*Assumptions!$E$32/100,0)+IF(AND(X$51&gt;=2,MOD(X$51,2)=0,X$51&lt;=IF($C52=1,$C$5-2,12)),Assumptions!$C$29*Assumptions!$D$32/2,0)+IF($C52=1,IF(X$51=$C$6,Assumptions!$C$29*$C$49,0),IF(X$51=12,Assumptions!$C$29*$E52/100,0))</f>
        <v>0</v>
      </c>
      <c r="Y52" s="40" t="n">
        <f aca="false">IF(Y$51=0,-Assumptions!$C$29*Assumptions!$E$32/100,0)+IF(AND(Y$51&gt;=2,MOD(Y$51,2)=0,Y$51&lt;=IF($C52=1,$C$5-2,12)),Assumptions!$C$29*Assumptions!$D$32/2,0)+IF($C52=1,IF(Y$51=$C$6,Assumptions!$C$29*$C$49,0),IF(Y$51=12,Assumptions!$C$29*$E52/100,0))</f>
        <v>0</v>
      </c>
    </row>
    <row r="53" customFormat="false" ht="15" hidden="false" customHeight="false" outlineLevel="0" collapsed="false">
      <c r="B53" s="9" t="s">
        <v>48</v>
      </c>
      <c r="C53" s="28" t="n">
        <f aca="false">IF($C$10&lt;=$C$50,1,0)</f>
        <v>0</v>
      </c>
      <c r="D53" s="19" t="n">
        <f aca="false">Assumptions!$F$33</f>
        <v>12312.5</v>
      </c>
      <c r="E53" s="39" t="n">
        <f aca="false">PV($F53/2,(Assumptions!$C$30*4-12)/2,-Assumptions!$D$33*100/2,-100)</f>
        <v>99.3343027458663</v>
      </c>
      <c r="F53" s="17" t="n">
        <f aca="false">RATE(Assumptions!$C$30*2,Assumptions!$D$33*100/2,-Assumptions!$E$33,100)*2</f>
        <v>0.0736404123832243</v>
      </c>
      <c r="G53" s="26" t="n">
        <f aca="false">SUM(I53:Y53)</f>
        <v>2729.28784323328</v>
      </c>
      <c r="H53" s="17" t="n">
        <f aca="false">(1+IRR(I53:Y53,IF(SUM(I53:Y53)&lt;0,-0.05,0.01)))^4-1</f>
        <v>0.0749961399672177</v>
      </c>
      <c r="I53" s="40" t="n">
        <f aca="false">IF(I$51=0,-Assumptions!$C$29*Assumptions!$E$33/100,0)+IF(AND(I$51&gt;=2,MOD(I$51,2)=0,I$51&lt;=IF($C53=1,$C$5-2,12)),Assumptions!$C$29*Assumptions!$D$33/2,0)+IF($C53=1,IF(I$51=$C$6,Assumptions!$C$29*$C$49,0),IF(I$51=12,Assumptions!$C$29*$E53/100,0))</f>
        <v>-12312.5</v>
      </c>
      <c r="J53" s="40" t="n">
        <f aca="false">IF(J$51=0,-Assumptions!$C$29*Assumptions!$E$33/100,0)+IF(AND(J$51&gt;=2,MOD(J$51,2)=0,J$51&lt;=IF($C53=1,$C$5-2,12)),Assumptions!$C$29*Assumptions!$D$33/2,0)+IF($C53=1,IF(J$51=$C$6,Assumptions!$C$29*$C$49,0),IF(J$51=12,Assumptions!$C$29*$E53/100,0))</f>
        <v>0</v>
      </c>
      <c r="K53" s="40" t="n">
        <f aca="false">IF(K$51=0,-Assumptions!$C$29*Assumptions!$E$33/100,0)+IF(AND(K$51&gt;=2,MOD(K$51,2)=0,K$51&lt;=IF($C53=1,$C$5-2,12)),Assumptions!$C$29*Assumptions!$D$33/2,0)+IF($C53=1,IF(K$51=$C$6,Assumptions!$C$29*$C$49,0),IF(K$51=12,Assumptions!$C$29*$E53/100,0))</f>
        <v>437.5</v>
      </c>
      <c r="L53" s="40" t="n">
        <f aca="false">IF(L$51=0,-Assumptions!$C$29*Assumptions!$E$33/100,0)+IF(AND(L$51&gt;=2,MOD(L$51,2)=0,L$51&lt;=IF($C53=1,$C$5-2,12)),Assumptions!$C$29*Assumptions!$D$33/2,0)+IF($C53=1,IF(L$51=$C$6,Assumptions!$C$29*$C$49,0),IF(L$51=12,Assumptions!$C$29*$E53/100,0))</f>
        <v>0</v>
      </c>
      <c r="M53" s="40" t="n">
        <f aca="false">IF(M$51=0,-Assumptions!$C$29*Assumptions!$E$33/100,0)+IF(AND(M$51&gt;=2,MOD(M$51,2)=0,M$51&lt;=IF($C53=1,$C$5-2,12)),Assumptions!$C$29*Assumptions!$D$33/2,0)+IF($C53=1,IF(M$51=$C$6,Assumptions!$C$29*$C$49,0),IF(M$51=12,Assumptions!$C$29*$E53/100,0))</f>
        <v>437.5</v>
      </c>
      <c r="N53" s="40" t="n">
        <f aca="false">IF(N$51=0,-Assumptions!$C$29*Assumptions!$E$33/100,0)+IF(AND(N$51&gt;=2,MOD(N$51,2)=0,N$51&lt;=IF($C53=1,$C$5-2,12)),Assumptions!$C$29*Assumptions!$D$33/2,0)+IF($C53=1,IF(N$51=$C$6,Assumptions!$C$29*$C$49,0),IF(N$51=12,Assumptions!$C$29*$E53/100,0))</f>
        <v>0</v>
      </c>
      <c r="O53" s="40" t="n">
        <f aca="false">IF(O$51=0,-Assumptions!$C$29*Assumptions!$E$33/100,0)+IF(AND(O$51&gt;=2,MOD(O$51,2)=0,O$51&lt;=IF($C53=1,$C$5-2,12)),Assumptions!$C$29*Assumptions!$D$33/2,0)+IF($C53=1,IF(O$51=$C$6,Assumptions!$C$29*$C$49,0),IF(O$51=12,Assumptions!$C$29*$E53/100,0))</f>
        <v>437.5</v>
      </c>
      <c r="P53" s="40" t="n">
        <f aca="false">IF(P$51=0,-Assumptions!$C$29*Assumptions!$E$33/100,0)+IF(AND(P$51&gt;=2,MOD(P$51,2)=0,P$51&lt;=IF($C53=1,$C$5-2,12)),Assumptions!$C$29*Assumptions!$D$33/2,0)+IF($C53=1,IF(P$51=$C$6,Assumptions!$C$29*$C$49,0),IF(P$51=12,Assumptions!$C$29*$E53/100,0))</f>
        <v>0</v>
      </c>
      <c r="Q53" s="40" t="n">
        <f aca="false">IF(Q$51=0,-Assumptions!$C$29*Assumptions!$E$33/100,0)+IF(AND(Q$51&gt;=2,MOD(Q$51,2)=0,Q$51&lt;=IF($C53=1,$C$5-2,12)),Assumptions!$C$29*Assumptions!$D$33/2,0)+IF($C53=1,IF(Q$51=$C$6,Assumptions!$C$29*$C$49,0),IF(Q$51=12,Assumptions!$C$29*$E53/100,0))</f>
        <v>437.5</v>
      </c>
      <c r="R53" s="40" t="n">
        <f aca="false">IF(R$51=0,-Assumptions!$C$29*Assumptions!$E$33/100,0)+IF(AND(R$51&gt;=2,MOD(R$51,2)=0,R$51&lt;=IF($C53=1,$C$5-2,12)),Assumptions!$C$29*Assumptions!$D$33/2,0)+IF($C53=1,IF(R$51=$C$6,Assumptions!$C$29*$C$49,0),IF(R$51=12,Assumptions!$C$29*$E53/100,0))</f>
        <v>0</v>
      </c>
      <c r="S53" s="40" t="n">
        <f aca="false">IF(S$51=0,-Assumptions!$C$29*Assumptions!$E$33/100,0)+IF(AND(S$51&gt;=2,MOD(S$51,2)=0,S$51&lt;=IF($C53=1,$C$5-2,12)),Assumptions!$C$29*Assumptions!$D$33/2,0)+IF($C53=1,IF(S$51=$C$6,Assumptions!$C$29*$C$49,0),IF(S$51=12,Assumptions!$C$29*$E53/100,0))</f>
        <v>437.5</v>
      </c>
      <c r="T53" s="40" t="n">
        <f aca="false">IF(T$51=0,-Assumptions!$C$29*Assumptions!$E$33/100,0)+IF(AND(T$51&gt;=2,MOD(T$51,2)=0,T$51&lt;=IF($C53=1,$C$5-2,12)),Assumptions!$C$29*Assumptions!$D$33/2,0)+IF($C53=1,IF(T$51=$C$6,Assumptions!$C$29*$C$49,0),IF(T$51=12,Assumptions!$C$29*$E53/100,0))</f>
        <v>0</v>
      </c>
      <c r="U53" s="40" t="n">
        <f aca="false">IF(U$51=0,-Assumptions!$C$29*Assumptions!$E$33/100,0)+IF(AND(U$51&gt;=2,MOD(U$51,2)=0,U$51&lt;=IF($C53=1,$C$5-2,12)),Assumptions!$C$29*Assumptions!$D$33/2,0)+IF($C53=1,IF(U$51=$C$6,Assumptions!$C$29*$C$49,0),IF(U$51=12,Assumptions!$C$29*$E53/100,0))</f>
        <v>12854.2878432333</v>
      </c>
      <c r="V53" s="40" t="n">
        <f aca="false">IF(V$51=0,-Assumptions!$C$29*Assumptions!$E$33/100,0)+IF(AND(V$51&gt;=2,MOD(V$51,2)=0,V$51&lt;=IF($C53=1,$C$5-2,12)),Assumptions!$C$29*Assumptions!$D$33/2,0)+IF($C53=1,IF(V$51=$C$6,Assumptions!$C$29*$C$49,0),IF(V$51=12,Assumptions!$C$29*$E53/100,0))</f>
        <v>0</v>
      </c>
      <c r="W53" s="40" t="n">
        <f aca="false">IF(W$51=0,-Assumptions!$C$29*Assumptions!$E$33/100,0)+IF(AND(W$51&gt;=2,MOD(W$51,2)=0,W$51&lt;=IF($C53=1,$C$5-2,12)),Assumptions!$C$29*Assumptions!$D$33/2,0)+IF($C53=1,IF(W$51=$C$6,Assumptions!$C$29*$C$49,0),IF(W$51=12,Assumptions!$C$29*$E53/100,0))</f>
        <v>0</v>
      </c>
      <c r="X53" s="40" t="n">
        <f aca="false">IF(X$51=0,-Assumptions!$C$29*Assumptions!$E$33/100,0)+IF(AND(X$51&gt;=2,MOD(X$51,2)=0,X$51&lt;=IF($C53=1,$C$5-2,12)),Assumptions!$C$29*Assumptions!$D$33/2,0)+IF($C53=1,IF(X$51=$C$6,Assumptions!$C$29*$C$49,0),IF(X$51=12,Assumptions!$C$29*$E53/100,0))</f>
        <v>0</v>
      </c>
      <c r="Y53" s="40" t="n">
        <f aca="false">IF(Y$51=0,-Assumptions!$C$29*Assumptions!$E$33/100,0)+IF(AND(Y$51&gt;=2,MOD(Y$51,2)=0,Y$51&lt;=IF($C53=1,$C$5-2,12)),Assumptions!$C$29*Assumptions!$D$33/2,0)+IF($C53=1,IF(Y$51=$C$6,Assumptions!$C$29*$C$49,0),IF(Y$51=12,Assumptions!$C$29*$E53/100,0))</f>
        <v>0</v>
      </c>
    </row>
    <row r="54" customFormat="false" ht="15" hidden="false" customHeight="false" outlineLevel="0" collapsed="false">
      <c r="B54" s="9" t="s">
        <v>49</v>
      </c>
      <c r="C54" s="28" t="n">
        <f aca="false">IF($C$11&lt;=$C$50,1,0)</f>
        <v>0</v>
      </c>
      <c r="D54" s="19" t="n">
        <f aca="false">Assumptions!$F$34</f>
        <v>12250</v>
      </c>
      <c r="E54" s="39" t="n">
        <f aca="false">PV($F54/2,(Assumptions!$C$30*4-12)/2,-Assumptions!$D$34*100/2,-100)</f>
        <v>99.1079856396595</v>
      </c>
      <c r="F54" s="17" t="n">
        <f aca="false">RATE(Assumptions!$C$30*2,Assumptions!$D$34*100/2,-Assumptions!$E$34,100)*2</f>
        <v>0.0773997713205988</v>
      </c>
      <c r="G54" s="26" t="n">
        <f aca="false">SUM(I54:Y54)</f>
        <v>2857.24820495744</v>
      </c>
      <c r="H54" s="17" t="n">
        <f aca="false">(1+IRR(I54:Y54,IF(SUM(I54:Y54)&lt;0,-0.05,0.01)))^4-1</f>
        <v>0.0788974524707193</v>
      </c>
      <c r="I54" s="40" t="n">
        <f aca="false">IF(I$51=0,-Assumptions!$C$29*Assumptions!$E$34/100,0)+IF(AND(I$51&gt;=2,MOD(I$51,2)=0,I$51&lt;=IF($C54=1,$C$5-2,12)),Assumptions!$C$29*Assumptions!$D$34/2,0)+IF($C54=1,IF(I$51=$C$6,Assumptions!$C$29*$C$49,0),IF(I$51=12,Assumptions!$C$29*$E54/100,0))</f>
        <v>-12250</v>
      </c>
      <c r="J54" s="40" t="n">
        <f aca="false">IF(J$51=0,-Assumptions!$C$29*Assumptions!$E$34/100,0)+IF(AND(J$51&gt;=2,MOD(J$51,2)=0,J$51&lt;=IF($C54=1,$C$5-2,12)),Assumptions!$C$29*Assumptions!$D$34/2,0)+IF($C54=1,IF(J$51=$C$6,Assumptions!$C$29*$C$49,0),IF(J$51=12,Assumptions!$C$29*$E54/100,0))</f>
        <v>0</v>
      </c>
      <c r="K54" s="40" t="n">
        <f aca="false">IF(K$51=0,-Assumptions!$C$29*Assumptions!$E$34/100,0)+IF(AND(K$51&gt;=2,MOD(K$51,2)=0,K$51&lt;=IF($C54=1,$C$5-2,12)),Assumptions!$C$29*Assumptions!$D$34/2,0)+IF($C54=1,IF(K$51=$C$6,Assumptions!$C$29*$C$49,0),IF(K$51=12,Assumptions!$C$29*$E54/100,0))</f>
        <v>453.125</v>
      </c>
      <c r="L54" s="40" t="n">
        <f aca="false">IF(L$51=0,-Assumptions!$C$29*Assumptions!$E$34/100,0)+IF(AND(L$51&gt;=2,MOD(L$51,2)=0,L$51&lt;=IF($C54=1,$C$5-2,12)),Assumptions!$C$29*Assumptions!$D$34/2,0)+IF($C54=1,IF(L$51=$C$6,Assumptions!$C$29*$C$49,0),IF(L$51=12,Assumptions!$C$29*$E54/100,0))</f>
        <v>0</v>
      </c>
      <c r="M54" s="40" t="n">
        <f aca="false">IF(M$51=0,-Assumptions!$C$29*Assumptions!$E$34/100,0)+IF(AND(M$51&gt;=2,MOD(M$51,2)=0,M$51&lt;=IF($C54=1,$C$5-2,12)),Assumptions!$C$29*Assumptions!$D$34/2,0)+IF($C54=1,IF(M$51=$C$6,Assumptions!$C$29*$C$49,0),IF(M$51=12,Assumptions!$C$29*$E54/100,0))</f>
        <v>453.125</v>
      </c>
      <c r="N54" s="40" t="n">
        <f aca="false">IF(N$51=0,-Assumptions!$C$29*Assumptions!$E$34/100,0)+IF(AND(N$51&gt;=2,MOD(N$51,2)=0,N$51&lt;=IF($C54=1,$C$5-2,12)),Assumptions!$C$29*Assumptions!$D$34/2,0)+IF($C54=1,IF(N$51=$C$6,Assumptions!$C$29*$C$49,0),IF(N$51=12,Assumptions!$C$29*$E54/100,0))</f>
        <v>0</v>
      </c>
      <c r="O54" s="40" t="n">
        <f aca="false">IF(O$51=0,-Assumptions!$C$29*Assumptions!$E$34/100,0)+IF(AND(O$51&gt;=2,MOD(O$51,2)=0,O$51&lt;=IF($C54=1,$C$5-2,12)),Assumptions!$C$29*Assumptions!$D$34/2,0)+IF($C54=1,IF(O$51=$C$6,Assumptions!$C$29*$C$49,0),IF(O$51=12,Assumptions!$C$29*$E54/100,0))</f>
        <v>453.125</v>
      </c>
      <c r="P54" s="40" t="n">
        <f aca="false">IF(P$51=0,-Assumptions!$C$29*Assumptions!$E$34/100,0)+IF(AND(P$51&gt;=2,MOD(P$51,2)=0,P$51&lt;=IF($C54=1,$C$5-2,12)),Assumptions!$C$29*Assumptions!$D$34/2,0)+IF($C54=1,IF(P$51=$C$6,Assumptions!$C$29*$C$49,0),IF(P$51=12,Assumptions!$C$29*$E54/100,0))</f>
        <v>0</v>
      </c>
      <c r="Q54" s="40" t="n">
        <f aca="false">IF(Q$51=0,-Assumptions!$C$29*Assumptions!$E$34/100,0)+IF(AND(Q$51&gt;=2,MOD(Q$51,2)=0,Q$51&lt;=IF($C54=1,$C$5-2,12)),Assumptions!$C$29*Assumptions!$D$34/2,0)+IF($C54=1,IF(Q$51=$C$6,Assumptions!$C$29*$C$49,0),IF(Q$51=12,Assumptions!$C$29*$E54/100,0))</f>
        <v>453.125</v>
      </c>
      <c r="R54" s="40" t="n">
        <f aca="false">IF(R$51=0,-Assumptions!$C$29*Assumptions!$E$34/100,0)+IF(AND(R$51&gt;=2,MOD(R$51,2)=0,R$51&lt;=IF($C54=1,$C$5-2,12)),Assumptions!$C$29*Assumptions!$D$34/2,0)+IF($C54=1,IF(R$51=$C$6,Assumptions!$C$29*$C$49,0),IF(R$51=12,Assumptions!$C$29*$E54/100,0))</f>
        <v>0</v>
      </c>
      <c r="S54" s="40" t="n">
        <f aca="false">IF(S$51=0,-Assumptions!$C$29*Assumptions!$E$34/100,0)+IF(AND(S$51&gt;=2,MOD(S$51,2)=0,S$51&lt;=IF($C54=1,$C$5-2,12)),Assumptions!$C$29*Assumptions!$D$34/2,0)+IF($C54=1,IF(S$51=$C$6,Assumptions!$C$29*$C$49,0),IF(S$51=12,Assumptions!$C$29*$E54/100,0))</f>
        <v>453.125</v>
      </c>
      <c r="T54" s="40" t="n">
        <f aca="false">IF(T$51=0,-Assumptions!$C$29*Assumptions!$E$34/100,0)+IF(AND(T$51&gt;=2,MOD(T$51,2)=0,T$51&lt;=IF($C54=1,$C$5-2,12)),Assumptions!$C$29*Assumptions!$D$34/2,0)+IF($C54=1,IF(T$51=$C$6,Assumptions!$C$29*$C$49,0),IF(T$51=12,Assumptions!$C$29*$E54/100,0))</f>
        <v>0</v>
      </c>
      <c r="U54" s="40" t="n">
        <f aca="false">IF(U$51=0,-Assumptions!$C$29*Assumptions!$E$34/100,0)+IF(AND(U$51&gt;=2,MOD(U$51,2)=0,U$51&lt;=IF($C54=1,$C$5-2,12)),Assumptions!$C$29*Assumptions!$D$34/2,0)+IF($C54=1,IF(U$51=$C$6,Assumptions!$C$29*$C$49,0),IF(U$51=12,Assumptions!$C$29*$E54/100,0))</f>
        <v>12841.6232049574</v>
      </c>
      <c r="V54" s="40" t="n">
        <f aca="false">IF(V$51=0,-Assumptions!$C$29*Assumptions!$E$34/100,0)+IF(AND(V$51&gt;=2,MOD(V$51,2)=0,V$51&lt;=IF($C54=1,$C$5-2,12)),Assumptions!$C$29*Assumptions!$D$34/2,0)+IF($C54=1,IF(V$51=$C$6,Assumptions!$C$29*$C$49,0),IF(V$51=12,Assumptions!$C$29*$E54/100,0))</f>
        <v>0</v>
      </c>
      <c r="W54" s="40" t="n">
        <f aca="false">IF(W$51=0,-Assumptions!$C$29*Assumptions!$E$34/100,0)+IF(AND(W$51&gt;=2,MOD(W$51,2)=0,W$51&lt;=IF($C54=1,$C$5-2,12)),Assumptions!$C$29*Assumptions!$D$34/2,0)+IF($C54=1,IF(W$51=$C$6,Assumptions!$C$29*$C$49,0),IF(W$51=12,Assumptions!$C$29*$E54/100,0))</f>
        <v>0</v>
      </c>
      <c r="X54" s="40" t="n">
        <f aca="false">IF(X$51=0,-Assumptions!$C$29*Assumptions!$E$34/100,0)+IF(AND(X$51&gt;=2,MOD(X$51,2)=0,X$51&lt;=IF($C54=1,$C$5-2,12)),Assumptions!$C$29*Assumptions!$D$34/2,0)+IF($C54=1,IF(X$51=$C$6,Assumptions!$C$29*$C$49,0),IF(X$51=12,Assumptions!$C$29*$E54/100,0))</f>
        <v>0</v>
      </c>
      <c r="Y54" s="40" t="n">
        <f aca="false">IF(Y$51=0,-Assumptions!$C$29*Assumptions!$E$34/100,0)+IF(AND(Y$51&gt;=2,MOD(Y$51,2)=0,Y$51&lt;=IF($C54=1,$C$5-2,12)),Assumptions!$C$29*Assumptions!$D$34/2,0)+IF($C54=1,IF(Y$51=$C$6,Assumptions!$C$29*$C$49,0),IF(Y$51=12,Assumptions!$C$29*$E54/100,0))</f>
        <v>0</v>
      </c>
    </row>
    <row r="55" customFormat="false" ht="15" hidden="false" customHeight="false" outlineLevel="0" collapsed="false">
      <c r="B55" s="9" t="s">
        <v>50</v>
      </c>
      <c r="C55" s="28" t="n">
        <f aca="false">IF($C$12&lt;=$C$50,1,0)</f>
        <v>0</v>
      </c>
      <c r="D55" s="19" t="n">
        <f aca="false">Assumptions!$F$35</f>
        <v>12187.5</v>
      </c>
      <c r="E55" s="39" t="n">
        <f aca="false">PV($F55/2,(Assumptions!$C$30*4-12)/2,-Assumptions!$D$35*100/2,-100)</f>
        <v>98.8794329841845</v>
      </c>
      <c r="F55" s="17" t="n">
        <f aca="false">RATE(Assumptions!$C$30*2,Assumptions!$D$35*100/2,-Assumptions!$E$35,100)*2</f>
        <v>0.0811827080590467</v>
      </c>
      <c r="G55" s="26" t="n">
        <f aca="false">SUM(I55:Y55)</f>
        <v>2984.92912302306</v>
      </c>
      <c r="H55" s="17" t="n">
        <f aca="false">(1+IRR(I55:Y55,IF(SUM(I55:Y55)&lt;0,-0.05,0.01)))^4-1</f>
        <v>0.0828303660809961</v>
      </c>
      <c r="I55" s="40" t="n">
        <f aca="false">IF(I$51=0,-Assumptions!$C$29*Assumptions!$E$35/100,0)+IF(AND(I$51&gt;=2,MOD(I$51,2)=0,I$51&lt;=IF($C55=1,$C$5-2,12)),Assumptions!$C$29*Assumptions!$D$35/2,0)+IF($C55=1,IF(I$51=$C$6,Assumptions!$C$29*$C$49,0),IF(I$51=12,Assumptions!$C$29*$E55/100,0))</f>
        <v>-12187.5</v>
      </c>
      <c r="J55" s="40" t="n">
        <f aca="false">IF(J$51=0,-Assumptions!$C$29*Assumptions!$E$35/100,0)+IF(AND(J$51&gt;=2,MOD(J$51,2)=0,J$51&lt;=IF($C55=1,$C$5-2,12)),Assumptions!$C$29*Assumptions!$D$35/2,0)+IF($C55=1,IF(J$51=$C$6,Assumptions!$C$29*$C$49,0),IF(J$51=12,Assumptions!$C$29*$E55/100,0))</f>
        <v>0</v>
      </c>
      <c r="K55" s="40" t="n">
        <f aca="false">IF(K$51=0,-Assumptions!$C$29*Assumptions!$E$35/100,0)+IF(AND(K$51&gt;=2,MOD(K$51,2)=0,K$51&lt;=IF($C55=1,$C$5-2,12)),Assumptions!$C$29*Assumptions!$D$35/2,0)+IF($C55=1,IF(K$51=$C$6,Assumptions!$C$29*$C$49,0),IF(K$51=12,Assumptions!$C$29*$E55/100,0))</f>
        <v>468.75</v>
      </c>
      <c r="L55" s="40" t="n">
        <f aca="false">IF(L$51=0,-Assumptions!$C$29*Assumptions!$E$35/100,0)+IF(AND(L$51&gt;=2,MOD(L$51,2)=0,L$51&lt;=IF($C55=1,$C$5-2,12)),Assumptions!$C$29*Assumptions!$D$35/2,0)+IF($C55=1,IF(L$51=$C$6,Assumptions!$C$29*$C$49,0),IF(L$51=12,Assumptions!$C$29*$E55/100,0))</f>
        <v>0</v>
      </c>
      <c r="M55" s="40" t="n">
        <f aca="false">IF(M$51=0,-Assumptions!$C$29*Assumptions!$E$35/100,0)+IF(AND(M$51&gt;=2,MOD(M$51,2)=0,M$51&lt;=IF($C55=1,$C$5-2,12)),Assumptions!$C$29*Assumptions!$D$35/2,0)+IF($C55=1,IF(M$51=$C$6,Assumptions!$C$29*$C$49,0),IF(M$51=12,Assumptions!$C$29*$E55/100,0))</f>
        <v>468.75</v>
      </c>
      <c r="N55" s="40" t="n">
        <f aca="false">IF(N$51=0,-Assumptions!$C$29*Assumptions!$E$35/100,0)+IF(AND(N$51&gt;=2,MOD(N$51,2)=0,N$51&lt;=IF($C55=1,$C$5-2,12)),Assumptions!$C$29*Assumptions!$D$35/2,0)+IF($C55=1,IF(N$51=$C$6,Assumptions!$C$29*$C$49,0),IF(N$51=12,Assumptions!$C$29*$E55/100,0))</f>
        <v>0</v>
      </c>
      <c r="O55" s="40" t="n">
        <f aca="false">IF(O$51=0,-Assumptions!$C$29*Assumptions!$E$35/100,0)+IF(AND(O$51&gt;=2,MOD(O$51,2)=0,O$51&lt;=IF($C55=1,$C$5-2,12)),Assumptions!$C$29*Assumptions!$D$35/2,0)+IF($C55=1,IF(O$51=$C$6,Assumptions!$C$29*$C$49,0),IF(O$51=12,Assumptions!$C$29*$E55/100,0))</f>
        <v>468.75</v>
      </c>
      <c r="P55" s="40" t="n">
        <f aca="false">IF(P$51=0,-Assumptions!$C$29*Assumptions!$E$35/100,0)+IF(AND(P$51&gt;=2,MOD(P$51,2)=0,P$51&lt;=IF($C55=1,$C$5-2,12)),Assumptions!$C$29*Assumptions!$D$35/2,0)+IF($C55=1,IF(P$51=$C$6,Assumptions!$C$29*$C$49,0),IF(P$51=12,Assumptions!$C$29*$E55/100,0))</f>
        <v>0</v>
      </c>
      <c r="Q55" s="40" t="n">
        <f aca="false">IF(Q$51=0,-Assumptions!$C$29*Assumptions!$E$35/100,0)+IF(AND(Q$51&gt;=2,MOD(Q$51,2)=0,Q$51&lt;=IF($C55=1,$C$5-2,12)),Assumptions!$C$29*Assumptions!$D$35/2,0)+IF($C55=1,IF(Q$51=$C$6,Assumptions!$C$29*$C$49,0),IF(Q$51=12,Assumptions!$C$29*$E55/100,0))</f>
        <v>468.75</v>
      </c>
      <c r="R55" s="40" t="n">
        <f aca="false">IF(R$51=0,-Assumptions!$C$29*Assumptions!$E$35/100,0)+IF(AND(R$51&gt;=2,MOD(R$51,2)=0,R$51&lt;=IF($C55=1,$C$5-2,12)),Assumptions!$C$29*Assumptions!$D$35/2,0)+IF($C55=1,IF(R$51=$C$6,Assumptions!$C$29*$C$49,0),IF(R$51=12,Assumptions!$C$29*$E55/100,0))</f>
        <v>0</v>
      </c>
      <c r="S55" s="40" t="n">
        <f aca="false">IF(S$51=0,-Assumptions!$C$29*Assumptions!$E$35/100,0)+IF(AND(S$51&gt;=2,MOD(S$51,2)=0,S$51&lt;=IF($C55=1,$C$5-2,12)),Assumptions!$C$29*Assumptions!$D$35/2,0)+IF($C55=1,IF(S$51=$C$6,Assumptions!$C$29*$C$49,0),IF(S$51=12,Assumptions!$C$29*$E55/100,0))</f>
        <v>468.75</v>
      </c>
      <c r="T55" s="40" t="n">
        <f aca="false">IF(T$51=0,-Assumptions!$C$29*Assumptions!$E$35/100,0)+IF(AND(T$51&gt;=2,MOD(T$51,2)=0,T$51&lt;=IF($C55=1,$C$5-2,12)),Assumptions!$C$29*Assumptions!$D$35/2,0)+IF($C55=1,IF(T$51=$C$6,Assumptions!$C$29*$C$49,0),IF(T$51=12,Assumptions!$C$29*$E55/100,0))</f>
        <v>0</v>
      </c>
      <c r="U55" s="40" t="n">
        <f aca="false">IF(U$51=0,-Assumptions!$C$29*Assumptions!$E$35/100,0)+IF(AND(U$51&gt;=2,MOD(U$51,2)=0,U$51&lt;=IF($C55=1,$C$5-2,12)),Assumptions!$C$29*Assumptions!$D$35/2,0)+IF($C55=1,IF(U$51=$C$6,Assumptions!$C$29*$C$49,0),IF(U$51=12,Assumptions!$C$29*$E55/100,0))</f>
        <v>12828.6791230231</v>
      </c>
      <c r="V55" s="40" t="n">
        <f aca="false">IF(V$51=0,-Assumptions!$C$29*Assumptions!$E$35/100,0)+IF(AND(V$51&gt;=2,MOD(V$51,2)=0,V$51&lt;=IF($C55=1,$C$5-2,12)),Assumptions!$C$29*Assumptions!$D$35/2,0)+IF($C55=1,IF(V$51=$C$6,Assumptions!$C$29*$C$49,0),IF(V$51=12,Assumptions!$C$29*$E55/100,0))</f>
        <v>0</v>
      </c>
      <c r="W55" s="40" t="n">
        <f aca="false">IF(W$51=0,-Assumptions!$C$29*Assumptions!$E$35/100,0)+IF(AND(W$51&gt;=2,MOD(W$51,2)=0,W$51&lt;=IF($C55=1,$C$5-2,12)),Assumptions!$C$29*Assumptions!$D$35/2,0)+IF($C55=1,IF(W$51=$C$6,Assumptions!$C$29*$C$49,0),IF(W$51=12,Assumptions!$C$29*$E55/100,0))</f>
        <v>0</v>
      </c>
      <c r="X55" s="40" t="n">
        <f aca="false">IF(X$51=0,-Assumptions!$C$29*Assumptions!$E$35/100,0)+IF(AND(X$51&gt;=2,MOD(X$51,2)=0,X$51&lt;=IF($C55=1,$C$5-2,12)),Assumptions!$C$29*Assumptions!$D$35/2,0)+IF($C55=1,IF(X$51=$C$6,Assumptions!$C$29*$C$49,0),IF(X$51=12,Assumptions!$C$29*$E55/100,0))</f>
        <v>0</v>
      </c>
      <c r="Y55" s="40" t="n">
        <f aca="false">IF(Y$51=0,-Assumptions!$C$29*Assumptions!$E$35/100,0)+IF(AND(Y$51&gt;=2,MOD(Y$51,2)=0,Y$51&lt;=IF($C55=1,$C$5-2,12)),Assumptions!$C$29*Assumptions!$D$35/2,0)+IF($C55=1,IF(Y$51=$C$6,Assumptions!$C$29*$C$49,0),IF(Y$51=12,Assumptions!$C$29*$E55/100,0))</f>
        <v>0</v>
      </c>
    </row>
    <row r="56" customFormat="false" ht="15" hidden="false" customHeight="false" outlineLevel="0" collapsed="false">
      <c r="B56" s="9" t="s">
        <v>51</v>
      </c>
      <c r="C56" s="28" t="n">
        <f aca="false">IF($C$13&lt;=$C$50,1,0)</f>
        <v>1</v>
      </c>
      <c r="D56" s="19" t="n">
        <f aca="false">Assumptions!$F$36</f>
        <v>12125</v>
      </c>
      <c r="E56" s="39" t="n">
        <f aca="false">PV($F56/2,(Assumptions!$C$30*4-12)/2,-Assumptions!$D$36*100/2,-100)</f>
        <v>98.6441572961372</v>
      </c>
      <c r="F56" s="17" t="n">
        <f aca="false">RATE(Assumptions!$C$30*2,Assumptions!$D$36*100/2,-Assumptions!$E$36,100)*2</f>
        <v>0.0875368825411204</v>
      </c>
      <c r="G56" s="26" t="n">
        <f aca="false">SUM(I56:Y56)</f>
        <v>-8000</v>
      </c>
      <c r="H56" s="17" t="n">
        <f aca="false">(1+IRR(I56:Y56,IF(SUM(I56:Y56)&lt;0,-0.05,0.01)))^4-1</f>
        <v>-0.388079423733663</v>
      </c>
      <c r="I56" s="40" t="n">
        <f aca="false">IF(I$51=0,-Assumptions!$C$29*Assumptions!$E$36/100,0)+IF(AND(I$51&gt;=2,MOD(I$51,2)=0,I$51&lt;=IF($C56=1,$C$5-2,12)),Assumptions!$C$29*Assumptions!$D$36/2,0)+IF($C56=1,IF(I$51=$C$6,Assumptions!$C$29*$C$49,0),IF(I$51=12,Assumptions!$C$29*$E56/100,0))</f>
        <v>-12125</v>
      </c>
      <c r="J56" s="40" t="n">
        <f aca="false">IF(J$51=0,-Assumptions!$C$29*Assumptions!$E$36/100,0)+IF(AND(J$51&gt;=2,MOD(J$51,2)=0,J$51&lt;=IF($C56=1,$C$5-2,12)),Assumptions!$C$29*Assumptions!$D$36/2,0)+IF($C56=1,IF(J$51=$C$6,Assumptions!$C$29*$C$49,0),IF(J$51=12,Assumptions!$C$29*$E56/100,0))</f>
        <v>0</v>
      </c>
      <c r="K56" s="40" t="n">
        <f aca="false">IF(K$51=0,-Assumptions!$C$29*Assumptions!$E$36/100,0)+IF(AND(K$51&gt;=2,MOD(K$51,2)=0,K$51&lt;=IF($C56=1,$C$5-2,12)),Assumptions!$C$29*Assumptions!$D$36/2,0)+IF($C56=1,IF(K$51=$C$6,Assumptions!$C$29*$C$49,0),IF(K$51=12,Assumptions!$C$29*$E56/100,0))</f>
        <v>500</v>
      </c>
      <c r="L56" s="40" t="n">
        <f aca="false">IF(L$51=0,-Assumptions!$C$29*Assumptions!$E$36/100,0)+IF(AND(L$51&gt;=2,MOD(L$51,2)=0,L$51&lt;=IF($C56=1,$C$5-2,12)),Assumptions!$C$29*Assumptions!$D$36/2,0)+IF($C56=1,IF(L$51=$C$6,Assumptions!$C$29*$C$49,0),IF(L$51=12,Assumptions!$C$29*$E56/100,0))</f>
        <v>0</v>
      </c>
      <c r="M56" s="40" t="n">
        <f aca="false">IF(M$51=0,-Assumptions!$C$29*Assumptions!$E$36/100,0)+IF(AND(M$51&gt;=2,MOD(M$51,2)=0,M$51&lt;=IF($C56=1,$C$5-2,12)),Assumptions!$C$29*Assumptions!$D$36/2,0)+IF($C56=1,IF(M$51=$C$6,Assumptions!$C$29*$C$49,0),IF(M$51=12,Assumptions!$C$29*$E56/100,0))</f>
        <v>500</v>
      </c>
      <c r="N56" s="40" t="n">
        <f aca="false">IF(N$51=0,-Assumptions!$C$29*Assumptions!$E$36/100,0)+IF(AND(N$51&gt;=2,MOD(N$51,2)=0,N$51&lt;=IF($C56=1,$C$5-2,12)),Assumptions!$C$29*Assumptions!$D$36/2,0)+IF($C56=1,IF(N$51=$C$6,Assumptions!$C$29*$C$49,0),IF(N$51=12,Assumptions!$C$29*$E56/100,0))</f>
        <v>0</v>
      </c>
      <c r="O56" s="40" t="n">
        <f aca="false">IF(O$51=0,-Assumptions!$C$29*Assumptions!$E$36/100,0)+IF(AND(O$51&gt;=2,MOD(O$51,2)=0,O$51&lt;=IF($C56=1,$C$5-2,12)),Assumptions!$C$29*Assumptions!$D$36/2,0)+IF($C56=1,IF(O$51=$C$6,Assumptions!$C$29*$C$49,0),IF(O$51=12,Assumptions!$C$29*$E56/100,0))</f>
        <v>0</v>
      </c>
      <c r="P56" s="40" t="n">
        <f aca="false">IF(P$51=0,-Assumptions!$C$29*Assumptions!$E$36/100,0)+IF(AND(P$51&gt;=2,MOD(P$51,2)=0,P$51&lt;=IF($C56=1,$C$5-2,12)),Assumptions!$C$29*Assumptions!$D$36/2,0)+IF($C56=1,IF(P$51=$C$6,Assumptions!$C$29*$C$49,0),IF(P$51=12,Assumptions!$C$29*$E56/100,0))</f>
        <v>0</v>
      </c>
      <c r="Q56" s="40" t="n">
        <f aca="false">IF(Q$51=0,-Assumptions!$C$29*Assumptions!$E$36/100,0)+IF(AND(Q$51&gt;=2,MOD(Q$51,2)=0,Q$51&lt;=IF($C56=1,$C$5-2,12)),Assumptions!$C$29*Assumptions!$D$36/2,0)+IF($C56=1,IF(Q$51=$C$6,Assumptions!$C$29*$C$49,0),IF(Q$51=12,Assumptions!$C$29*$E56/100,0))</f>
        <v>0</v>
      </c>
      <c r="R56" s="40" t="n">
        <f aca="false">IF(R$51=0,-Assumptions!$C$29*Assumptions!$E$36/100,0)+IF(AND(R$51&gt;=2,MOD(R$51,2)=0,R$51&lt;=IF($C56=1,$C$5-2,12)),Assumptions!$C$29*Assumptions!$D$36/2,0)+IF($C56=1,IF(R$51=$C$6,Assumptions!$C$29*$C$49,0),IF(R$51=12,Assumptions!$C$29*$E56/100,0))</f>
        <v>0</v>
      </c>
      <c r="S56" s="40" t="n">
        <f aca="false">IF(S$51=0,-Assumptions!$C$29*Assumptions!$E$36/100,0)+IF(AND(S$51&gt;=2,MOD(S$51,2)=0,S$51&lt;=IF($C56=1,$C$5-2,12)),Assumptions!$C$29*Assumptions!$D$36/2,0)+IF($C56=1,IF(S$51=$C$6,Assumptions!$C$29*$C$49,0),IF(S$51=12,Assumptions!$C$29*$E56/100,0))</f>
        <v>3125</v>
      </c>
      <c r="T56" s="40" t="n">
        <f aca="false">IF(T$51=0,-Assumptions!$C$29*Assumptions!$E$36/100,0)+IF(AND(T$51&gt;=2,MOD(T$51,2)=0,T$51&lt;=IF($C56=1,$C$5-2,12)),Assumptions!$C$29*Assumptions!$D$36/2,0)+IF($C56=1,IF(T$51=$C$6,Assumptions!$C$29*$C$49,0),IF(T$51=12,Assumptions!$C$29*$E56/100,0))</f>
        <v>0</v>
      </c>
      <c r="U56" s="40" t="n">
        <f aca="false">IF(U$51=0,-Assumptions!$C$29*Assumptions!$E$36/100,0)+IF(AND(U$51&gt;=2,MOD(U$51,2)=0,U$51&lt;=IF($C56=1,$C$5-2,12)),Assumptions!$C$29*Assumptions!$D$36/2,0)+IF($C56=1,IF(U$51=$C$6,Assumptions!$C$29*$C$49,0),IF(U$51=12,Assumptions!$C$29*$E56/100,0))</f>
        <v>0</v>
      </c>
      <c r="V56" s="40" t="n">
        <f aca="false">IF(V$51=0,-Assumptions!$C$29*Assumptions!$E$36/100,0)+IF(AND(V$51&gt;=2,MOD(V$51,2)=0,V$51&lt;=IF($C56=1,$C$5-2,12)),Assumptions!$C$29*Assumptions!$D$36/2,0)+IF($C56=1,IF(V$51=$C$6,Assumptions!$C$29*$C$49,0),IF(V$51=12,Assumptions!$C$29*$E56/100,0))</f>
        <v>0</v>
      </c>
      <c r="W56" s="40" t="n">
        <f aca="false">IF(W$51=0,-Assumptions!$C$29*Assumptions!$E$36/100,0)+IF(AND(W$51&gt;=2,MOD(W$51,2)=0,W$51&lt;=IF($C56=1,$C$5-2,12)),Assumptions!$C$29*Assumptions!$D$36/2,0)+IF($C56=1,IF(W$51=$C$6,Assumptions!$C$29*$C$49,0),IF(W$51=12,Assumptions!$C$29*$E56/100,0))</f>
        <v>0</v>
      </c>
      <c r="X56" s="40" t="n">
        <f aca="false">IF(X$51=0,-Assumptions!$C$29*Assumptions!$E$36/100,0)+IF(AND(X$51&gt;=2,MOD(X$51,2)=0,X$51&lt;=IF($C56=1,$C$5-2,12)),Assumptions!$C$29*Assumptions!$D$36/2,0)+IF($C56=1,IF(X$51=$C$6,Assumptions!$C$29*$C$49,0),IF(X$51=12,Assumptions!$C$29*$E56/100,0))</f>
        <v>0</v>
      </c>
      <c r="Y56" s="40" t="n">
        <f aca="false">IF(Y$51=0,-Assumptions!$C$29*Assumptions!$E$36/100,0)+IF(AND(Y$51&gt;=2,MOD(Y$51,2)=0,Y$51&lt;=IF($C56=1,$C$5-2,12)),Assumptions!$C$29*Assumptions!$D$36/2,0)+IF($C56=1,IF(Y$51=$C$6,Assumptions!$C$29*$C$49,0),IF(Y$51=12,Assumptions!$C$29*$E56/100,0))</f>
        <v>0</v>
      </c>
    </row>
    <row r="57" customFormat="false" ht="15" hidden="false" customHeight="false" outlineLevel="0" collapsed="false">
      <c r="B57" s="9" t="s">
        <v>52</v>
      </c>
      <c r="C57" s="28" t="n">
        <f aca="false">IF($C$14&lt;=$C$50,1,0)</f>
        <v>1</v>
      </c>
      <c r="D57" s="19" t="n">
        <f aca="false">Assumptions!$F$37</f>
        <v>11750</v>
      </c>
      <c r="E57" s="39" t="n">
        <f aca="false">PV($F57/2,(Assumptions!$C$30*4-12)/2,-Assumptions!$D$37*100/2,-100)</f>
        <v>97.2427387979842</v>
      </c>
      <c r="F57" s="17" t="n">
        <f aca="false">RATE(Assumptions!$C$30*2,Assumptions!$D$37*100/2,-Assumptions!$E$37,100)*2</f>
        <v>0.100561753609911</v>
      </c>
      <c r="G57" s="26" t="n">
        <f aca="false">SUM(I57:Y57)</f>
        <v>-7562.5</v>
      </c>
      <c r="H57" s="17" t="n">
        <f aca="false">(1+IRR(I57:Y57,IF(SUM(I57:Y57)&lt;0,-0.05,0.01)))^4-1</f>
        <v>-0.377547951583126</v>
      </c>
      <c r="I57" s="40" t="n">
        <f aca="false">IF(I$51=0,-Assumptions!$C$29*Assumptions!$E$37/100,0)+IF(AND(I$51&gt;=2,MOD(I$51,2)=0,I$51&lt;=IF($C57=1,$C$5-2,12)),Assumptions!$C$29*Assumptions!$D$37/2,0)+IF($C57=1,IF(I$51=$C$6,Assumptions!$C$29*$C$49,0),IF(I$51=12,Assumptions!$C$29*$E57/100,0))</f>
        <v>-11750</v>
      </c>
      <c r="J57" s="40" t="n">
        <f aca="false">IF(J$51=0,-Assumptions!$C$29*Assumptions!$E$37/100,0)+IF(AND(J$51&gt;=2,MOD(J$51,2)=0,J$51&lt;=IF($C57=1,$C$5-2,12)),Assumptions!$C$29*Assumptions!$D$37/2,0)+IF($C57=1,IF(J$51=$C$6,Assumptions!$C$29*$C$49,0),IF(J$51=12,Assumptions!$C$29*$E57/100,0))</f>
        <v>0</v>
      </c>
      <c r="K57" s="40" t="n">
        <f aca="false">IF(K$51=0,-Assumptions!$C$29*Assumptions!$E$37/100,0)+IF(AND(K$51&gt;=2,MOD(K$51,2)=0,K$51&lt;=IF($C57=1,$C$5-2,12)),Assumptions!$C$29*Assumptions!$D$37/2,0)+IF($C57=1,IF(K$51=$C$6,Assumptions!$C$29*$C$49,0),IF(K$51=12,Assumptions!$C$29*$E57/100,0))</f>
        <v>531.25</v>
      </c>
      <c r="L57" s="40" t="n">
        <f aca="false">IF(L$51=0,-Assumptions!$C$29*Assumptions!$E$37/100,0)+IF(AND(L$51&gt;=2,MOD(L$51,2)=0,L$51&lt;=IF($C57=1,$C$5-2,12)),Assumptions!$C$29*Assumptions!$D$37/2,0)+IF($C57=1,IF(L$51=$C$6,Assumptions!$C$29*$C$49,0),IF(L$51=12,Assumptions!$C$29*$E57/100,0))</f>
        <v>0</v>
      </c>
      <c r="M57" s="40" t="n">
        <f aca="false">IF(M$51=0,-Assumptions!$C$29*Assumptions!$E$37/100,0)+IF(AND(M$51&gt;=2,MOD(M$51,2)=0,M$51&lt;=IF($C57=1,$C$5-2,12)),Assumptions!$C$29*Assumptions!$D$37/2,0)+IF($C57=1,IF(M$51=$C$6,Assumptions!$C$29*$C$49,0),IF(M$51=12,Assumptions!$C$29*$E57/100,0))</f>
        <v>531.25</v>
      </c>
      <c r="N57" s="40" t="n">
        <f aca="false">IF(N$51=0,-Assumptions!$C$29*Assumptions!$E$37/100,0)+IF(AND(N$51&gt;=2,MOD(N$51,2)=0,N$51&lt;=IF($C57=1,$C$5-2,12)),Assumptions!$C$29*Assumptions!$D$37/2,0)+IF($C57=1,IF(N$51=$C$6,Assumptions!$C$29*$C$49,0),IF(N$51=12,Assumptions!$C$29*$E57/100,0))</f>
        <v>0</v>
      </c>
      <c r="O57" s="40" t="n">
        <f aca="false">IF(O$51=0,-Assumptions!$C$29*Assumptions!$E$37/100,0)+IF(AND(O$51&gt;=2,MOD(O$51,2)=0,O$51&lt;=IF($C57=1,$C$5-2,12)),Assumptions!$C$29*Assumptions!$D$37/2,0)+IF($C57=1,IF(O$51=$C$6,Assumptions!$C$29*$C$49,0),IF(O$51=12,Assumptions!$C$29*$E57/100,0))</f>
        <v>0</v>
      </c>
      <c r="P57" s="40" t="n">
        <f aca="false">IF(P$51=0,-Assumptions!$C$29*Assumptions!$E$37/100,0)+IF(AND(P$51&gt;=2,MOD(P$51,2)=0,P$51&lt;=IF($C57=1,$C$5-2,12)),Assumptions!$C$29*Assumptions!$D$37/2,0)+IF($C57=1,IF(P$51=$C$6,Assumptions!$C$29*$C$49,0),IF(P$51=12,Assumptions!$C$29*$E57/100,0))</f>
        <v>0</v>
      </c>
      <c r="Q57" s="40" t="n">
        <f aca="false">IF(Q$51=0,-Assumptions!$C$29*Assumptions!$E$37/100,0)+IF(AND(Q$51&gt;=2,MOD(Q$51,2)=0,Q$51&lt;=IF($C57=1,$C$5-2,12)),Assumptions!$C$29*Assumptions!$D$37/2,0)+IF($C57=1,IF(Q$51=$C$6,Assumptions!$C$29*$C$49,0),IF(Q$51=12,Assumptions!$C$29*$E57/100,0))</f>
        <v>0</v>
      </c>
      <c r="R57" s="40" t="n">
        <f aca="false">IF(R$51=0,-Assumptions!$C$29*Assumptions!$E$37/100,0)+IF(AND(R$51&gt;=2,MOD(R$51,2)=0,R$51&lt;=IF($C57=1,$C$5-2,12)),Assumptions!$C$29*Assumptions!$D$37/2,0)+IF($C57=1,IF(R$51=$C$6,Assumptions!$C$29*$C$49,0),IF(R$51=12,Assumptions!$C$29*$E57/100,0))</f>
        <v>0</v>
      </c>
      <c r="S57" s="40" t="n">
        <f aca="false">IF(S$51=0,-Assumptions!$C$29*Assumptions!$E$37/100,0)+IF(AND(S$51&gt;=2,MOD(S$51,2)=0,S$51&lt;=IF($C57=1,$C$5-2,12)),Assumptions!$C$29*Assumptions!$D$37/2,0)+IF($C57=1,IF(S$51=$C$6,Assumptions!$C$29*$C$49,0),IF(S$51=12,Assumptions!$C$29*$E57/100,0))</f>
        <v>3125</v>
      </c>
      <c r="T57" s="40" t="n">
        <f aca="false">IF(T$51=0,-Assumptions!$C$29*Assumptions!$E$37/100,0)+IF(AND(T$51&gt;=2,MOD(T$51,2)=0,T$51&lt;=IF($C57=1,$C$5-2,12)),Assumptions!$C$29*Assumptions!$D$37/2,0)+IF($C57=1,IF(T$51=$C$6,Assumptions!$C$29*$C$49,0),IF(T$51=12,Assumptions!$C$29*$E57/100,0))</f>
        <v>0</v>
      </c>
      <c r="U57" s="40" t="n">
        <f aca="false">IF(U$51=0,-Assumptions!$C$29*Assumptions!$E$37/100,0)+IF(AND(U$51&gt;=2,MOD(U$51,2)=0,U$51&lt;=IF($C57=1,$C$5-2,12)),Assumptions!$C$29*Assumptions!$D$37/2,0)+IF($C57=1,IF(U$51=$C$6,Assumptions!$C$29*$C$49,0),IF(U$51=12,Assumptions!$C$29*$E57/100,0))</f>
        <v>0</v>
      </c>
      <c r="V57" s="40" t="n">
        <f aca="false">IF(V$51=0,-Assumptions!$C$29*Assumptions!$E$37/100,0)+IF(AND(V$51&gt;=2,MOD(V$51,2)=0,V$51&lt;=IF($C57=1,$C$5-2,12)),Assumptions!$C$29*Assumptions!$D$37/2,0)+IF($C57=1,IF(V$51=$C$6,Assumptions!$C$29*$C$49,0),IF(V$51=12,Assumptions!$C$29*$E57/100,0))</f>
        <v>0</v>
      </c>
      <c r="W57" s="40" t="n">
        <f aca="false">IF(W$51=0,-Assumptions!$C$29*Assumptions!$E$37/100,0)+IF(AND(W$51&gt;=2,MOD(W$51,2)=0,W$51&lt;=IF($C57=1,$C$5-2,12)),Assumptions!$C$29*Assumptions!$D$37/2,0)+IF($C57=1,IF(W$51=$C$6,Assumptions!$C$29*$C$49,0),IF(W$51=12,Assumptions!$C$29*$E57/100,0))</f>
        <v>0</v>
      </c>
      <c r="X57" s="40" t="n">
        <f aca="false">IF(X$51=0,-Assumptions!$C$29*Assumptions!$E$37/100,0)+IF(AND(X$51&gt;=2,MOD(X$51,2)=0,X$51&lt;=IF($C57=1,$C$5-2,12)),Assumptions!$C$29*Assumptions!$D$37/2,0)+IF($C57=1,IF(X$51=$C$6,Assumptions!$C$29*$C$49,0),IF(X$51=12,Assumptions!$C$29*$E57/100,0))</f>
        <v>0</v>
      </c>
      <c r="Y57" s="40" t="n">
        <f aca="false">IF(Y$51=0,-Assumptions!$C$29*Assumptions!$E$37/100,0)+IF(AND(Y$51&gt;=2,MOD(Y$51,2)=0,Y$51&lt;=IF($C57=1,$C$5-2,12)),Assumptions!$C$29*Assumptions!$D$37/2,0)+IF($C57=1,IF(Y$51=$C$6,Assumptions!$C$29*$C$49,0),IF(Y$51=12,Assumptions!$C$29*$E57/100,0))</f>
        <v>0</v>
      </c>
    </row>
    <row r="58" customFormat="false" ht="15" hidden="false" customHeight="false" outlineLevel="0" collapsed="false">
      <c r="B58" s="29" t="s">
        <v>154</v>
      </c>
      <c r="D58" s="41" t="n">
        <f aca="false">SUM(D52:D57)</f>
        <v>73000</v>
      </c>
      <c r="G58" s="41" t="n">
        <f aca="false">SUM(I58:Y58)</f>
        <v>-4389.98478955899</v>
      </c>
      <c r="H58" s="30" t="n">
        <f aca="false">(1+IRR(I58:Y58,IF(SUM(I58:Y58)&lt;0,-0.05,0.01)))^4-1</f>
        <v>-0.0227331144139129</v>
      </c>
      <c r="I58" s="42" t="n">
        <f aca="false">SUM(I52:I57)</f>
        <v>-73000</v>
      </c>
      <c r="J58" s="42" t="n">
        <f aca="false">SUM(J52:J57)</f>
        <v>0</v>
      </c>
      <c r="K58" s="42" t="n">
        <f aca="false">SUM(K52:K57)</f>
        <v>2812.5</v>
      </c>
      <c r="L58" s="42" t="n">
        <f aca="false">SUM(L52:L57)</f>
        <v>0</v>
      </c>
      <c r="M58" s="42" t="n">
        <f aca="false">SUM(M52:M57)</f>
        <v>2812.5</v>
      </c>
      <c r="N58" s="42" t="n">
        <f aca="false">SUM(N52:N57)</f>
        <v>0</v>
      </c>
      <c r="O58" s="42" t="n">
        <f aca="false">SUM(O52:O57)</f>
        <v>1781.25</v>
      </c>
      <c r="P58" s="42" t="n">
        <f aca="false">SUM(P52:P57)</f>
        <v>0</v>
      </c>
      <c r="Q58" s="42" t="n">
        <f aca="false">SUM(Q52:Q57)</f>
        <v>1781.25</v>
      </c>
      <c r="R58" s="42" t="n">
        <f aca="false">SUM(R52:R57)</f>
        <v>0</v>
      </c>
      <c r="S58" s="42" t="n">
        <f aca="false">SUM(S52:S57)</f>
        <v>8031.25</v>
      </c>
      <c r="T58" s="42" t="n">
        <f aca="false">SUM(T52:T57)</f>
        <v>0</v>
      </c>
      <c r="U58" s="42" t="n">
        <f aca="false">SUM(U52:U57)</f>
        <v>51391.265210441</v>
      </c>
      <c r="V58" s="42" t="n">
        <f aca="false">SUM(V52:V57)</f>
        <v>0</v>
      </c>
      <c r="W58" s="42" t="n">
        <f aca="false">SUM(W52:W57)</f>
        <v>0</v>
      </c>
      <c r="X58" s="42" t="n">
        <f aca="false">SUM(X52:X57)</f>
        <v>0</v>
      </c>
      <c r="Y58" s="42" t="n">
        <f aca="false">SUM(Y52:Y57)</f>
        <v>0</v>
      </c>
    </row>
    <row r="60" customFormat="false" ht="15" hidden="false" customHeight="false" outlineLevel="0" collapsed="false">
      <c r="B60" s="7" t="s">
        <v>157</v>
      </c>
      <c r="C60" s="8"/>
      <c r="D60" s="8"/>
      <c r="E60" s="8"/>
      <c r="F60" s="8"/>
      <c r="G60" s="8"/>
      <c r="H60" s="8"/>
      <c r="I60" s="8"/>
      <c r="J60" s="8"/>
      <c r="K60" s="8"/>
      <c r="L60" s="8"/>
      <c r="M60" s="8"/>
      <c r="N60" s="8"/>
      <c r="O60" s="8"/>
      <c r="P60" s="8"/>
      <c r="Q60" s="8"/>
      <c r="R60" s="8"/>
      <c r="S60" s="8"/>
      <c r="T60" s="8"/>
      <c r="U60" s="8"/>
      <c r="V60" s="8"/>
      <c r="W60" s="8"/>
      <c r="X60" s="8"/>
      <c r="Y60" s="8"/>
    </row>
    <row r="61" customFormat="false" ht="15" hidden="false" customHeight="false" outlineLevel="0" collapsed="false">
      <c r="B61" s="9" t="s">
        <v>117</v>
      </c>
      <c r="C61" s="22" t="n">
        <f aca="false">$B$18</f>
        <v>0.25</v>
      </c>
    </row>
    <row r="62" customFormat="false" ht="15" hidden="false" customHeight="false" outlineLevel="0" collapsed="false">
      <c r="B62" s="9" t="s">
        <v>148</v>
      </c>
      <c r="C62" s="28" t="n">
        <f aca="false">F$17</f>
        <v>3</v>
      </c>
    </row>
    <row r="63" customFormat="false" ht="30" hidden="false" customHeight="true" outlineLevel="0" collapsed="false">
      <c r="B63" s="13" t="s">
        <v>32</v>
      </c>
      <c r="C63" s="14" t="s">
        <v>149</v>
      </c>
      <c r="D63" s="14" t="s">
        <v>46</v>
      </c>
      <c r="E63" s="14" t="s">
        <v>150</v>
      </c>
      <c r="F63" s="14" t="s">
        <v>151</v>
      </c>
      <c r="G63" s="14" t="s">
        <v>152</v>
      </c>
      <c r="H63" s="14" t="s">
        <v>153</v>
      </c>
      <c r="I63" s="38" t="n">
        <v>0</v>
      </c>
      <c r="J63" s="38" t="n">
        <v>1</v>
      </c>
      <c r="K63" s="38" t="n">
        <v>2</v>
      </c>
      <c r="L63" s="38" t="n">
        <v>3</v>
      </c>
      <c r="M63" s="38" t="n">
        <v>4</v>
      </c>
      <c r="N63" s="38" t="n">
        <v>5</v>
      </c>
      <c r="O63" s="38" t="n">
        <v>6</v>
      </c>
      <c r="P63" s="38" t="n">
        <v>7</v>
      </c>
      <c r="Q63" s="38" t="n">
        <v>8</v>
      </c>
      <c r="R63" s="38" t="n">
        <v>9</v>
      </c>
      <c r="S63" s="38" t="n">
        <v>10</v>
      </c>
      <c r="T63" s="38" t="n">
        <v>11</v>
      </c>
      <c r="U63" s="38" t="n">
        <v>12</v>
      </c>
      <c r="V63" s="38" t="n">
        <v>13</v>
      </c>
      <c r="W63" s="38" t="n">
        <v>14</v>
      </c>
      <c r="X63" s="38" t="n">
        <v>15</v>
      </c>
      <c r="Y63" s="38" t="n">
        <v>16</v>
      </c>
    </row>
    <row r="64" customFormat="false" ht="15" hidden="false" customHeight="false" outlineLevel="0" collapsed="false">
      <c r="B64" s="9" t="s">
        <v>47</v>
      </c>
      <c r="C64" s="28" t="n">
        <f aca="false">IF($C$9&lt;=$C$62,1,0)</f>
        <v>0</v>
      </c>
      <c r="D64" s="19" t="n">
        <f aca="false">Assumptions!$F$32</f>
        <v>12375</v>
      </c>
      <c r="E64" s="39" t="n">
        <f aca="false">PV($F64/2,(Assumptions!$C$30*4-12)/2,-Assumptions!$D$32*100/2,-100)</f>
        <v>99.5584003138178</v>
      </c>
      <c r="F64" s="17" t="n">
        <f aca="false">RATE(Assumptions!$C$30*2,Assumptions!$D$32*100/2,-Assumptions!$E$32,100)*2</f>
        <v>0.0699042470751673</v>
      </c>
      <c r="G64" s="26" t="n">
        <f aca="false">SUM(I64:Y64)</f>
        <v>2601.05003922723</v>
      </c>
      <c r="H64" s="17" t="n">
        <f aca="false">(1+IRR(I64:Y64,IF(SUM(I64:Y64)&lt;0,-0.05,0.01)))^4-1</f>
        <v>0.0711258980149541</v>
      </c>
      <c r="I64" s="40" t="n">
        <f aca="false">IF(I$63=0,-Assumptions!$C$29*Assumptions!$E$32/100,0)+IF(AND(I$63&gt;=2,MOD(I$63,2)=0,I$63&lt;=IF($C64=1,$C$5-2,12)),Assumptions!$C$29*Assumptions!$D$32/2,0)+IF($C64=1,IF(I$63=$C$6,Assumptions!$C$29*$C$61,0),IF(I$63=12,Assumptions!$C$29*$E64/100,0))</f>
        <v>-12375</v>
      </c>
      <c r="J64" s="40" t="n">
        <f aca="false">IF(J$63=0,-Assumptions!$C$29*Assumptions!$E$32/100,0)+IF(AND(J$63&gt;=2,MOD(J$63,2)=0,J$63&lt;=IF($C64=1,$C$5-2,12)),Assumptions!$C$29*Assumptions!$D$32/2,0)+IF($C64=1,IF(J$63=$C$6,Assumptions!$C$29*$C$61,0),IF(J$63=12,Assumptions!$C$29*$E64/100,0))</f>
        <v>0</v>
      </c>
      <c r="K64" s="40" t="n">
        <f aca="false">IF(K$63=0,-Assumptions!$C$29*Assumptions!$E$32/100,0)+IF(AND(K$63&gt;=2,MOD(K$63,2)=0,K$63&lt;=IF($C64=1,$C$5-2,12)),Assumptions!$C$29*Assumptions!$D$32/2,0)+IF($C64=1,IF(K$63=$C$6,Assumptions!$C$29*$C$61,0),IF(K$63=12,Assumptions!$C$29*$E64/100,0))</f>
        <v>421.875</v>
      </c>
      <c r="L64" s="40" t="n">
        <f aca="false">IF(L$63=0,-Assumptions!$C$29*Assumptions!$E$32/100,0)+IF(AND(L$63&gt;=2,MOD(L$63,2)=0,L$63&lt;=IF($C64=1,$C$5-2,12)),Assumptions!$C$29*Assumptions!$D$32/2,0)+IF($C64=1,IF(L$63=$C$6,Assumptions!$C$29*$C$61,0),IF(L$63=12,Assumptions!$C$29*$E64/100,0))</f>
        <v>0</v>
      </c>
      <c r="M64" s="40" t="n">
        <f aca="false">IF(M$63=0,-Assumptions!$C$29*Assumptions!$E$32/100,0)+IF(AND(M$63&gt;=2,MOD(M$63,2)=0,M$63&lt;=IF($C64=1,$C$5-2,12)),Assumptions!$C$29*Assumptions!$D$32/2,0)+IF($C64=1,IF(M$63=$C$6,Assumptions!$C$29*$C$61,0),IF(M$63=12,Assumptions!$C$29*$E64/100,0))</f>
        <v>421.875</v>
      </c>
      <c r="N64" s="40" t="n">
        <f aca="false">IF(N$63=0,-Assumptions!$C$29*Assumptions!$E$32/100,0)+IF(AND(N$63&gt;=2,MOD(N$63,2)=0,N$63&lt;=IF($C64=1,$C$5-2,12)),Assumptions!$C$29*Assumptions!$D$32/2,0)+IF($C64=1,IF(N$63=$C$6,Assumptions!$C$29*$C$61,0),IF(N$63=12,Assumptions!$C$29*$E64/100,0))</f>
        <v>0</v>
      </c>
      <c r="O64" s="40" t="n">
        <f aca="false">IF(O$63=0,-Assumptions!$C$29*Assumptions!$E$32/100,0)+IF(AND(O$63&gt;=2,MOD(O$63,2)=0,O$63&lt;=IF($C64=1,$C$5-2,12)),Assumptions!$C$29*Assumptions!$D$32/2,0)+IF($C64=1,IF(O$63=$C$6,Assumptions!$C$29*$C$61,0),IF(O$63=12,Assumptions!$C$29*$E64/100,0))</f>
        <v>421.875</v>
      </c>
      <c r="P64" s="40" t="n">
        <f aca="false">IF(P$63=0,-Assumptions!$C$29*Assumptions!$E$32/100,0)+IF(AND(P$63&gt;=2,MOD(P$63,2)=0,P$63&lt;=IF($C64=1,$C$5-2,12)),Assumptions!$C$29*Assumptions!$D$32/2,0)+IF($C64=1,IF(P$63=$C$6,Assumptions!$C$29*$C$61,0),IF(P$63=12,Assumptions!$C$29*$E64/100,0))</f>
        <v>0</v>
      </c>
      <c r="Q64" s="40" t="n">
        <f aca="false">IF(Q$63=0,-Assumptions!$C$29*Assumptions!$E$32/100,0)+IF(AND(Q$63&gt;=2,MOD(Q$63,2)=0,Q$63&lt;=IF($C64=1,$C$5-2,12)),Assumptions!$C$29*Assumptions!$D$32/2,0)+IF($C64=1,IF(Q$63=$C$6,Assumptions!$C$29*$C$61,0),IF(Q$63=12,Assumptions!$C$29*$E64/100,0))</f>
        <v>421.875</v>
      </c>
      <c r="R64" s="40" t="n">
        <f aca="false">IF(R$63=0,-Assumptions!$C$29*Assumptions!$E$32/100,0)+IF(AND(R$63&gt;=2,MOD(R$63,2)=0,R$63&lt;=IF($C64=1,$C$5-2,12)),Assumptions!$C$29*Assumptions!$D$32/2,0)+IF($C64=1,IF(R$63=$C$6,Assumptions!$C$29*$C$61,0),IF(R$63=12,Assumptions!$C$29*$E64/100,0))</f>
        <v>0</v>
      </c>
      <c r="S64" s="40" t="n">
        <f aca="false">IF(S$63=0,-Assumptions!$C$29*Assumptions!$E$32/100,0)+IF(AND(S$63&gt;=2,MOD(S$63,2)=0,S$63&lt;=IF($C64=1,$C$5-2,12)),Assumptions!$C$29*Assumptions!$D$32/2,0)+IF($C64=1,IF(S$63=$C$6,Assumptions!$C$29*$C$61,0),IF(S$63=12,Assumptions!$C$29*$E64/100,0))</f>
        <v>421.875</v>
      </c>
      <c r="T64" s="40" t="n">
        <f aca="false">IF(T$63=0,-Assumptions!$C$29*Assumptions!$E$32/100,0)+IF(AND(T$63&gt;=2,MOD(T$63,2)=0,T$63&lt;=IF($C64=1,$C$5-2,12)),Assumptions!$C$29*Assumptions!$D$32/2,0)+IF($C64=1,IF(T$63=$C$6,Assumptions!$C$29*$C$61,0),IF(T$63=12,Assumptions!$C$29*$E64/100,0))</f>
        <v>0</v>
      </c>
      <c r="U64" s="40" t="n">
        <f aca="false">IF(U$63=0,-Assumptions!$C$29*Assumptions!$E$32/100,0)+IF(AND(U$63&gt;=2,MOD(U$63,2)=0,U$63&lt;=IF($C64=1,$C$5-2,12)),Assumptions!$C$29*Assumptions!$D$32/2,0)+IF($C64=1,IF(U$63=$C$6,Assumptions!$C$29*$C$61,0),IF(U$63=12,Assumptions!$C$29*$E64/100,0))</f>
        <v>12866.6750392272</v>
      </c>
      <c r="V64" s="40" t="n">
        <f aca="false">IF(V$63=0,-Assumptions!$C$29*Assumptions!$E$32/100,0)+IF(AND(V$63&gt;=2,MOD(V$63,2)=0,V$63&lt;=IF($C64=1,$C$5-2,12)),Assumptions!$C$29*Assumptions!$D$32/2,0)+IF($C64=1,IF(V$63=$C$6,Assumptions!$C$29*$C$61,0),IF(V$63=12,Assumptions!$C$29*$E64/100,0))</f>
        <v>0</v>
      </c>
      <c r="W64" s="40" t="n">
        <f aca="false">IF(W$63=0,-Assumptions!$C$29*Assumptions!$E$32/100,0)+IF(AND(W$63&gt;=2,MOD(W$63,2)=0,W$63&lt;=IF($C64=1,$C$5-2,12)),Assumptions!$C$29*Assumptions!$D$32/2,0)+IF($C64=1,IF(W$63=$C$6,Assumptions!$C$29*$C$61,0),IF(W$63=12,Assumptions!$C$29*$E64/100,0))</f>
        <v>0</v>
      </c>
      <c r="X64" s="40" t="n">
        <f aca="false">IF(X$63=0,-Assumptions!$C$29*Assumptions!$E$32/100,0)+IF(AND(X$63&gt;=2,MOD(X$63,2)=0,X$63&lt;=IF($C64=1,$C$5-2,12)),Assumptions!$C$29*Assumptions!$D$32/2,0)+IF($C64=1,IF(X$63=$C$6,Assumptions!$C$29*$C$61,0),IF(X$63=12,Assumptions!$C$29*$E64/100,0))</f>
        <v>0</v>
      </c>
      <c r="Y64" s="40" t="n">
        <f aca="false">IF(Y$63=0,-Assumptions!$C$29*Assumptions!$E$32/100,0)+IF(AND(Y$63&gt;=2,MOD(Y$63,2)=0,Y$63&lt;=IF($C64=1,$C$5-2,12)),Assumptions!$C$29*Assumptions!$D$32/2,0)+IF($C64=1,IF(Y$63=$C$6,Assumptions!$C$29*$C$61,0),IF(Y$63=12,Assumptions!$C$29*$E64/100,0))</f>
        <v>0</v>
      </c>
    </row>
    <row r="65" customFormat="false" ht="15" hidden="false" customHeight="false" outlineLevel="0" collapsed="false">
      <c r="B65" s="9" t="s">
        <v>48</v>
      </c>
      <c r="C65" s="28" t="n">
        <f aca="false">IF($C$10&lt;=$C$62,1,0)</f>
        <v>0</v>
      </c>
      <c r="D65" s="19" t="n">
        <f aca="false">Assumptions!$F$33</f>
        <v>12312.5</v>
      </c>
      <c r="E65" s="39" t="n">
        <f aca="false">PV($F65/2,(Assumptions!$C$30*4-12)/2,-Assumptions!$D$33*100/2,-100)</f>
        <v>99.3343027458663</v>
      </c>
      <c r="F65" s="17" t="n">
        <f aca="false">RATE(Assumptions!$C$30*2,Assumptions!$D$33*100/2,-Assumptions!$E$33,100)*2</f>
        <v>0.0736404123832243</v>
      </c>
      <c r="G65" s="26" t="n">
        <f aca="false">SUM(I65:Y65)</f>
        <v>2729.28784323328</v>
      </c>
      <c r="H65" s="17" t="n">
        <f aca="false">(1+IRR(I65:Y65,IF(SUM(I65:Y65)&lt;0,-0.05,0.01)))^4-1</f>
        <v>0.0749961399672177</v>
      </c>
      <c r="I65" s="40" t="n">
        <f aca="false">IF(I$63=0,-Assumptions!$C$29*Assumptions!$E$33/100,0)+IF(AND(I$63&gt;=2,MOD(I$63,2)=0,I$63&lt;=IF($C65=1,$C$5-2,12)),Assumptions!$C$29*Assumptions!$D$33/2,0)+IF($C65=1,IF(I$63=$C$6,Assumptions!$C$29*$C$61,0),IF(I$63=12,Assumptions!$C$29*$E65/100,0))</f>
        <v>-12312.5</v>
      </c>
      <c r="J65" s="40" t="n">
        <f aca="false">IF(J$63=0,-Assumptions!$C$29*Assumptions!$E$33/100,0)+IF(AND(J$63&gt;=2,MOD(J$63,2)=0,J$63&lt;=IF($C65=1,$C$5-2,12)),Assumptions!$C$29*Assumptions!$D$33/2,0)+IF($C65=1,IF(J$63=$C$6,Assumptions!$C$29*$C$61,0),IF(J$63=12,Assumptions!$C$29*$E65/100,0))</f>
        <v>0</v>
      </c>
      <c r="K65" s="40" t="n">
        <f aca="false">IF(K$63=0,-Assumptions!$C$29*Assumptions!$E$33/100,0)+IF(AND(K$63&gt;=2,MOD(K$63,2)=0,K$63&lt;=IF($C65=1,$C$5-2,12)),Assumptions!$C$29*Assumptions!$D$33/2,0)+IF($C65=1,IF(K$63=$C$6,Assumptions!$C$29*$C$61,0),IF(K$63=12,Assumptions!$C$29*$E65/100,0))</f>
        <v>437.5</v>
      </c>
      <c r="L65" s="40" t="n">
        <f aca="false">IF(L$63=0,-Assumptions!$C$29*Assumptions!$E$33/100,0)+IF(AND(L$63&gt;=2,MOD(L$63,2)=0,L$63&lt;=IF($C65=1,$C$5-2,12)),Assumptions!$C$29*Assumptions!$D$33/2,0)+IF($C65=1,IF(L$63=$C$6,Assumptions!$C$29*$C$61,0),IF(L$63=12,Assumptions!$C$29*$E65/100,0))</f>
        <v>0</v>
      </c>
      <c r="M65" s="40" t="n">
        <f aca="false">IF(M$63=0,-Assumptions!$C$29*Assumptions!$E$33/100,0)+IF(AND(M$63&gt;=2,MOD(M$63,2)=0,M$63&lt;=IF($C65=1,$C$5-2,12)),Assumptions!$C$29*Assumptions!$D$33/2,0)+IF($C65=1,IF(M$63=$C$6,Assumptions!$C$29*$C$61,0),IF(M$63=12,Assumptions!$C$29*$E65/100,0))</f>
        <v>437.5</v>
      </c>
      <c r="N65" s="40" t="n">
        <f aca="false">IF(N$63=0,-Assumptions!$C$29*Assumptions!$E$33/100,0)+IF(AND(N$63&gt;=2,MOD(N$63,2)=0,N$63&lt;=IF($C65=1,$C$5-2,12)),Assumptions!$C$29*Assumptions!$D$33/2,0)+IF($C65=1,IF(N$63=$C$6,Assumptions!$C$29*$C$61,0),IF(N$63=12,Assumptions!$C$29*$E65/100,0))</f>
        <v>0</v>
      </c>
      <c r="O65" s="40" t="n">
        <f aca="false">IF(O$63=0,-Assumptions!$C$29*Assumptions!$E$33/100,0)+IF(AND(O$63&gt;=2,MOD(O$63,2)=0,O$63&lt;=IF($C65=1,$C$5-2,12)),Assumptions!$C$29*Assumptions!$D$33/2,0)+IF($C65=1,IF(O$63=$C$6,Assumptions!$C$29*$C$61,0),IF(O$63=12,Assumptions!$C$29*$E65/100,0))</f>
        <v>437.5</v>
      </c>
      <c r="P65" s="40" t="n">
        <f aca="false">IF(P$63=0,-Assumptions!$C$29*Assumptions!$E$33/100,0)+IF(AND(P$63&gt;=2,MOD(P$63,2)=0,P$63&lt;=IF($C65=1,$C$5-2,12)),Assumptions!$C$29*Assumptions!$D$33/2,0)+IF($C65=1,IF(P$63=$C$6,Assumptions!$C$29*$C$61,0),IF(P$63=12,Assumptions!$C$29*$E65/100,0))</f>
        <v>0</v>
      </c>
      <c r="Q65" s="40" t="n">
        <f aca="false">IF(Q$63=0,-Assumptions!$C$29*Assumptions!$E$33/100,0)+IF(AND(Q$63&gt;=2,MOD(Q$63,2)=0,Q$63&lt;=IF($C65=1,$C$5-2,12)),Assumptions!$C$29*Assumptions!$D$33/2,0)+IF($C65=1,IF(Q$63=$C$6,Assumptions!$C$29*$C$61,0),IF(Q$63=12,Assumptions!$C$29*$E65/100,0))</f>
        <v>437.5</v>
      </c>
      <c r="R65" s="40" t="n">
        <f aca="false">IF(R$63=0,-Assumptions!$C$29*Assumptions!$E$33/100,0)+IF(AND(R$63&gt;=2,MOD(R$63,2)=0,R$63&lt;=IF($C65=1,$C$5-2,12)),Assumptions!$C$29*Assumptions!$D$33/2,0)+IF($C65=1,IF(R$63=$C$6,Assumptions!$C$29*$C$61,0),IF(R$63=12,Assumptions!$C$29*$E65/100,0))</f>
        <v>0</v>
      </c>
      <c r="S65" s="40" t="n">
        <f aca="false">IF(S$63=0,-Assumptions!$C$29*Assumptions!$E$33/100,0)+IF(AND(S$63&gt;=2,MOD(S$63,2)=0,S$63&lt;=IF($C65=1,$C$5-2,12)),Assumptions!$C$29*Assumptions!$D$33/2,0)+IF($C65=1,IF(S$63=$C$6,Assumptions!$C$29*$C$61,0),IF(S$63=12,Assumptions!$C$29*$E65/100,0))</f>
        <v>437.5</v>
      </c>
      <c r="T65" s="40" t="n">
        <f aca="false">IF(T$63=0,-Assumptions!$C$29*Assumptions!$E$33/100,0)+IF(AND(T$63&gt;=2,MOD(T$63,2)=0,T$63&lt;=IF($C65=1,$C$5-2,12)),Assumptions!$C$29*Assumptions!$D$33/2,0)+IF($C65=1,IF(T$63=$C$6,Assumptions!$C$29*$C$61,0),IF(T$63=12,Assumptions!$C$29*$E65/100,0))</f>
        <v>0</v>
      </c>
      <c r="U65" s="40" t="n">
        <f aca="false">IF(U$63=0,-Assumptions!$C$29*Assumptions!$E$33/100,0)+IF(AND(U$63&gt;=2,MOD(U$63,2)=0,U$63&lt;=IF($C65=1,$C$5-2,12)),Assumptions!$C$29*Assumptions!$D$33/2,0)+IF($C65=1,IF(U$63=$C$6,Assumptions!$C$29*$C$61,0),IF(U$63=12,Assumptions!$C$29*$E65/100,0))</f>
        <v>12854.2878432333</v>
      </c>
      <c r="V65" s="40" t="n">
        <f aca="false">IF(V$63=0,-Assumptions!$C$29*Assumptions!$E$33/100,0)+IF(AND(V$63&gt;=2,MOD(V$63,2)=0,V$63&lt;=IF($C65=1,$C$5-2,12)),Assumptions!$C$29*Assumptions!$D$33/2,0)+IF($C65=1,IF(V$63=$C$6,Assumptions!$C$29*$C$61,0),IF(V$63=12,Assumptions!$C$29*$E65/100,0))</f>
        <v>0</v>
      </c>
      <c r="W65" s="40" t="n">
        <f aca="false">IF(W$63=0,-Assumptions!$C$29*Assumptions!$E$33/100,0)+IF(AND(W$63&gt;=2,MOD(W$63,2)=0,W$63&lt;=IF($C65=1,$C$5-2,12)),Assumptions!$C$29*Assumptions!$D$33/2,0)+IF($C65=1,IF(W$63=$C$6,Assumptions!$C$29*$C$61,0),IF(W$63=12,Assumptions!$C$29*$E65/100,0))</f>
        <v>0</v>
      </c>
      <c r="X65" s="40" t="n">
        <f aca="false">IF(X$63=0,-Assumptions!$C$29*Assumptions!$E$33/100,0)+IF(AND(X$63&gt;=2,MOD(X$63,2)=0,X$63&lt;=IF($C65=1,$C$5-2,12)),Assumptions!$C$29*Assumptions!$D$33/2,0)+IF($C65=1,IF(X$63=$C$6,Assumptions!$C$29*$C$61,0),IF(X$63=12,Assumptions!$C$29*$E65/100,0))</f>
        <v>0</v>
      </c>
      <c r="Y65" s="40" t="n">
        <f aca="false">IF(Y$63=0,-Assumptions!$C$29*Assumptions!$E$33/100,0)+IF(AND(Y$63&gt;=2,MOD(Y$63,2)=0,Y$63&lt;=IF($C65=1,$C$5-2,12)),Assumptions!$C$29*Assumptions!$D$33/2,0)+IF($C65=1,IF(Y$63=$C$6,Assumptions!$C$29*$C$61,0),IF(Y$63=12,Assumptions!$C$29*$E65/100,0))</f>
        <v>0</v>
      </c>
    </row>
    <row r="66" customFormat="false" ht="15" hidden="false" customHeight="false" outlineLevel="0" collapsed="false">
      <c r="B66" s="9" t="s">
        <v>49</v>
      </c>
      <c r="C66" s="28" t="n">
        <f aca="false">IF($C$11&lt;=$C$62,1,0)</f>
        <v>0</v>
      </c>
      <c r="D66" s="19" t="n">
        <f aca="false">Assumptions!$F$34</f>
        <v>12250</v>
      </c>
      <c r="E66" s="39" t="n">
        <f aca="false">PV($F66/2,(Assumptions!$C$30*4-12)/2,-Assumptions!$D$34*100/2,-100)</f>
        <v>99.1079856396595</v>
      </c>
      <c r="F66" s="17" t="n">
        <f aca="false">RATE(Assumptions!$C$30*2,Assumptions!$D$34*100/2,-Assumptions!$E$34,100)*2</f>
        <v>0.0773997713205988</v>
      </c>
      <c r="G66" s="26" t="n">
        <f aca="false">SUM(I66:Y66)</f>
        <v>2857.24820495744</v>
      </c>
      <c r="H66" s="17" t="n">
        <f aca="false">(1+IRR(I66:Y66,IF(SUM(I66:Y66)&lt;0,-0.05,0.01)))^4-1</f>
        <v>0.0788974524707193</v>
      </c>
      <c r="I66" s="40" t="n">
        <f aca="false">IF(I$63=0,-Assumptions!$C$29*Assumptions!$E$34/100,0)+IF(AND(I$63&gt;=2,MOD(I$63,2)=0,I$63&lt;=IF($C66=1,$C$5-2,12)),Assumptions!$C$29*Assumptions!$D$34/2,0)+IF($C66=1,IF(I$63=$C$6,Assumptions!$C$29*$C$61,0),IF(I$63=12,Assumptions!$C$29*$E66/100,0))</f>
        <v>-12250</v>
      </c>
      <c r="J66" s="40" t="n">
        <f aca="false">IF(J$63=0,-Assumptions!$C$29*Assumptions!$E$34/100,0)+IF(AND(J$63&gt;=2,MOD(J$63,2)=0,J$63&lt;=IF($C66=1,$C$5-2,12)),Assumptions!$C$29*Assumptions!$D$34/2,0)+IF($C66=1,IF(J$63=$C$6,Assumptions!$C$29*$C$61,0),IF(J$63=12,Assumptions!$C$29*$E66/100,0))</f>
        <v>0</v>
      </c>
      <c r="K66" s="40" t="n">
        <f aca="false">IF(K$63=0,-Assumptions!$C$29*Assumptions!$E$34/100,0)+IF(AND(K$63&gt;=2,MOD(K$63,2)=0,K$63&lt;=IF($C66=1,$C$5-2,12)),Assumptions!$C$29*Assumptions!$D$34/2,0)+IF($C66=1,IF(K$63=$C$6,Assumptions!$C$29*$C$61,0),IF(K$63=12,Assumptions!$C$29*$E66/100,0))</f>
        <v>453.125</v>
      </c>
      <c r="L66" s="40" t="n">
        <f aca="false">IF(L$63=0,-Assumptions!$C$29*Assumptions!$E$34/100,0)+IF(AND(L$63&gt;=2,MOD(L$63,2)=0,L$63&lt;=IF($C66=1,$C$5-2,12)),Assumptions!$C$29*Assumptions!$D$34/2,0)+IF($C66=1,IF(L$63=$C$6,Assumptions!$C$29*$C$61,0),IF(L$63=12,Assumptions!$C$29*$E66/100,0))</f>
        <v>0</v>
      </c>
      <c r="M66" s="40" t="n">
        <f aca="false">IF(M$63=0,-Assumptions!$C$29*Assumptions!$E$34/100,0)+IF(AND(M$63&gt;=2,MOD(M$63,2)=0,M$63&lt;=IF($C66=1,$C$5-2,12)),Assumptions!$C$29*Assumptions!$D$34/2,0)+IF($C66=1,IF(M$63=$C$6,Assumptions!$C$29*$C$61,0),IF(M$63=12,Assumptions!$C$29*$E66/100,0))</f>
        <v>453.125</v>
      </c>
      <c r="N66" s="40" t="n">
        <f aca="false">IF(N$63=0,-Assumptions!$C$29*Assumptions!$E$34/100,0)+IF(AND(N$63&gt;=2,MOD(N$63,2)=0,N$63&lt;=IF($C66=1,$C$5-2,12)),Assumptions!$C$29*Assumptions!$D$34/2,0)+IF($C66=1,IF(N$63=$C$6,Assumptions!$C$29*$C$61,0),IF(N$63=12,Assumptions!$C$29*$E66/100,0))</f>
        <v>0</v>
      </c>
      <c r="O66" s="40" t="n">
        <f aca="false">IF(O$63=0,-Assumptions!$C$29*Assumptions!$E$34/100,0)+IF(AND(O$63&gt;=2,MOD(O$63,2)=0,O$63&lt;=IF($C66=1,$C$5-2,12)),Assumptions!$C$29*Assumptions!$D$34/2,0)+IF($C66=1,IF(O$63=$C$6,Assumptions!$C$29*$C$61,0),IF(O$63=12,Assumptions!$C$29*$E66/100,0))</f>
        <v>453.125</v>
      </c>
      <c r="P66" s="40" t="n">
        <f aca="false">IF(P$63=0,-Assumptions!$C$29*Assumptions!$E$34/100,0)+IF(AND(P$63&gt;=2,MOD(P$63,2)=0,P$63&lt;=IF($C66=1,$C$5-2,12)),Assumptions!$C$29*Assumptions!$D$34/2,0)+IF($C66=1,IF(P$63=$C$6,Assumptions!$C$29*$C$61,0),IF(P$63=12,Assumptions!$C$29*$E66/100,0))</f>
        <v>0</v>
      </c>
      <c r="Q66" s="40" t="n">
        <f aca="false">IF(Q$63=0,-Assumptions!$C$29*Assumptions!$E$34/100,0)+IF(AND(Q$63&gt;=2,MOD(Q$63,2)=0,Q$63&lt;=IF($C66=1,$C$5-2,12)),Assumptions!$C$29*Assumptions!$D$34/2,0)+IF($C66=1,IF(Q$63=$C$6,Assumptions!$C$29*$C$61,0),IF(Q$63=12,Assumptions!$C$29*$E66/100,0))</f>
        <v>453.125</v>
      </c>
      <c r="R66" s="40" t="n">
        <f aca="false">IF(R$63=0,-Assumptions!$C$29*Assumptions!$E$34/100,0)+IF(AND(R$63&gt;=2,MOD(R$63,2)=0,R$63&lt;=IF($C66=1,$C$5-2,12)),Assumptions!$C$29*Assumptions!$D$34/2,0)+IF($C66=1,IF(R$63=$C$6,Assumptions!$C$29*$C$61,0),IF(R$63=12,Assumptions!$C$29*$E66/100,0))</f>
        <v>0</v>
      </c>
      <c r="S66" s="40" t="n">
        <f aca="false">IF(S$63=0,-Assumptions!$C$29*Assumptions!$E$34/100,0)+IF(AND(S$63&gt;=2,MOD(S$63,2)=0,S$63&lt;=IF($C66=1,$C$5-2,12)),Assumptions!$C$29*Assumptions!$D$34/2,0)+IF($C66=1,IF(S$63=$C$6,Assumptions!$C$29*$C$61,0),IF(S$63=12,Assumptions!$C$29*$E66/100,0))</f>
        <v>453.125</v>
      </c>
      <c r="T66" s="40" t="n">
        <f aca="false">IF(T$63=0,-Assumptions!$C$29*Assumptions!$E$34/100,0)+IF(AND(T$63&gt;=2,MOD(T$63,2)=0,T$63&lt;=IF($C66=1,$C$5-2,12)),Assumptions!$C$29*Assumptions!$D$34/2,0)+IF($C66=1,IF(T$63=$C$6,Assumptions!$C$29*$C$61,0),IF(T$63=12,Assumptions!$C$29*$E66/100,0))</f>
        <v>0</v>
      </c>
      <c r="U66" s="40" t="n">
        <f aca="false">IF(U$63=0,-Assumptions!$C$29*Assumptions!$E$34/100,0)+IF(AND(U$63&gt;=2,MOD(U$63,2)=0,U$63&lt;=IF($C66=1,$C$5-2,12)),Assumptions!$C$29*Assumptions!$D$34/2,0)+IF($C66=1,IF(U$63=$C$6,Assumptions!$C$29*$C$61,0),IF(U$63=12,Assumptions!$C$29*$E66/100,0))</f>
        <v>12841.6232049574</v>
      </c>
      <c r="V66" s="40" t="n">
        <f aca="false">IF(V$63=0,-Assumptions!$C$29*Assumptions!$E$34/100,0)+IF(AND(V$63&gt;=2,MOD(V$63,2)=0,V$63&lt;=IF($C66=1,$C$5-2,12)),Assumptions!$C$29*Assumptions!$D$34/2,0)+IF($C66=1,IF(V$63=$C$6,Assumptions!$C$29*$C$61,0),IF(V$63=12,Assumptions!$C$29*$E66/100,0))</f>
        <v>0</v>
      </c>
      <c r="W66" s="40" t="n">
        <f aca="false">IF(W$63=0,-Assumptions!$C$29*Assumptions!$E$34/100,0)+IF(AND(W$63&gt;=2,MOD(W$63,2)=0,W$63&lt;=IF($C66=1,$C$5-2,12)),Assumptions!$C$29*Assumptions!$D$34/2,0)+IF($C66=1,IF(W$63=$C$6,Assumptions!$C$29*$C$61,0),IF(W$63=12,Assumptions!$C$29*$E66/100,0))</f>
        <v>0</v>
      </c>
      <c r="X66" s="40" t="n">
        <f aca="false">IF(X$63=0,-Assumptions!$C$29*Assumptions!$E$34/100,0)+IF(AND(X$63&gt;=2,MOD(X$63,2)=0,X$63&lt;=IF($C66=1,$C$5-2,12)),Assumptions!$C$29*Assumptions!$D$34/2,0)+IF($C66=1,IF(X$63=$C$6,Assumptions!$C$29*$C$61,0),IF(X$63=12,Assumptions!$C$29*$E66/100,0))</f>
        <v>0</v>
      </c>
      <c r="Y66" s="40" t="n">
        <f aca="false">IF(Y$63=0,-Assumptions!$C$29*Assumptions!$E$34/100,0)+IF(AND(Y$63&gt;=2,MOD(Y$63,2)=0,Y$63&lt;=IF($C66=1,$C$5-2,12)),Assumptions!$C$29*Assumptions!$D$34/2,0)+IF($C66=1,IF(Y$63=$C$6,Assumptions!$C$29*$C$61,0),IF(Y$63=12,Assumptions!$C$29*$E66/100,0))</f>
        <v>0</v>
      </c>
    </row>
    <row r="67" customFormat="false" ht="15" hidden="false" customHeight="false" outlineLevel="0" collapsed="false">
      <c r="B67" s="9" t="s">
        <v>50</v>
      </c>
      <c r="C67" s="28" t="n">
        <f aca="false">IF($C$12&lt;=$C$62,1,0)</f>
        <v>1</v>
      </c>
      <c r="D67" s="19" t="n">
        <f aca="false">Assumptions!$F$35</f>
        <v>12187.5</v>
      </c>
      <c r="E67" s="39" t="n">
        <f aca="false">PV($F67/2,(Assumptions!$C$30*4-12)/2,-Assumptions!$D$35*100/2,-100)</f>
        <v>98.8794329841845</v>
      </c>
      <c r="F67" s="17" t="n">
        <f aca="false">RATE(Assumptions!$C$30*2,Assumptions!$D$35*100/2,-Assumptions!$E$35,100)*2</f>
        <v>0.0811827080590467</v>
      </c>
      <c r="G67" s="26" t="n">
        <f aca="false">SUM(I67:Y67)</f>
        <v>-8125</v>
      </c>
      <c r="H67" s="17" t="n">
        <f aca="false">(1+IRR(I67:Y67,IF(SUM(I67:Y67)&lt;0,-0.05,0.01)))^4-1</f>
        <v>-0.39143432820794</v>
      </c>
      <c r="I67" s="40" t="n">
        <f aca="false">IF(I$63=0,-Assumptions!$C$29*Assumptions!$E$35/100,0)+IF(AND(I$63&gt;=2,MOD(I$63,2)=0,I$63&lt;=IF($C67=1,$C$5-2,12)),Assumptions!$C$29*Assumptions!$D$35/2,0)+IF($C67=1,IF(I$63=$C$6,Assumptions!$C$29*$C$61,0),IF(I$63=12,Assumptions!$C$29*$E67/100,0))</f>
        <v>-12187.5</v>
      </c>
      <c r="J67" s="40" t="n">
        <f aca="false">IF(J$63=0,-Assumptions!$C$29*Assumptions!$E$35/100,0)+IF(AND(J$63&gt;=2,MOD(J$63,2)=0,J$63&lt;=IF($C67=1,$C$5-2,12)),Assumptions!$C$29*Assumptions!$D$35/2,0)+IF($C67=1,IF(J$63=$C$6,Assumptions!$C$29*$C$61,0),IF(J$63=12,Assumptions!$C$29*$E67/100,0))</f>
        <v>0</v>
      </c>
      <c r="K67" s="40" t="n">
        <f aca="false">IF(K$63=0,-Assumptions!$C$29*Assumptions!$E$35/100,0)+IF(AND(K$63&gt;=2,MOD(K$63,2)=0,K$63&lt;=IF($C67=1,$C$5-2,12)),Assumptions!$C$29*Assumptions!$D$35/2,0)+IF($C67=1,IF(K$63=$C$6,Assumptions!$C$29*$C$61,0),IF(K$63=12,Assumptions!$C$29*$E67/100,0))</f>
        <v>468.75</v>
      </c>
      <c r="L67" s="40" t="n">
        <f aca="false">IF(L$63=0,-Assumptions!$C$29*Assumptions!$E$35/100,0)+IF(AND(L$63&gt;=2,MOD(L$63,2)=0,L$63&lt;=IF($C67=1,$C$5-2,12)),Assumptions!$C$29*Assumptions!$D$35/2,0)+IF($C67=1,IF(L$63=$C$6,Assumptions!$C$29*$C$61,0),IF(L$63=12,Assumptions!$C$29*$E67/100,0))</f>
        <v>0</v>
      </c>
      <c r="M67" s="40" t="n">
        <f aca="false">IF(M$63=0,-Assumptions!$C$29*Assumptions!$E$35/100,0)+IF(AND(M$63&gt;=2,MOD(M$63,2)=0,M$63&lt;=IF($C67=1,$C$5-2,12)),Assumptions!$C$29*Assumptions!$D$35/2,0)+IF($C67=1,IF(M$63=$C$6,Assumptions!$C$29*$C$61,0),IF(M$63=12,Assumptions!$C$29*$E67/100,0))</f>
        <v>468.75</v>
      </c>
      <c r="N67" s="40" t="n">
        <f aca="false">IF(N$63=0,-Assumptions!$C$29*Assumptions!$E$35/100,0)+IF(AND(N$63&gt;=2,MOD(N$63,2)=0,N$63&lt;=IF($C67=1,$C$5-2,12)),Assumptions!$C$29*Assumptions!$D$35/2,0)+IF($C67=1,IF(N$63=$C$6,Assumptions!$C$29*$C$61,0),IF(N$63=12,Assumptions!$C$29*$E67/100,0))</f>
        <v>0</v>
      </c>
      <c r="O67" s="40" t="n">
        <f aca="false">IF(O$63=0,-Assumptions!$C$29*Assumptions!$E$35/100,0)+IF(AND(O$63&gt;=2,MOD(O$63,2)=0,O$63&lt;=IF($C67=1,$C$5-2,12)),Assumptions!$C$29*Assumptions!$D$35/2,0)+IF($C67=1,IF(O$63=$C$6,Assumptions!$C$29*$C$61,0),IF(O$63=12,Assumptions!$C$29*$E67/100,0))</f>
        <v>0</v>
      </c>
      <c r="P67" s="40" t="n">
        <f aca="false">IF(P$63=0,-Assumptions!$C$29*Assumptions!$E$35/100,0)+IF(AND(P$63&gt;=2,MOD(P$63,2)=0,P$63&lt;=IF($C67=1,$C$5-2,12)),Assumptions!$C$29*Assumptions!$D$35/2,0)+IF($C67=1,IF(P$63=$C$6,Assumptions!$C$29*$C$61,0),IF(P$63=12,Assumptions!$C$29*$E67/100,0))</f>
        <v>0</v>
      </c>
      <c r="Q67" s="40" t="n">
        <f aca="false">IF(Q$63=0,-Assumptions!$C$29*Assumptions!$E$35/100,0)+IF(AND(Q$63&gt;=2,MOD(Q$63,2)=0,Q$63&lt;=IF($C67=1,$C$5-2,12)),Assumptions!$C$29*Assumptions!$D$35/2,0)+IF($C67=1,IF(Q$63=$C$6,Assumptions!$C$29*$C$61,0),IF(Q$63=12,Assumptions!$C$29*$E67/100,0))</f>
        <v>0</v>
      </c>
      <c r="R67" s="40" t="n">
        <f aca="false">IF(R$63=0,-Assumptions!$C$29*Assumptions!$E$35/100,0)+IF(AND(R$63&gt;=2,MOD(R$63,2)=0,R$63&lt;=IF($C67=1,$C$5-2,12)),Assumptions!$C$29*Assumptions!$D$35/2,0)+IF($C67=1,IF(R$63=$C$6,Assumptions!$C$29*$C$61,0),IF(R$63=12,Assumptions!$C$29*$E67/100,0))</f>
        <v>0</v>
      </c>
      <c r="S67" s="40" t="n">
        <f aca="false">IF(S$63=0,-Assumptions!$C$29*Assumptions!$E$35/100,0)+IF(AND(S$63&gt;=2,MOD(S$63,2)=0,S$63&lt;=IF($C67=1,$C$5-2,12)),Assumptions!$C$29*Assumptions!$D$35/2,0)+IF($C67=1,IF(S$63=$C$6,Assumptions!$C$29*$C$61,0),IF(S$63=12,Assumptions!$C$29*$E67/100,0))</f>
        <v>3125</v>
      </c>
      <c r="T67" s="40" t="n">
        <f aca="false">IF(T$63=0,-Assumptions!$C$29*Assumptions!$E$35/100,0)+IF(AND(T$63&gt;=2,MOD(T$63,2)=0,T$63&lt;=IF($C67=1,$C$5-2,12)),Assumptions!$C$29*Assumptions!$D$35/2,0)+IF($C67=1,IF(T$63=$C$6,Assumptions!$C$29*$C$61,0),IF(T$63=12,Assumptions!$C$29*$E67/100,0))</f>
        <v>0</v>
      </c>
      <c r="U67" s="40" t="n">
        <f aca="false">IF(U$63=0,-Assumptions!$C$29*Assumptions!$E$35/100,0)+IF(AND(U$63&gt;=2,MOD(U$63,2)=0,U$63&lt;=IF($C67=1,$C$5-2,12)),Assumptions!$C$29*Assumptions!$D$35/2,0)+IF($C67=1,IF(U$63=$C$6,Assumptions!$C$29*$C$61,0),IF(U$63=12,Assumptions!$C$29*$E67/100,0))</f>
        <v>0</v>
      </c>
      <c r="V67" s="40" t="n">
        <f aca="false">IF(V$63=0,-Assumptions!$C$29*Assumptions!$E$35/100,0)+IF(AND(V$63&gt;=2,MOD(V$63,2)=0,V$63&lt;=IF($C67=1,$C$5-2,12)),Assumptions!$C$29*Assumptions!$D$35/2,0)+IF($C67=1,IF(V$63=$C$6,Assumptions!$C$29*$C$61,0),IF(V$63=12,Assumptions!$C$29*$E67/100,0))</f>
        <v>0</v>
      </c>
      <c r="W67" s="40" t="n">
        <f aca="false">IF(W$63=0,-Assumptions!$C$29*Assumptions!$E$35/100,0)+IF(AND(W$63&gt;=2,MOD(W$63,2)=0,W$63&lt;=IF($C67=1,$C$5-2,12)),Assumptions!$C$29*Assumptions!$D$35/2,0)+IF($C67=1,IF(W$63=$C$6,Assumptions!$C$29*$C$61,0),IF(W$63=12,Assumptions!$C$29*$E67/100,0))</f>
        <v>0</v>
      </c>
      <c r="X67" s="40" t="n">
        <f aca="false">IF(X$63=0,-Assumptions!$C$29*Assumptions!$E$35/100,0)+IF(AND(X$63&gt;=2,MOD(X$63,2)=0,X$63&lt;=IF($C67=1,$C$5-2,12)),Assumptions!$C$29*Assumptions!$D$35/2,0)+IF($C67=1,IF(X$63=$C$6,Assumptions!$C$29*$C$61,0),IF(X$63=12,Assumptions!$C$29*$E67/100,0))</f>
        <v>0</v>
      </c>
      <c r="Y67" s="40" t="n">
        <f aca="false">IF(Y$63=0,-Assumptions!$C$29*Assumptions!$E$35/100,0)+IF(AND(Y$63&gt;=2,MOD(Y$63,2)=0,Y$63&lt;=IF($C67=1,$C$5-2,12)),Assumptions!$C$29*Assumptions!$D$35/2,0)+IF($C67=1,IF(Y$63=$C$6,Assumptions!$C$29*$C$61,0),IF(Y$63=12,Assumptions!$C$29*$E67/100,0))</f>
        <v>0</v>
      </c>
    </row>
    <row r="68" customFormat="false" ht="15" hidden="false" customHeight="false" outlineLevel="0" collapsed="false">
      <c r="B68" s="9" t="s">
        <v>51</v>
      </c>
      <c r="C68" s="28" t="n">
        <f aca="false">IF($C$13&lt;=$C$62,1,0)</f>
        <v>1</v>
      </c>
      <c r="D68" s="19" t="n">
        <f aca="false">Assumptions!$F$36</f>
        <v>12125</v>
      </c>
      <c r="E68" s="39" t="n">
        <f aca="false">PV($F68/2,(Assumptions!$C$30*4-12)/2,-Assumptions!$D$36*100/2,-100)</f>
        <v>98.6441572961372</v>
      </c>
      <c r="F68" s="17" t="n">
        <f aca="false">RATE(Assumptions!$C$30*2,Assumptions!$D$36*100/2,-Assumptions!$E$36,100)*2</f>
        <v>0.0875368825411204</v>
      </c>
      <c r="G68" s="26" t="n">
        <f aca="false">SUM(I68:Y68)</f>
        <v>-8000</v>
      </c>
      <c r="H68" s="17" t="n">
        <f aca="false">(1+IRR(I68:Y68,IF(SUM(I68:Y68)&lt;0,-0.05,0.01)))^4-1</f>
        <v>-0.388079423733663</v>
      </c>
      <c r="I68" s="40" t="n">
        <f aca="false">IF(I$63=0,-Assumptions!$C$29*Assumptions!$E$36/100,0)+IF(AND(I$63&gt;=2,MOD(I$63,2)=0,I$63&lt;=IF($C68=1,$C$5-2,12)),Assumptions!$C$29*Assumptions!$D$36/2,0)+IF($C68=1,IF(I$63=$C$6,Assumptions!$C$29*$C$61,0),IF(I$63=12,Assumptions!$C$29*$E68/100,0))</f>
        <v>-12125</v>
      </c>
      <c r="J68" s="40" t="n">
        <f aca="false">IF(J$63=0,-Assumptions!$C$29*Assumptions!$E$36/100,0)+IF(AND(J$63&gt;=2,MOD(J$63,2)=0,J$63&lt;=IF($C68=1,$C$5-2,12)),Assumptions!$C$29*Assumptions!$D$36/2,0)+IF($C68=1,IF(J$63=$C$6,Assumptions!$C$29*$C$61,0),IF(J$63=12,Assumptions!$C$29*$E68/100,0))</f>
        <v>0</v>
      </c>
      <c r="K68" s="40" t="n">
        <f aca="false">IF(K$63=0,-Assumptions!$C$29*Assumptions!$E$36/100,0)+IF(AND(K$63&gt;=2,MOD(K$63,2)=0,K$63&lt;=IF($C68=1,$C$5-2,12)),Assumptions!$C$29*Assumptions!$D$36/2,0)+IF($C68=1,IF(K$63=$C$6,Assumptions!$C$29*$C$61,0),IF(K$63=12,Assumptions!$C$29*$E68/100,0))</f>
        <v>500</v>
      </c>
      <c r="L68" s="40" t="n">
        <f aca="false">IF(L$63=0,-Assumptions!$C$29*Assumptions!$E$36/100,0)+IF(AND(L$63&gt;=2,MOD(L$63,2)=0,L$63&lt;=IF($C68=1,$C$5-2,12)),Assumptions!$C$29*Assumptions!$D$36/2,0)+IF($C68=1,IF(L$63=$C$6,Assumptions!$C$29*$C$61,0),IF(L$63=12,Assumptions!$C$29*$E68/100,0))</f>
        <v>0</v>
      </c>
      <c r="M68" s="40" t="n">
        <f aca="false">IF(M$63=0,-Assumptions!$C$29*Assumptions!$E$36/100,0)+IF(AND(M$63&gt;=2,MOD(M$63,2)=0,M$63&lt;=IF($C68=1,$C$5-2,12)),Assumptions!$C$29*Assumptions!$D$36/2,0)+IF($C68=1,IF(M$63=$C$6,Assumptions!$C$29*$C$61,0),IF(M$63=12,Assumptions!$C$29*$E68/100,0))</f>
        <v>500</v>
      </c>
      <c r="N68" s="40" t="n">
        <f aca="false">IF(N$63=0,-Assumptions!$C$29*Assumptions!$E$36/100,0)+IF(AND(N$63&gt;=2,MOD(N$63,2)=0,N$63&lt;=IF($C68=1,$C$5-2,12)),Assumptions!$C$29*Assumptions!$D$36/2,0)+IF($C68=1,IF(N$63=$C$6,Assumptions!$C$29*$C$61,0),IF(N$63=12,Assumptions!$C$29*$E68/100,0))</f>
        <v>0</v>
      </c>
      <c r="O68" s="40" t="n">
        <f aca="false">IF(O$63=0,-Assumptions!$C$29*Assumptions!$E$36/100,0)+IF(AND(O$63&gt;=2,MOD(O$63,2)=0,O$63&lt;=IF($C68=1,$C$5-2,12)),Assumptions!$C$29*Assumptions!$D$36/2,0)+IF($C68=1,IF(O$63=$C$6,Assumptions!$C$29*$C$61,0),IF(O$63=12,Assumptions!$C$29*$E68/100,0))</f>
        <v>0</v>
      </c>
      <c r="P68" s="40" t="n">
        <f aca="false">IF(P$63=0,-Assumptions!$C$29*Assumptions!$E$36/100,0)+IF(AND(P$63&gt;=2,MOD(P$63,2)=0,P$63&lt;=IF($C68=1,$C$5-2,12)),Assumptions!$C$29*Assumptions!$D$36/2,0)+IF($C68=1,IF(P$63=$C$6,Assumptions!$C$29*$C$61,0),IF(P$63=12,Assumptions!$C$29*$E68/100,0))</f>
        <v>0</v>
      </c>
      <c r="Q68" s="40" t="n">
        <f aca="false">IF(Q$63=0,-Assumptions!$C$29*Assumptions!$E$36/100,0)+IF(AND(Q$63&gt;=2,MOD(Q$63,2)=0,Q$63&lt;=IF($C68=1,$C$5-2,12)),Assumptions!$C$29*Assumptions!$D$36/2,0)+IF($C68=1,IF(Q$63=$C$6,Assumptions!$C$29*$C$61,0),IF(Q$63=12,Assumptions!$C$29*$E68/100,0))</f>
        <v>0</v>
      </c>
      <c r="R68" s="40" t="n">
        <f aca="false">IF(R$63=0,-Assumptions!$C$29*Assumptions!$E$36/100,0)+IF(AND(R$63&gt;=2,MOD(R$63,2)=0,R$63&lt;=IF($C68=1,$C$5-2,12)),Assumptions!$C$29*Assumptions!$D$36/2,0)+IF($C68=1,IF(R$63=$C$6,Assumptions!$C$29*$C$61,0),IF(R$63=12,Assumptions!$C$29*$E68/100,0))</f>
        <v>0</v>
      </c>
      <c r="S68" s="40" t="n">
        <f aca="false">IF(S$63=0,-Assumptions!$C$29*Assumptions!$E$36/100,0)+IF(AND(S$63&gt;=2,MOD(S$63,2)=0,S$63&lt;=IF($C68=1,$C$5-2,12)),Assumptions!$C$29*Assumptions!$D$36/2,0)+IF($C68=1,IF(S$63=$C$6,Assumptions!$C$29*$C$61,0),IF(S$63=12,Assumptions!$C$29*$E68/100,0))</f>
        <v>3125</v>
      </c>
      <c r="T68" s="40" t="n">
        <f aca="false">IF(T$63=0,-Assumptions!$C$29*Assumptions!$E$36/100,0)+IF(AND(T$63&gt;=2,MOD(T$63,2)=0,T$63&lt;=IF($C68=1,$C$5-2,12)),Assumptions!$C$29*Assumptions!$D$36/2,0)+IF($C68=1,IF(T$63=$C$6,Assumptions!$C$29*$C$61,0),IF(T$63=12,Assumptions!$C$29*$E68/100,0))</f>
        <v>0</v>
      </c>
      <c r="U68" s="40" t="n">
        <f aca="false">IF(U$63=0,-Assumptions!$C$29*Assumptions!$E$36/100,0)+IF(AND(U$63&gt;=2,MOD(U$63,2)=0,U$63&lt;=IF($C68=1,$C$5-2,12)),Assumptions!$C$29*Assumptions!$D$36/2,0)+IF($C68=1,IF(U$63=$C$6,Assumptions!$C$29*$C$61,0),IF(U$63=12,Assumptions!$C$29*$E68/100,0))</f>
        <v>0</v>
      </c>
      <c r="V68" s="40" t="n">
        <f aca="false">IF(V$63=0,-Assumptions!$C$29*Assumptions!$E$36/100,0)+IF(AND(V$63&gt;=2,MOD(V$63,2)=0,V$63&lt;=IF($C68=1,$C$5-2,12)),Assumptions!$C$29*Assumptions!$D$36/2,0)+IF($C68=1,IF(V$63=$C$6,Assumptions!$C$29*$C$61,0),IF(V$63=12,Assumptions!$C$29*$E68/100,0))</f>
        <v>0</v>
      </c>
      <c r="W68" s="40" t="n">
        <f aca="false">IF(W$63=0,-Assumptions!$C$29*Assumptions!$E$36/100,0)+IF(AND(W$63&gt;=2,MOD(W$63,2)=0,W$63&lt;=IF($C68=1,$C$5-2,12)),Assumptions!$C$29*Assumptions!$D$36/2,0)+IF($C68=1,IF(W$63=$C$6,Assumptions!$C$29*$C$61,0),IF(W$63=12,Assumptions!$C$29*$E68/100,0))</f>
        <v>0</v>
      </c>
      <c r="X68" s="40" t="n">
        <f aca="false">IF(X$63=0,-Assumptions!$C$29*Assumptions!$E$36/100,0)+IF(AND(X$63&gt;=2,MOD(X$63,2)=0,X$63&lt;=IF($C68=1,$C$5-2,12)),Assumptions!$C$29*Assumptions!$D$36/2,0)+IF($C68=1,IF(X$63=$C$6,Assumptions!$C$29*$C$61,0),IF(X$63=12,Assumptions!$C$29*$E68/100,0))</f>
        <v>0</v>
      </c>
      <c r="Y68" s="40" t="n">
        <f aca="false">IF(Y$63=0,-Assumptions!$C$29*Assumptions!$E$36/100,0)+IF(AND(Y$63&gt;=2,MOD(Y$63,2)=0,Y$63&lt;=IF($C68=1,$C$5-2,12)),Assumptions!$C$29*Assumptions!$D$36/2,0)+IF($C68=1,IF(Y$63=$C$6,Assumptions!$C$29*$C$61,0),IF(Y$63=12,Assumptions!$C$29*$E68/100,0))</f>
        <v>0</v>
      </c>
    </row>
    <row r="69" customFormat="false" ht="15" hidden="false" customHeight="false" outlineLevel="0" collapsed="false">
      <c r="B69" s="9" t="s">
        <v>52</v>
      </c>
      <c r="C69" s="28" t="n">
        <f aca="false">IF($C$14&lt;=$C$62,1,0)</f>
        <v>1</v>
      </c>
      <c r="D69" s="19" t="n">
        <f aca="false">Assumptions!$F$37</f>
        <v>11750</v>
      </c>
      <c r="E69" s="39" t="n">
        <f aca="false">PV($F69/2,(Assumptions!$C$30*4-12)/2,-Assumptions!$D$37*100/2,-100)</f>
        <v>97.2427387979842</v>
      </c>
      <c r="F69" s="17" t="n">
        <f aca="false">RATE(Assumptions!$C$30*2,Assumptions!$D$37*100/2,-Assumptions!$E$37,100)*2</f>
        <v>0.100561753609911</v>
      </c>
      <c r="G69" s="26" t="n">
        <f aca="false">SUM(I69:Y69)</f>
        <v>-7562.5</v>
      </c>
      <c r="H69" s="17" t="n">
        <f aca="false">(1+IRR(I69:Y69,IF(SUM(I69:Y69)&lt;0,-0.05,0.01)))^4-1</f>
        <v>-0.377547951583126</v>
      </c>
      <c r="I69" s="40" t="n">
        <f aca="false">IF(I$63=0,-Assumptions!$C$29*Assumptions!$E$37/100,0)+IF(AND(I$63&gt;=2,MOD(I$63,2)=0,I$63&lt;=IF($C69=1,$C$5-2,12)),Assumptions!$C$29*Assumptions!$D$37/2,0)+IF($C69=1,IF(I$63=$C$6,Assumptions!$C$29*$C$61,0),IF(I$63=12,Assumptions!$C$29*$E69/100,0))</f>
        <v>-11750</v>
      </c>
      <c r="J69" s="40" t="n">
        <f aca="false">IF(J$63=0,-Assumptions!$C$29*Assumptions!$E$37/100,0)+IF(AND(J$63&gt;=2,MOD(J$63,2)=0,J$63&lt;=IF($C69=1,$C$5-2,12)),Assumptions!$C$29*Assumptions!$D$37/2,0)+IF($C69=1,IF(J$63=$C$6,Assumptions!$C$29*$C$61,0),IF(J$63=12,Assumptions!$C$29*$E69/100,0))</f>
        <v>0</v>
      </c>
      <c r="K69" s="40" t="n">
        <f aca="false">IF(K$63=0,-Assumptions!$C$29*Assumptions!$E$37/100,0)+IF(AND(K$63&gt;=2,MOD(K$63,2)=0,K$63&lt;=IF($C69=1,$C$5-2,12)),Assumptions!$C$29*Assumptions!$D$37/2,0)+IF($C69=1,IF(K$63=$C$6,Assumptions!$C$29*$C$61,0),IF(K$63=12,Assumptions!$C$29*$E69/100,0))</f>
        <v>531.25</v>
      </c>
      <c r="L69" s="40" t="n">
        <f aca="false">IF(L$63=0,-Assumptions!$C$29*Assumptions!$E$37/100,0)+IF(AND(L$63&gt;=2,MOD(L$63,2)=0,L$63&lt;=IF($C69=1,$C$5-2,12)),Assumptions!$C$29*Assumptions!$D$37/2,0)+IF($C69=1,IF(L$63=$C$6,Assumptions!$C$29*$C$61,0),IF(L$63=12,Assumptions!$C$29*$E69/100,0))</f>
        <v>0</v>
      </c>
      <c r="M69" s="40" t="n">
        <f aca="false">IF(M$63=0,-Assumptions!$C$29*Assumptions!$E$37/100,0)+IF(AND(M$63&gt;=2,MOD(M$63,2)=0,M$63&lt;=IF($C69=1,$C$5-2,12)),Assumptions!$C$29*Assumptions!$D$37/2,0)+IF($C69=1,IF(M$63=$C$6,Assumptions!$C$29*$C$61,0),IF(M$63=12,Assumptions!$C$29*$E69/100,0))</f>
        <v>531.25</v>
      </c>
      <c r="N69" s="40" t="n">
        <f aca="false">IF(N$63=0,-Assumptions!$C$29*Assumptions!$E$37/100,0)+IF(AND(N$63&gt;=2,MOD(N$63,2)=0,N$63&lt;=IF($C69=1,$C$5-2,12)),Assumptions!$C$29*Assumptions!$D$37/2,0)+IF($C69=1,IF(N$63=$C$6,Assumptions!$C$29*$C$61,0),IF(N$63=12,Assumptions!$C$29*$E69/100,0))</f>
        <v>0</v>
      </c>
      <c r="O69" s="40" t="n">
        <f aca="false">IF(O$63=0,-Assumptions!$C$29*Assumptions!$E$37/100,0)+IF(AND(O$63&gt;=2,MOD(O$63,2)=0,O$63&lt;=IF($C69=1,$C$5-2,12)),Assumptions!$C$29*Assumptions!$D$37/2,0)+IF($C69=1,IF(O$63=$C$6,Assumptions!$C$29*$C$61,0),IF(O$63=12,Assumptions!$C$29*$E69/100,0))</f>
        <v>0</v>
      </c>
      <c r="P69" s="40" t="n">
        <f aca="false">IF(P$63=0,-Assumptions!$C$29*Assumptions!$E$37/100,0)+IF(AND(P$63&gt;=2,MOD(P$63,2)=0,P$63&lt;=IF($C69=1,$C$5-2,12)),Assumptions!$C$29*Assumptions!$D$37/2,0)+IF($C69=1,IF(P$63=$C$6,Assumptions!$C$29*$C$61,0),IF(P$63=12,Assumptions!$C$29*$E69/100,0))</f>
        <v>0</v>
      </c>
      <c r="Q69" s="40" t="n">
        <f aca="false">IF(Q$63=0,-Assumptions!$C$29*Assumptions!$E$37/100,0)+IF(AND(Q$63&gt;=2,MOD(Q$63,2)=0,Q$63&lt;=IF($C69=1,$C$5-2,12)),Assumptions!$C$29*Assumptions!$D$37/2,0)+IF($C69=1,IF(Q$63=$C$6,Assumptions!$C$29*$C$61,0),IF(Q$63=12,Assumptions!$C$29*$E69/100,0))</f>
        <v>0</v>
      </c>
      <c r="R69" s="40" t="n">
        <f aca="false">IF(R$63=0,-Assumptions!$C$29*Assumptions!$E$37/100,0)+IF(AND(R$63&gt;=2,MOD(R$63,2)=0,R$63&lt;=IF($C69=1,$C$5-2,12)),Assumptions!$C$29*Assumptions!$D$37/2,0)+IF($C69=1,IF(R$63=$C$6,Assumptions!$C$29*$C$61,0),IF(R$63=12,Assumptions!$C$29*$E69/100,0))</f>
        <v>0</v>
      </c>
      <c r="S69" s="40" t="n">
        <f aca="false">IF(S$63=0,-Assumptions!$C$29*Assumptions!$E$37/100,0)+IF(AND(S$63&gt;=2,MOD(S$63,2)=0,S$63&lt;=IF($C69=1,$C$5-2,12)),Assumptions!$C$29*Assumptions!$D$37/2,0)+IF($C69=1,IF(S$63=$C$6,Assumptions!$C$29*$C$61,0),IF(S$63=12,Assumptions!$C$29*$E69/100,0))</f>
        <v>3125</v>
      </c>
      <c r="T69" s="40" t="n">
        <f aca="false">IF(T$63=0,-Assumptions!$C$29*Assumptions!$E$37/100,0)+IF(AND(T$63&gt;=2,MOD(T$63,2)=0,T$63&lt;=IF($C69=1,$C$5-2,12)),Assumptions!$C$29*Assumptions!$D$37/2,0)+IF($C69=1,IF(T$63=$C$6,Assumptions!$C$29*$C$61,0),IF(T$63=12,Assumptions!$C$29*$E69/100,0))</f>
        <v>0</v>
      </c>
      <c r="U69" s="40" t="n">
        <f aca="false">IF(U$63=0,-Assumptions!$C$29*Assumptions!$E$37/100,0)+IF(AND(U$63&gt;=2,MOD(U$63,2)=0,U$63&lt;=IF($C69=1,$C$5-2,12)),Assumptions!$C$29*Assumptions!$D$37/2,0)+IF($C69=1,IF(U$63=$C$6,Assumptions!$C$29*$C$61,0),IF(U$63=12,Assumptions!$C$29*$E69/100,0))</f>
        <v>0</v>
      </c>
      <c r="V69" s="40" t="n">
        <f aca="false">IF(V$63=0,-Assumptions!$C$29*Assumptions!$E$37/100,0)+IF(AND(V$63&gt;=2,MOD(V$63,2)=0,V$63&lt;=IF($C69=1,$C$5-2,12)),Assumptions!$C$29*Assumptions!$D$37/2,0)+IF($C69=1,IF(V$63=$C$6,Assumptions!$C$29*$C$61,0),IF(V$63=12,Assumptions!$C$29*$E69/100,0))</f>
        <v>0</v>
      </c>
      <c r="W69" s="40" t="n">
        <f aca="false">IF(W$63=0,-Assumptions!$C$29*Assumptions!$E$37/100,0)+IF(AND(W$63&gt;=2,MOD(W$63,2)=0,W$63&lt;=IF($C69=1,$C$5-2,12)),Assumptions!$C$29*Assumptions!$D$37/2,0)+IF($C69=1,IF(W$63=$C$6,Assumptions!$C$29*$C$61,0),IF(W$63=12,Assumptions!$C$29*$E69/100,0))</f>
        <v>0</v>
      </c>
      <c r="X69" s="40" t="n">
        <f aca="false">IF(X$63=0,-Assumptions!$C$29*Assumptions!$E$37/100,0)+IF(AND(X$63&gt;=2,MOD(X$63,2)=0,X$63&lt;=IF($C69=1,$C$5-2,12)),Assumptions!$C$29*Assumptions!$D$37/2,0)+IF($C69=1,IF(X$63=$C$6,Assumptions!$C$29*$C$61,0),IF(X$63=12,Assumptions!$C$29*$E69/100,0))</f>
        <v>0</v>
      </c>
      <c r="Y69" s="40" t="n">
        <f aca="false">IF(Y$63=0,-Assumptions!$C$29*Assumptions!$E$37/100,0)+IF(AND(Y$63&gt;=2,MOD(Y$63,2)=0,Y$63&lt;=IF($C69=1,$C$5-2,12)),Assumptions!$C$29*Assumptions!$D$37/2,0)+IF($C69=1,IF(Y$63=$C$6,Assumptions!$C$29*$C$61,0),IF(Y$63=12,Assumptions!$C$29*$E69/100,0))</f>
        <v>0</v>
      </c>
    </row>
    <row r="70" customFormat="false" ht="15" hidden="false" customHeight="false" outlineLevel="0" collapsed="false">
      <c r="B70" s="29" t="s">
        <v>154</v>
      </c>
      <c r="D70" s="41" t="n">
        <f aca="false">SUM(D64:D69)</f>
        <v>73000</v>
      </c>
      <c r="G70" s="41" t="n">
        <f aca="false">SUM(I70:Y70)</f>
        <v>-15499.9139125821</v>
      </c>
      <c r="H70" s="30" t="n">
        <f aca="false">(1+IRR(I70:Y70,IF(SUM(I70:Y70)&lt;0,-0.05,0.01)))^4-1</f>
        <v>-0.0861030965550614</v>
      </c>
      <c r="I70" s="42" t="n">
        <f aca="false">SUM(I64:I69)</f>
        <v>-73000</v>
      </c>
      <c r="J70" s="42" t="n">
        <f aca="false">SUM(J64:J69)</f>
        <v>0</v>
      </c>
      <c r="K70" s="42" t="n">
        <f aca="false">SUM(K64:K69)</f>
        <v>2812.5</v>
      </c>
      <c r="L70" s="42" t="n">
        <f aca="false">SUM(L64:L69)</f>
        <v>0</v>
      </c>
      <c r="M70" s="42" t="n">
        <f aca="false">SUM(M64:M69)</f>
        <v>2812.5</v>
      </c>
      <c r="N70" s="42" t="n">
        <f aca="false">SUM(N64:N69)</f>
        <v>0</v>
      </c>
      <c r="O70" s="42" t="n">
        <f aca="false">SUM(O64:O69)</f>
        <v>1312.5</v>
      </c>
      <c r="P70" s="42" t="n">
        <f aca="false">SUM(P64:P69)</f>
        <v>0</v>
      </c>
      <c r="Q70" s="42" t="n">
        <f aca="false">SUM(Q64:Q69)</f>
        <v>1312.5</v>
      </c>
      <c r="R70" s="42" t="n">
        <f aca="false">SUM(R64:R69)</f>
        <v>0</v>
      </c>
      <c r="S70" s="42" t="n">
        <f aca="false">SUM(S64:S69)</f>
        <v>10687.5</v>
      </c>
      <c r="T70" s="42" t="n">
        <f aca="false">SUM(T64:T69)</f>
        <v>0</v>
      </c>
      <c r="U70" s="42" t="n">
        <f aca="false">SUM(U64:U69)</f>
        <v>38562.586087418</v>
      </c>
      <c r="V70" s="42" t="n">
        <f aca="false">SUM(V64:V69)</f>
        <v>0</v>
      </c>
      <c r="W70" s="42" t="n">
        <f aca="false">SUM(W64:W69)</f>
        <v>0</v>
      </c>
      <c r="X70" s="42" t="n">
        <f aca="false">SUM(X64:X69)</f>
        <v>0</v>
      </c>
      <c r="Y70" s="42" t="n">
        <f aca="false">SUM(Y64:Y69)</f>
        <v>0</v>
      </c>
    </row>
    <row r="72" customFormat="false" ht="15" hidden="false" customHeight="false" outlineLevel="0" collapsed="false">
      <c r="B72" s="7" t="s">
        <v>158</v>
      </c>
      <c r="C72" s="8"/>
      <c r="D72" s="8"/>
      <c r="E72" s="8"/>
      <c r="F72" s="8"/>
      <c r="G72" s="8"/>
      <c r="H72" s="8"/>
      <c r="I72" s="8"/>
      <c r="J72" s="8"/>
      <c r="K72" s="8"/>
      <c r="L72" s="8"/>
      <c r="M72" s="8"/>
      <c r="N72" s="8"/>
      <c r="O72" s="8"/>
      <c r="P72" s="8"/>
      <c r="Q72" s="8"/>
      <c r="R72" s="8"/>
      <c r="S72" s="8"/>
      <c r="T72" s="8"/>
      <c r="U72" s="8"/>
      <c r="V72" s="8"/>
      <c r="W72" s="8"/>
      <c r="X72" s="8"/>
      <c r="Y72" s="8"/>
    </row>
    <row r="73" customFormat="false" ht="15" hidden="false" customHeight="false" outlineLevel="0" collapsed="false">
      <c r="B73" s="9" t="s">
        <v>117</v>
      </c>
      <c r="C73" s="22" t="n">
        <f aca="false">$B$18</f>
        <v>0.25</v>
      </c>
    </row>
    <row r="74" customFormat="false" ht="15" hidden="false" customHeight="false" outlineLevel="0" collapsed="false">
      <c r="B74" s="9" t="s">
        <v>148</v>
      </c>
      <c r="C74" s="28" t="n">
        <f aca="false">G$17</f>
        <v>4</v>
      </c>
    </row>
    <row r="75" customFormat="false" ht="30" hidden="false" customHeight="true" outlineLevel="0" collapsed="false">
      <c r="B75" s="13" t="s">
        <v>32</v>
      </c>
      <c r="C75" s="14" t="s">
        <v>149</v>
      </c>
      <c r="D75" s="14" t="s">
        <v>46</v>
      </c>
      <c r="E75" s="14" t="s">
        <v>150</v>
      </c>
      <c r="F75" s="14" t="s">
        <v>151</v>
      </c>
      <c r="G75" s="14" t="s">
        <v>152</v>
      </c>
      <c r="H75" s="14" t="s">
        <v>153</v>
      </c>
      <c r="I75" s="38" t="n">
        <v>0</v>
      </c>
      <c r="J75" s="38" t="n">
        <v>1</v>
      </c>
      <c r="K75" s="38" t="n">
        <v>2</v>
      </c>
      <c r="L75" s="38" t="n">
        <v>3</v>
      </c>
      <c r="M75" s="38" t="n">
        <v>4</v>
      </c>
      <c r="N75" s="38" t="n">
        <v>5</v>
      </c>
      <c r="O75" s="38" t="n">
        <v>6</v>
      </c>
      <c r="P75" s="38" t="n">
        <v>7</v>
      </c>
      <c r="Q75" s="38" t="n">
        <v>8</v>
      </c>
      <c r="R75" s="38" t="n">
        <v>9</v>
      </c>
      <c r="S75" s="38" t="n">
        <v>10</v>
      </c>
      <c r="T75" s="38" t="n">
        <v>11</v>
      </c>
      <c r="U75" s="38" t="n">
        <v>12</v>
      </c>
      <c r="V75" s="38" t="n">
        <v>13</v>
      </c>
      <c r="W75" s="38" t="n">
        <v>14</v>
      </c>
      <c r="X75" s="38" t="n">
        <v>15</v>
      </c>
      <c r="Y75" s="38" t="n">
        <v>16</v>
      </c>
    </row>
    <row r="76" customFormat="false" ht="15" hidden="false" customHeight="false" outlineLevel="0" collapsed="false">
      <c r="B76" s="9" t="s">
        <v>47</v>
      </c>
      <c r="C76" s="28" t="n">
        <f aca="false">IF($C$9&lt;=$C$74,1,0)</f>
        <v>0</v>
      </c>
      <c r="D76" s="19" t="n">
        <f aca="false">Assumptions!$F$32</f>
        <v>12375</v>
      </c>
      <c r="E76" s="39" t="n">
        <f aca="false">PV($F76/2,(Assumptions!$C$30*4-12)/2,-Assumptions!$D$32*100/2,-100)</f>
        <v>99.5584003138178</v>
      </c>
      <c r="F76" s="17" t="n">
        <f aca="false">RATE(Assumptions!$C$30*2,Assumptions!$D$32*100/2,-Assumptions!$E$32,100)*2</f>
        <v>0.0699042470751673</v>
      </c>
      <c r="G76" s="26" t="n">
        <f aca="false">SUM(I76:Y76)</f>
        <v>2601.05003922723</v>
      </c>
      <c r="H76" s="17" t="n">
        <f aca="false">(1+IRR(I76:Y76,IF(SUM(I76:Y76)&lt;0,-0.05,0.01)))^4-1</f>
        <v>0.0711258980149541</v>
      </c>
      <c r="I76" s="40" t="n">
        <f aca="false">IF(I$75=0,-Assumptions!$C$29*Assumptions!$E$32/100,0)+IF(AND(I$75&gt;=2,MOD(I$75,2)=0,I$75&lt;=IF($C76=1,$C$5-2,12)),Assumptions!$C$29*Assumptions!$D$32/2,0)+IF($C76=1,IF(I$75=$C$6,Assumptions!$C$29*$C$73,0),IF(I$75=12,Assumptions!$C$29*$E76/100,0))</f>
        <v>-12375</v>
      </c>
      <c r="J76" s="40" t="n">
        <f aca="false">IF(J$75=0,-Assumptions!$C$29*Assumptions!$E$32/100,0)+IF(AND(J$75&gt;=2,MOD(J$75,2)=0,J$75&lt;=IF($C76=1,$C$5-2,12)),Assumptions!$C$29*Assumptions!$D$32/2,0)+IF($C76=1,IF(J$75=$C$6,Assumptions!$C$29*$C$73,0),IF(J$75=12,Assumptions!$C$29*$E76/100,0))</f>
        <v>0</v>
      </c>
      <c r="K76" s="40" t="n">
        <f aca="false">IF(K$75=0,-Assumptions!$C$29*Assumptions!$E$32/100,0)+IF(AND(K$75&gt;=2,MOD(K$75,2)=0,K$75&lt;=IF($C76=1,$C$5-2,12)),Assumptions!$C$29*Assumptions!$D$32/2,0)+IF($C76=1,IF(K$75=$C$6,Assumptions!$C$29*$C$73,0),IF(K$75=12,Assumptions!$C$29*$E76/100,0))</f>
        <v>421.875</v>
      </c>
      <c r="L76" s="40" t="n">
        <f aca="false">IF(L$75=0,-Assumptions!$C$29*Assumptions!$E$32/100,0)+IF(AND(L$75&gt;=2,MOD(L$75,2)=0,L$75&lt;=IF($C76=1,$C$5-2,12)),Assumptions!$C$29*Assumptions!$D$32/2,0)+IF($C76=1,IF(L$75=$C$6,Assumptions!$C$29*$C$73,0),IF(L$75=12,Assumptions!$C$29*$E76/100,0))</f>
        <v>0</v>
      </c>
      <c r="M76" s="40" t="n">
        <f aca="false">IF(M$75=0,-Assumptions!$C$29*Assumptions!$E$32/100,0)+IF(AND(M$75&gt;=2,MOD(M$75,2)=0,M$75&lt;=IF($C76=1,$C$5-2,12)),Assumptions!$C$29*Assumptions!$D$32/2,0)+IF($C76=1,IF(M$75=$C$6,Assumptions!$C$29*$C$73,0),IF(M$75=12,Assumptions!$C$29*$E76/100,0))</f>
        <v>421.875</v>
      </c>
      <c r="N76" s="40" t="n">
        <f aca="false">IF(N$75=0,-Assumptions!$C$29*Assumptions!$E$32/100,0)+IF(AND(N$75&gt;=2,MOD(N$75,2)=0,N$75&lt;=IF($C76=1,$C$5-2,12)),Assumptions!$C$29*Assumptions!$D$32/2,0)+IF($C76=1,IF(N$75=$C$6,Assumptions!$C$29*$C$73,0),IF(N$75=12,Assumptions!$C$29*$E76/100,0))</f>
        <v>0</v>
      </c>
      <c r="O76" s="40" t="n">
        <f aca="false">IF(O$75=0,-Assumptions!$C$29*Assumptions!$E$32/100,0)+IF(AND(O$75&gt;=2,MOD(O$75,2)=0,O$75&lt;=IF($C76=1,$C$5-2,12)),Assumptions!$C$29*Assumptions!$D$32/2,0)+IF($C76=1,IF(O$75=$C$6,Assumptions!$C$29*$C$73,0),IF(O$75=12,Assumptions!$C$29*$E76/100,0))</f>
        <v>421.875</v>
      </c>
      <c r="P76" s="40" t="n">
        <f aca="false">IF(P$75=0,-Assumptions!$C$29*Assumptions!$E$32/100,0)+IF(AND(P$75&gt;=2,MOD(P$75,2)=0,P$75&lt;=IF($C76=1,$C$5-2,12)),Assumptions!$C$29*Assumptions!$D$32/2,0)+IF($C76=1,IF(P$75=$C$6,Assumptions!$C$29*$C$73,0),IF(P$75=12,Assumptions!$C$29*$E76/100,0))</f>
        <v>0</v>
      </c>
      <c r="Q76" s="40" t="n">
        <f aca="false">IF(Q$75=0,-Assumptions!$C$29*Assumptions!$E$32/100,0)+IF(AND(Q$75&gt;=2,MOD(Q$75,2)=0,Q$75&lt;=IF($C76=1,$C$5-2,12)),Assumptions!$C$29*Assumptions!$D$32/2,0)+IF($C76=1,IF(Q$75=$C$6,Assumptions!$C$29*$C$73,0),IF(Q$75=12,Assumptions!$C$29*$E76/100,0))</f>
        <v>421.875</v>
      </c>
      <c r="R76" s="40" t="n">
        <f aca="false">IF(R$75=0,-Assumptions!$C$29*Assumptions!$E$32/100,0)+IF(AND(R$75&gt;=2,MOD(R$75,2)=0,R$75&lt;=IF($C76=1,$C$5-2,12)),Assumptions!$C$29*Assumptions!$D$32/2,0)+IF($C76=1,IF(R$75=$C$6,Assumptions!$C$29*$C$73,0),IF(R$75=12,Assumptions!$C$29*$E76/100,0))</f>
        <v>0</v>
      </c>
      <c r="S76" s="40" t="n">
        <f aca="false">IF(S$75=0,-Assumptions!$C$29*Assumptions!$E$32/100,0)+IF(AND(S$75&gt;=2,MOD(S$75,2)=0,S$75&lt;=IF($C76=1,$C$5-2,12)),Assumptions!$C$29*Assumptions!$D$32/2,0)+IF($C76=1,IF(S$75=$C$6,Assumptions!$C$29*$C$73,0),IF(S$75=12,Assumptions!$C$29*$E76/100,0))</f>
        <v>421.875</v>
      </c>
      <c r="T76" s="40" t="n">
        <f aca="false">IF(T$75=0,-Assumptions!$C$29*Assumptions!$E$32/100,0)+IF(AND(T$75&gt;=2,MOD(T$75,2)=0,T$75&lt;=IF($C76=1,$C$5-2,12)),Assumptions!$C$29*Assumptions!$D$32/2,0)+IF($C76=1,IF(T$75=$C$6,Assumptions!$C$29*$C$73,0),IF(T$75=12,Assumptions!$C$29*$E76/100,0))</f>
        <v>0</v>
      </c>
      <c r="U76" s="40" t="n">
        <f aca="false">IF(U$75=0,-Assumptions!$C$29*Assumptions!$E$32/100,0)+IF(AND(U$75&gt;=2,MOD(U$75,2)=0,U$75&lt;=IF($C76=1,$C$5-2,12)),Assumptions!$C$29*Assumptions!$D$32/2,0)+IF($C76=1,IF(U$75=$C$6,Assumptions!$C$29*$C$73,0),IF(U$75=12,Assumptions!$C$29*$E76/100,0))</f>
        <v>12866.6750392272</v>
      </c>
      <c r="V76" s="40" t="n">
        <f aca="false">IF(V$75=0,-Assumptions!$C$29*Assumptions!$E$32/100,0)+IF(AND(V$75&gt;=2,MOD(V$75,2)=0,V$75&lt;=IF($C76=1,$C$5-2,12)),Assumptions!$C$29*Assumptions!$D$32/2,0)+IF($C76=1,IF(V$75=$C$6,Assumptions!$C$29*$C$73,0),IF(V$75=12,Assumptions!$C$29*$E76/100,0))</f>
        <v>0</v>
      </c>
      <c r="W76" s="40" t="n">
        <f aca="false">IF(W$75=0,-Assumptions!$C$29*Assumptions!$E$32/100,0)+IF(AND(W$75&gt;=2,MOD(W$75,2)=0,W$75&lt;=IF($C76=1,$C$5-2,12)),Assumptions!$C$29*Assumptions!$D$32/2,0)+IF($C76=1,IF(W$75=$C$6,Assumptions!$C$29*$C$73,0),IF(W$75=12,Assumptions!$C$29*$E76/100,0))</f>
        <v>0</v>
      </c>
      <c r="X76" s="40" t="n">
        <f aca="false">IF(X$75=0,-Assumptions!$C$29*Assumptions!$E$32/100,0)+IF(AND(X$75&gt;=2,MOD(X$75,2)=0,X$75&lt;=IF($C76=1,$C$5-2,12)),Assumptions!$C$29*Assumptions!$D$32/2,0)+IF($C76=1,IF(X$75=$C$6,Assumptions!$C$29*$C$73,0),IF(X$75=12,Assumptions!$C$29*$E76/100,0))</f>
        <v>0</v>
      </c>
      <c r="Y76" s="40" t="n">
        <f aca="false">IF(Y$75=0,-Assumptions!$C$29*Assumptions!$E$32/100,0)+IF(AND(Y$75&gt;=2,MOD(Y$75,2)=0,Y$75&lt;=IF($C76=1,$C$5-2,12)),Assumptions!$C$29*Assumptions!$D$32/2,0)+IF($C76=1,IF(Y$75=$C$6,Assumptions!$C$29*$C$73,0),IF(Y$75=12,Assumptions!$C$29*$E76/100,0))</f>
        <v>0</v>
      </c>
    </row>
    <row r="77" customFormat="false" ht="15" hidden="false" customHeight="false" outlineLevel="0" collapsed="false">
      <c r="B77" s="9" t="s">
        <v>48</v>
      </c>
      <c r="C77" s="28" t="n">
        <f aca="false">IF($C$10&lt;=$C$74,1,0)</f>
        <v>0</v>
      </c>
      <c r="D77" s="19" t="n">
        <f aca="false">Assumptions!$F$33</f>
        <v>12312.5</v>
      </c>
      <c r="E77" s="39" t="n">
        <f aca="false">PV($F77/2,(Assumptions!$C$30*4-12)/2,-Assumptions!$D$33*100/2,-100)</f>
        <v>99.3343027458663</v>
      </c>
      <c r="F77" s="17" t="n">
        <f aca="false">RATE(Assumptions!$C$30*2,Assumptions!$D$33*100/2,-Assumptions!$E$33,100)*2</f>
        <v>0.0736404123832243</v>
      </c>
      <c r="G77" s="26" t="n">
        <f aca="false">SUM(I77:Y77)</f>
        <v>2729.28784323328</v>
      </c>
      <c r="H77" s="17" t="n">
        <f aca="false">(1+IRR(I77:Y77,IF(SUM(I77:Y77)&lt;0,-0.05,0.01)))^4-1</f>
        <v>0.0749961399672177</v>
      </c>
      <c r="I77" s="40" t="n">
        <f aca="false">IF(I$75=0,-Assumptions!$C$29*Assumptions!$E$33/100,0)+IF(AND(I$75&gt;=2,MOD(I$75,2)=0,I$75&lt;=IF($C77=1,$C$5-2,12)),Assumptions!$C$29*Assumptions!$D$33/2,0)+IF($C77=1,IF(I$75=$C$6,Assumptions!$C$29*$C$73,0),IF(I$75=12,Assumptions!$C$29*$E77/100,0))</f>
        <v>-12312.5</v>
      </c>
      <c r="J77" s="40" t="n">
        <f aca="false">IF(J$75=0,-Assumptions!$C$29*Assumptions!$E$33/100,0)+IF(AND(J$75&gt;=2,MOD(J$75,2)=0,J$75&lt;=IF($C77=1,$C$5-2,12)),Assumptions!$C$29*Assumptions!$D$33/2,0)+IF($C77=1,IF(J$75=$C$6,Assumptions!$C$29*$C$73,0),IF(J$75=12,Assumptions!$C$29*$E77/100,0))</f>
        <v>0</v>
      </c>
      <c r="K77" s="40" t="n">
        <f aca="false">IF(K$75=0,-Assumptions!$C$29*Assumptions!$E$33/100,0)+IF(AND(K$75&gt;=2,MOD(K$75,2)=0,K$75&lt;=IF($C77=1,$C$5-2,12)),Assumptions!$C$29*Assumptions!$D$33/2,0)+IF($C77=1,IF(K$75=$C$6,Assumptions!$C$29*$C$73,0),IF(K$75=12,Assumptions!$C$29*$E77/100,0))</f>
        <v>437.5</v>
      </c>
      <c r="L77" s="40" t="n">
        <f aca="false">IF(L$75=0,-Assumptions!$C$29*Assumptions!$E$33/100,0)+IF(AND(L$75&gt;=2,MOD(L$75,2)=0,L$75&lt;=IF($C77=1,$C$5-2,12)),Assumptions!$C$29*Assumptions!$D$33/2,0)+IF($C77=1,IF(L$75=$C$6,Assumptions!$C$29*$C$73,0),IF(L$75=12,Assumptions!$C$29*$E77/100,0))</f>
        <v>0</v>
      </c>
      <c r="M77" s="40" t="n">
        <f aca="false">IF(M$75=0,-Assumptions!$C$29*Assumptions!$E$33/100,0)+IF(AND(M$75&gt;=2,MOD(M$75,2)=0,M$75&lt;=IF($C77=1,$C$5-2,12)),Assumptions!$C$29*Assumptions!$D$33/2,0)+IF($C77=1,IF(M$75=$C$6,Assumptions!$C$29*$C$73,0),IF(M$75=12,Assumptions!$C$29*$E77/100,0))</f>
        <v>437.5</v>
      </c>
      <c r="N77" s="40" t="n">
        <f aca="false">IF(N$75=0,-Assumptions!$C$29*Assumptions!$E$33/100,0)+IF(AND(N$75&gt;=2,MOD(N$75,2)=0,N$75&lt;=IF($C77=1,$C$5-2,12)),Assumptions!$C$29*Assumptions!$D$33/2,0)+IF($C77=1,IF(N$75=$C$6,Assumptions!$C$29*$C$73,0),IF(N$75=12,Assumptions!$C$29*$E77/100,0))</f>
        <v>0</v>
      </c>
      <c r="O77" s="40" t="n">
        <f aca="false">IF(O$75=0,-Assumptions!$C$29*Assumptions!$E$33/100,0)+IF(AND(O$75&gt;=2,MOD(O$75,2)=0,O$75&lt;=IF($C77=1,$C$5-2,12)),Assumptions!$C$29*Assumptions!$D$33/2,0)+IF($C77=1,IF(O$75=$C$6,Assumptions!$C$29*$C$73,0),IF(O$75=12,Assumptions!$C$29*$E77/100,0))</f>
        <v>437.5</v>
      </c>
      <c r="P77" s="40" t="n">
        <f aca="false">IF(P$75=0,-Assumptions!$C$29*Assumptions!$E$33/100,0)+IF(AND(P$75&gt;=2,MOD(P$75,2)=0,P$75&lt;=IF($C77=1,$C$5-2,12)),Assumptions!$C$29*Assumptions!$D$33/2,0)+IF($C77=1,IF(P$75=$C$6,Assumptions!$C$29*$C$73,0),IF(P$75=12,Assumptions!$C$29*$E77/100,0))</f>
        <v>0</v>
      </c>
      <c r="Q77" s="40" t="n">
        <f aca="false">IF(Q$75=0,-Assumptions!$C$29*Assumptions!$E$33/100,0)+IF(AND(Q$75&gt;=2,MOD(Q$75,2)=0,Q$75&lt;=IF($C77=1,$C$5-2,12)),Assumptions!$C$29*Assumptions!$D$33/2,0)+IF($C77=1,IF(Q$75=$C$6,Assumptions!$C$29*$C$73,0),IF(Q$75=12,Assumptions!$C$29*$E77/100,0))</f>
        <v>437.5</v>
      </c>
      <c r="R77" s="40" t="n">
        <f aca="false">IF(R$75=0,-Assumptions!$C$29*Assumptions!$E$33/100,0)+IF(AND(R$75&gt;=2,MOD(R$75,2)=0,R$75&lt;=IF($C77=1,$C$5-2,12)),Assumptions!$C$29*Assumptions!$D$33/2,0)+IF($C77=1,IF(R$75=$C$6,Assumptions!$C$29*$C$73,0),IF(R$75=12,Assumptions!$C$29*$E77/100,0))</f>
        <v>0</v>
      </c>
      <c r="S77" s="40" t="n">
        <f aca="false">IF(S$75=0,-Assumptions!$C$29*Assumptions!$E$33/100,0)+IF(AND(S$75&gt;=2,MOD(S$75,2)=0,S$75&lt;=IF($C77=1,$C$5-2,12)),Assumptions!$C$29*Assumptions!$D$33/2,0)+IF($C77=1,IF(S$75=$C$6,Assumptions!$C$29*$C$73,0),IF(S$75=12,Assumptions!$C$29*$E77/100,0))</f>
        <v>437.5</v>
      </c>
      <c r="T77" s="40" t="n">
        <f aca="false">IF(T$75=0,-Assumptions!$C$29*Assumptions!$E$33/100,0)+IF(AND(T$75&gt;=2,MOD(T$75,2)=0,T$75&lt;=IF($C77=1,$C$5-2,12)),Assumptions!$C$29*Assumptions!$D$33/2,0)+IF($C77=1,IF(T$75=$C$6,Assumptions!$C$29*$C$73,0),IF(T$75=12,Assumptions!$C$29*$E77/100,0))</f>
        <v>0</v>
      </c>
      <c r="U77" s="40" t="n">
        <f aca="false">IF(U$75=0,-Assumptions!$C$29*Assumptions!$E$33/100,0)+IF(AND(U$75&gt;=2,MOD(U$75,2)=0,U$75&lt;=IF($C77=1,$C$5-2,12)),Assumptions!$C$29*Assumptions!$D$33/2,0)+IF($C77=1,IF(U$75=$C$6,Assumptions!$C$29*$C$73,0),IF(U$75=12,Assumptions!$C$29*$E77/100,0))</f>
        <v>12854.2878432333</v>
      </c>
      <c r="V77" s="40" t="n">
        <f aca="false">IF(V$75=0,-Assumptions!$C$29*Assumptions!$E$33/100,0)+IF(AND(V$75&gt;=2,MOD(V$75,2)=0,V$75&lt;=IF($C77=1,$C$5-2,12)),Assumptions!$C$29*Assumptions!$D$33/2,0)+IF($C77=1,IF(V$75=$C$6,Assumptions!$C$29*$C$73,0),IF(V$75=12,Assumptions!$C$29*$E77/100,0))</f>
        <v>0</v>
      </c>
      <c r="W77" s="40" t="n">
        <f aca="false">IF(W$75=0,-Assumptions!$C$29*Assumptions!$E$33/100,0)+IF(AND(W$75&gt;=2,MOD(W$75,2)=0,W$75&lt;=IF($C77=1,$C$5-2,12)),Assumptions!$C$29*Assumptions!$D$33/2,0)+IF($C77=1,IF(W$75=$C$6,Assumptions!$C$29*$C$73,0),IF(W$75=12,Assumptions!$C$29*$E77/100,0))</f>
        <v>0</v>
      </c>
      <c r="X77" s="40" t="n">
        <f aca="false">IF(X$75=0,-Assumptions!$C$29*Assumptions!$E$33/100,0)+IF(AND(X$75&gt;=2,MOD(X$75,2)=0,X$75&lt;=IF($C77=1,$C$5-2,12)),Assumptions!$C$29*Assumptions!$D$33/2,0)+IF($C77=1,IF(X$75=$C$6,Assumptions!$C$29*$C$73,0),IF(X$75=12,Assumptions!$C$29*$E77/100,0))</f>
        <v>0</v>
      </c>
      <c r="Y77" s="40" t="n">
        <f aca="false">IF(Y$75=0,-Assumptions!$C$29*Assumptions!$E$33/100,0)+IF(AND(Y$75&gt;=2,MOD(Y$75,2)=0,Y$75&lt;=IF($C77=1,$C$5-2,12)),Assumptions!$C$29*Assumptions!$D$33/2,0)+IF($C77=1,IF(Y$75=$C$6,Assumptions!$C$29*$C$73,0),IF(Y$75=12,Assumptions!$C$29*$E77/100,0))</f>
        <v>0</v>
      </c>
    </row>
    <row r="78" customFormat="false" ht="15" hidden="false" customHeight="false" outlineLevel="0" collapsed="false">
      <c r="B78" s="9" t="s">
        <v>49</v>
      </c>
      <c r="C78" s="28" t="n">
        <f aca="false">IF($C$11&lt;=$C$74,1,0)</f>
        <v>1</v>
      </c>
      <c r="D78" s="19" t="n">
        <f aca="false">Assumptions!$F$34</f>
        <v>12250</v>
      </c>
      <c r="E78" s="39" t="n">
        <f aca="false">PV($F78/2,(Assumptions!$C$30*4-12)/2,-Assumptions!$D$34*100/2,-100)</f>
        <v>99.1079856396595</v>
      </c>
      <c r="F78" s="17" t="n">
        <f aca="false">RATE(Assumptions!$C$30*2,Assumptions!$D$34*100/2,-Assumptions!$E$34,100)*2</f>
        <v>0.0773997713205988</v>
      </c>
      <c r="G78" s="26" t="n">
        <f aca="false">SUM(I78:Y78)</f>
        <v>-8218.75</v>
      </c>
      <c r="H78" s="17" t="n">
        <f aca="false">(1+IRR(I78:Y78,IF(SUM(I78:Y78)&lt;0,-0.05,0.01)))^4-1</f>
        <v>-0.393764307765652</v>
      </c>
      <c r="I78" s="40" t="n">
        <f aca="false">IF(I$75=0,-Assumptions!$C$29*Assumptions!$E$34/100,0)+IF(AND(I$75&gt;=2,MOD(I$75,2)=0,I$75&lt;=IF($C78=1,$C$5-2,12)),Assumptions!$C$29*Assumptions!$D$34/2,0)+IF($C78=1,IF(I$75=$C$6,Assumptions!$C$29*$C$73,0),IF(I$75=12,Assumptions!$C$29*$E78/100,0))</f>
        <v>-12250</v>
      </c>
      <c r="J78" s="40" t="n">
        <f aca="false">IF(J$75=0,-Assumptions!$C$29*Assumptions!$E$34/100,0)+IF(AND(J$75&gt;=2,MOD(J$75,2)=0,J$75&lt;=IF($C78=1,$C$5-2,12)),Assumptions!$C$29*Assumptions!$D$34/2,0)+IF($C78=1,IF(J$75=$C$6,Assumptions!$C$29*$C$73,0),IF(J$75=12,Assumptions!$C$29*$E78/100,0))</f>
        <v>0</v>
      </c>
      <c r="K78" s="40" t="n">
        <f aca="false">IF(K$75=0,-Assumptions!$C$29*Assumptions!$E$34/100,0)+IF(AND(K$75&gt;=2,MOD(K$75,2)=0,K$75&lt;=IF($C78=1,$C$5-2,12)),Assumptions!$C$29*Assumptions!$D$34/2,0)+IF($C78=1,IF(K$75=$C$6,Assumptions!$C$29*$C$73,0),IF(K$75=12,Assumptions!$C$29*$E78/100,0))</f>
        <v>453.125</v>
      </c>
      <c r="L78" s="40" t="n">
        <f aca="false">IF(L$75=0,-Assumptions!$C$29*Assumptions!$E$34/100,0)+IF(AND(L$75&gt;=2,MOD(L$75,2)=0,L$75&lt;=IF($C78=1,$C$5-2,12)),Assumptions!$C$29*Assumptions!$D$34/2,0)+IF($C78=1,IF(L$75=$C$6,Assumptions!$C$29*$C$73,0),IF(L$75=12,Assumptions!$C$29*$E78/100,0))</f>
        <v>0</v>
      </c>
      <c r="M78" s="40" t="n">
        <f aca="false">IF(M$75=0,-Assumptions!$C$29*Assumptions!$E$34/100,0)+IF(AND(M$75&gt;=2,MOD(M$75,2)=0,M$75&lt;=IF($C78=1,$C$5-2,12)),Assumptions!$C$29*Assumptions!$D$34/2,0)+IF($C78=1,IF(M$75=$C$6,Assumptions!$C$29*$C$73,0),IF(M$75=12,Assumptions!$C$29*$E78/100,0))</f>
        <v>453.125</v>
      </c>
      <c r="N78" s="40" t="n">
        <f aca="false">IF(N$75=0,-Assumptions!$C$29*Assumptions!$E$34/100,0)+IF(AND(N$75&gt;=2,MOD(N$75,2)=0,N$75&lt;=IF($C78=1,$C$5-2,12)),Assumptions!$C$29*Assumptions!$D$34/2,0)+IF($C78=1,IF(N$75=$C$6,Assumptions!$C$29*$C$73,0),IF(N$75=12,Assumptions!$C$29*$E78/100,0))</f>
        <v>0</v>
      </c>
      <c r="O78" s="40" t="n">
        <f aca="false">IF(O$75=0,-Assumptions!$C$29*Assumptions!$E$34/100,0)+IF(AND(O$75&gt;=2,MOD(O$75,2)=0,O$75&lt;=IF($C78=1,$C$5-2,12)),Assumptions!$C$29*Assumptions!$D$34/2,0)+IF($C78=1,IF(O$75=$C$6,Assumptions!$C$29*$C$73,0),IF(O$75=12,Assumptions!$C$29*$E78/100,0))</f>
        <v>0</v>
      </c>
      <c r="P78" s="40" t="n">
        <f aca="false">IF(P$75=0,-Assumptions!$C$29*Assumptions!$E$34/100,0)+IF(AND(P$75&gt;=2,MOD(P$75,2)=0,P$75&lt;=IF($C78=1,$C$5-2,12)),Assumptions!$C$29*Assumptions!$D$34/2,0)+IF($C78=1,IF(P$75=$C$6,Assumptions!$C$29*$C$73,0),IF(P$75=12,Assumptions!$C$29*$E78/100,0))</f>
        <v>0</v>
      </c>
      <c r="Q78" s="40" t="n">
        <f aca="false">IF(Q$75=0,-Assumptions!$C$29*Assumptions!$E$34/100,0)+IF(AND(Q$75&gt;=2,MOD(Q$75,2)=0,Q$75&lt;=IF($C78=1,$C$5-2,12)),Assumptions!$C$29*Assumptions!$D$34/2,0)+IF($C78=1,IF(Q$75=$C$6,Assumptions!$C$29*$C$73,0),IF(Q$75=12,Assumptions!$C$29*$E78/100,0))</f>
        <v>0</v>
      </c>
      <c r="R78" s="40" t="n">
        <f aca="false">IF(R$75=0,-Assumptions!$C$29*Assumptions!$E$34/100,0)+IF(AND(R$75&gt;=2,MOD(R$75,2)=0,R$75&lt;=IF($C78=1,$C$5-2,12)),Assumptions!$C$29*Assumptions!$D$34/2,0)+IF($C78=1,IF(R$75=$C$6,Assumptions!$C$29*$C$73,0),IF(R$75=12,Assumptions!$C$29*$E78/100,0))</f>
        <v>0</v>
      </c>
      <c r="S78" s="40" t="n">
        <f aca="false">IF(S$75=0,-Assumptions!$C$29*Assumptions!$E$34/100,0)+IF(AND(S$75&gt;=2,MOD(S$75,2)=0,S$75&lt;=IF($C78=1,$C$5-2,12)),Assumptions!$C$29*Assumptions!$D$34/2,0)+IF($C78=1,IF(S$75=$C$6,Assumptions!$C$29*$C$73,0),IF(S$75=12,Assumptions!$C$29*$E78/100,0))</f>
        <v>3125</v>
      </c>
      <c r="T78" s="40" t="n">
        <f aca="false">IF(T$75=0,-Assumptions!$C$29*Assumptions!$E$34/100,0)+IF(AND(T$75&gt;=2,MOD(T$75,2)=0,T$75&lt;=IF($C78=1,$C$5-2,12)),Assumptions!$C$29*Assumptions!$D$34/2,0)+IF($C78=1,IF(T$75=$C$6,Assumptions!$C$29*$C$73,0),IF(T$75=12,Assumptions!$C$29*$E78/100,0))</f>
        <v>0</v>
      </c>
      <c r="U78" s="40" t="n">
        <f aca="false">IF(U$75=0,-Assumptions!$C$29*Assumptions!$E$34/100,0)+IF(AND(U$75&gt;=2,MOD(U$75,2)=0,U$75&lt;=IF($C78=1,$C$5-2,12)),Assumptions!$C$29*Assumptions!$D$34/2,0)+IF($C78=1,IF(U$75=$C$6,Assumptions!$C$29*$C$73,0),IF(U$75=12,Assumptions!$C$29*$E78/100,0))</f>
        <v>0</v>
      </c>
      <c r="V78" s="40" t="n">
        <f aca="false">IF(V$75=0,-Assumptions!$C$29*Assumptions!$E$34/100,0)+IF(AND(V$75&gt;=2,MOD(V$75,2)=0,V$75&lt;=IF($C78=1,$C$5-2,12)),Assumptions!$C$29*Assumptions!$D$34/2,0)+IF($C78=1,IF(V$75=$C$6,Assumptions!$C$29*$C$73,0),IF(V$75=12,Assumptions!$C$29*$E78/100,0))</f>
        <v>0</v>
      </c>
      <c r="W78" s="40" t="n">
        <f aca="false">IF(W$75=0,-Assumptions!$C$29*Assumptions!$E$34/100,0)+IF(AND(W$75&gt;=2,MOD(W$75,2)=0,W$75&lt;=IF($C78=1,$C$5-2,12)),Assumptions!$C$29*Assumptions!$D$34/2,0)+IF($C78=1,IF(W$75=$C$6,Assumptions!$C$29*$C$73,0),IF(W$75=12,Assumptions!$C$29*$E78/100,0))</f>
        <v>0</v>
      </c>
      <c r="X78" s="40" t="n">
        <f aca="false">IF(X$75=0,-Assumptions!$C$29*Assumptions!$E$34/100,0)+IF(AND(X$75&gt;=2,MOD(X$75,2)=0,X$75&lt;=IF($C78=1,$C$5-2,12)),Assumptions!$C$29*Assumptions!$D$34/2,0)+IF($C78=1,IF(X$75=$C$6,Assumptions!$C$29*$C$73,0),IF(X$75=12,Assumptions!$C$29*$E78/100,0))</f>
        <v>0</v>
      </c>
      <c r="Y78" s="40" t="n">
        <f aca="false">IF(Y$75=0,-Assumptions!$C$29*Assumptions!$E$34/100,0)+IF(AND(Y$75&gt;=2,MOD(Y$75,2)=0,Y$75&lt;=IF($C78=1,$C$5-2,12)),Assumptions!$C$29*Assumptions!$D$34/2,0)+IF($C78=1,IF(Y$75=$C$6,Assumptions!$C$29*$C$73,0),IF(Y$75=12,Assumptions!$C$29*$E78/100,0))</f>
        <v>0</v>
      </c>
    </row>
    <row r="79" customFormat="false" ht="15" hidden="false" customHeight="false" outlineLevel="0" collapsed="false">
      <c r="B79" s="9" t="s">
        <v>50</v>
      </c>
      <c r="C79" s="28" t="n">
        <f aca="false">IF($C$12&lt;=$C$74,1,0)</f>
        <v>1</v>
      </c>
      <c r="D79" s="19" t="n">
        <f aca="false">Assumptions!$F$35</f>
        <v>12187.5</v>
      </c>
      <c r="E79" s="39" t="n">
        <f aca="false">PV($F79/2,(Assumptions!$C$30*4-12)/2,-Assumptions!$D$35*100/2,-100)</f>
        <v>98.8794329841845</v>
      </c>
      <c r="F79" s="17" t="n">
        <f aca="false">RATE(Assumptions!$C$30*2,Assumptions!$D$35*100/2,-Assumptions!$E$35,100)*2</f>
        <v>0.0811827080590467</v>
      </c>
      <c r="G79" s="26" t="n">
        <f aca="false">SUM(I79:Y79)</f>
        <v>-8125</v>
      </c>
      <c r="H79" s="17" t="n">
        <f aca="false">(1+IRR(I79:Y79,IF(SUM(I79:Y79)&lt;0,-0.05,0.01)))^4-1</f>
        <v>-0.39143432820794</v>
      </c>
      <c r="I79" s="40" t="n">
        <f aca="false">IF(I$75=0,-Assumptions!$C$29*Assumptions!$E$35/100,0)+IF(AND(I$75&gt;=2,MOD(I$75,2)=0,I$75&lt;=IF($C79=1,$C$5-2,12)),Assumptions!$C$29*Assumptions!$D$35/2,0)+IF($C79=1,IF(I$75=$C$6,Assumptions!$C$29*$C$73,0),IF(I$75=12,Assumptions!$C$29*$E79/100,0))</f>
        <v>-12187.5</v>
      </c>
      <c r="J79" s="40" t="n">
        <f aca="false">IF(J$75=0,-Assumptions!$C$29*Assumptions!$E$35/100,0)+IF(AND(J$75&gt;=2,MOD(J$75,2)=0,J$75&lt;=IF($C79=1,$C$5-2,12)),Assumptions!$C$29*Assumptions!$D$35/2,0)+IF($C79=1,IF(J$75=$C$6,Assumptions!$C$29*$C$73,0),IF(J$75=12,Assumptions!$C$29*$E79/100,0))</f>
        <v>0</v>
      </c>
      <c r="K79" s="40" t="n">
        <f aca="false">IF(K$75=0,-Assumptions!$C$29*Assumptions!$E$35/100,0)+IF(AND(K$75&gt;=2,MOD(K$75,2)=0,K$75&lt;=IF($C79=1,$C$5-2,12)),Assumptions!$C$29*Assumptions!$D$35/2,0)+IF($C79=1,IF(K$75=$C$6,Assumptions!$C$29*$C$73,0),IF(K$75=12,Assumptions!$C$29*$E79/100,0))</f>
        <v>468.75</v>
      </c>
      <c r="L79" s="40" t="n">
        <f aca="false">IF(L$75=0,-Assumptions!$C$29*Assumptions!$E$35/100,0)+IF(AND(L$75&gt;=2,MOD(L$75,2)=0,L$75&lt;=IF($C79=1,$C$5-2,12)),Assumptions!$C$29*Assumptions!$D$35/2,0)+IF($C79=1,IF(L$75=$C$6,Assumptions!$C$29*$C$73,0),IF(L$75=12,Assumptions!$C$29*$E79/100,0))</f>
        <v>0</v>
      </c>
      <c r="M79" s="40" t="n">
        <f aca="false">IF(M$75=0,-Assumptions!$C$29*Assumptions!$E$35/100,0)+IF(AND(M$75&gt;=2,MOD(M$75,2)=0,M$75&lt;=IF($C79=1,$C$5-2,12)),Assumptions!$C$29*Assumptions!$D$35/2,0)+IF($C79=1,IF(M$75=$C$6,Assumptions!$C$29*$C$73,0),IF(M$75=12,Assumptions!$C$29*$E79/100,0))</f>
        <v>468.75</v>
      </c>
      <c r="N79" s="40" t="n">
        <f aca="false">IF(N$75=0,-Assumptions!$C$29*Assumptions!$E$35/100,0)+IF(AND(N$75&gt;=2,MOD(N$75,2)=0,N$75&lt;=IF($C79=1,$C$5-2,12)),Assumptions!$C$29*Assumptions!$D$35/2,0)+IF($C79=1,IF(N$75=$C$6,Assumptions!$C$29*$C$73,0),IF(N$75=12,Assumptions!$C$29*$E79/100,0))</f>
        <v>0</v>
      </c>
      <c r="O79" s="40" t="n">
        <f aca="false">IF(O$75=0,-Assumptions!$C$29*Assumptions!$E$35/100,0)+IF(AND(O$75&gt;=2,MOD(O$75,2)=0,O$75&lt;=IF($C79=1,$C$5-2,12)),Assumptions!$C$29*Assumptions!$D$35/2,0)+IF($C79=1,IF(O$75=$C$6,Assumptions!$C$29*$C$73,0),IF(O$75=12,Assumptions!$C$29*$E79/100,0))</f>
        <v>0</v>
      </c>
      <c r="P79" s="40" t="n">
        <f aca="false">IF(P$75=0,-Assumptions!$C$29*Assumptions!$E$35/100,0)+IF(AND(P$75&gt;=2,MOD(P$75,2)=0,P$75&lt;=IF($C79=1,$C$5-2,12)),Assumptions!$C$29*Assumptions!$D$35/2,0)+IF($C79=1,IF(P$75=$C$6,Assumptions!$C$29*$C$73,0),IF(P$75=12,Assumptions!$C$29*$E79/100,0))</f>
        <v>0</v>
      </c>
      <c r="Q79" s="40" t="n">
        <f aca="false">IF(Q$75=0,-Assumptions!$C$29*Assumptions!$E$35/100,0)+IF(AND(Q$75&gt;=2,MOD(Q$75,2)=0,Q$75&lt;=IF($C79=1,$C$5-2,12)),Assumptions!$C$29*Assumptions!$D$35/2,0)+IF($C79=1,IF(Q$75=$C$6,Assumptions!$C$29*$C$73,0),IF(Q$75=12,Assumptions!$C$29*$E79/100,0))</f>
        <v>0</v>
      </c>
      <c r="R79" s="40" t="n">
        <f aca="false">IF(R$75=0,-Assumptions!$C$29*Assumptions!$E$35/100,0)+IF(AND(R$75&gt;=2,MOD(R$75,2)=0,R$75&lt;=IF($C79=1,$C$5-2,12)),Assumptions!$C$29*Assumptions!$D$35/2,0)+IF($C79=1,IF(R$75=$C$6,Assumptions!$C$29*$C$73,0),IF(R$75=12,Assumptions!$C$29*$E79/100,0))</f>
        <v>0</v>
      </c>
      <c r="S79" s="40" t="n">
        <f aca="false">IF(S$75=0,-Assumptions!$C$29*Assumptions!$E$35/100,0)+IF(AND(S$75&gt;=2,MOD(S$75,2)=0,S$75&lt;=IF($C79=1,$C$5-2,12)),Assumptions!$C$29*Assumptions!$D$35/2,0)+IF($C79=1,IF(S$75=$C$6,Assumptions!$C$29*$C$73,0),IF(S$75=12,Assumptions!$C$29*$E79/100,0))</f>
        <v>3125</v>
      </c>
      <c r="T79" s="40" t="n">
        <f aca="false">IF(T$75=0,-Assumptions!$C$29*Assumptions!$E$35/100,0)+IF(AND(T$75&gt;=2,MOD(T$75,2)=0,T$75&lt;=IF($C79=1,$C$5-2,12)),Assumptions!$C$29*Assumptions!$D$35/2,0)+IF($C79=1,IF(T$75=$C$6,Assumptions!$C$29*$C$73,0),IF(T$75=12,Assumptions!$C$29*$E79/100,0))</f>
        <v>0</v>
      </c>
      <c r="U79" s="40" t="n">
        <f aca="false">IF(U$75=0,-Assumptions!$C$29*Assumptions!$E$35/100,0)+IF(AND(U$75&gt;=2,MOD(U$75,2)=0,U$75&lt;=IF($C79=1,$C$5-2,12)),Assumptions!$C$29*Assumptions!$D$35/2,0)+IF($C79=1,IF(U$75=$C$6,Assumptions!$C$29*$C$73,0),IF(U$75=12,Assumptions!$C$29*$E79/100,0))</f>
        <v>0</v>
      </c>
      <c r="V79" s="40" t="n">
        <f aca="false">IF(V$75=0,-Assumptions!$C$29*Assumptions!$E$35/100,0)+IF(AND(V$75&gt;=2,MOD(V$75,2)=0,V$75&lt;=IF($C79=1,$C$5-2,12)),Assumptions!$C$29*Assumptions!$D$35/2,0)+IF($C79=1,IF(V$75=$C$6,Assumptions!$C$29*$C$73,0),IF(V$75=12,Assumptions!$C$29*$E79/100,0))</f>
        <v>0</v>
      </c>
      <c r="W79" s="40" t="n">
        <f aca="false">IF(W$75=0,-Assumptions!$C$29*Assumptions!$E$35/100,0)+IF(AND(W$75&gt;=2,MOD(W$75,2)=0,W$75&lt;=IF($C79=1,$C$5-2,12)),Assumptions!$C$29*Assumptions!$D$35/2,0)+IF($C79=1,IF(W$75=$C$6,Assumptions!$C$29*$C$73,0),IF(W$75=12,Assumptions!$C$29*$E79/100,0))</f>
        <v>0</v>
      </c>
      <c r="X79" s="40" t="n">
        <f aca="false">IF(X$75=0,-Assumptions!$C$29*Assumptions!$E$35/100,0)+IF(AND(X$75&gt;=2,MOD(X$75,2)=0,X$75&lt;=IF($C79=1,$C$5-2,12)),Assumptions!$C$29*Assumptions!$D$35/2,0)+IF($C79=1,IF(X$75=$C$6,Assumptions!$C$29*$C$73,0),IF(X$75=12,Assumptions!$C$29*$E79/100,0))</f>
        <v>0</v>
      </c>
      <c r="Y79" s="40" t="n">
        <f aca="false">IF(Y$75=0,-Assumptions!$C$29*Assumptions!$E$35/100,0)+IF(AND(Y$75&gt;=2,MOD(Y$75,2)=0,Y$75&lt;=IF($C79=1,$C$5-2,12)),Assumptions!$C$29*Assumptions!$D$35/2,0)+IF($C79=1,IF(Y$75=$C$6,Assumptions!$C$29*$C$73,0),IF(Y$75=12,Assumptions!$C$29*$E79/100,0))</f>
        <v>0</v>
      </c>
    </row>
    <row r="80" customFormat="false" ht="15" hidden="false" customHeight="false" outlineLevel="0" collapsed="false">
      <c r="B80" s="9" t="s">
        <v>51</v>
      </c>
      <c r="C80" s="28" t="n">
        <f aca="false">IF($C$13&lt;=$C$74,1,0)</f>
        <v>1</v>
      </c>
      <c r="D80" s="19" t="n">
        <f aca="false">Assumptions!$F$36</f>
        <v>12125</v>
      </c>
      <c r="E80" s="39" t="n">
        <f aca="false">PV($F80/2,(Assumptions!$C$30*4-12)/2,-Assumptions!$D$36*100/2,-100)</f>
        <v>98.6441572961372</v>
      </c>
      <c r="F80" s="17" t="n">
        <f aca="false">RATE(Assumptions!$C$30*2,Assumptions!$D$36*100/2,-Assumptions!$E$36,100)*2</f>
        <v>0.0875368825411204</v>
      </c>
      <c r="G80" s="26" t="n">
        <f aca="false">SUM(I80:Y80)</f>
        <v>-8000</v>
      </c>
      <c r="H80" s="17" t="n">
        <f aca="false">(1+IRR(I80:Y80,IF(SUM(I80:Y80)&lt;0,-0.05,0.01)))^4-1</f>
        <v>-0.388079423733663</v>
      </c>
      <c r="I80" s="40" t="n">
        <f aca="false">IF(I$75=0,-Assumptions!$C$29*Assumptions!$E$36/100,0)+IF(AND(I$75&gt;=2,MOD(I$75,2)=0,I$75&lt;=IF($C80=1,$C$5-2,12)),Assumptions!$C$29*Assumptions!$D$36/2,0)+IF($C80=1,IF(I$75=$C$6,Assumptions!$C$29*$C$73,0),IF(I$75=12,Assumptions!$C$29*$E80/100,0))</f>
        <v>-12125</v>
      </c>
      <c r="J80" s="40" t="n">
        <f aca="false">IF(J$75=0,-Assumptions!$C$29*Assumptions!$E$36/100,0)+IF(AND(J$75&gt;=2,MOD(J$75,2)=0,J$75&lt;=IF($C80=1,$C$5-2,12)),Assumptions!$C$29*Assumptions!$D$36/2,0)+IF($C80=1,IF(J$75=$C$6,Assumptions!$C$29*$C$73,0),IF(J$75=12,Assumptions!$C$29*$E80/100,0))</f>
        <v>0</v>
      </c>
      <c r="K80" s="40" t="n">
        <f aca="false">IF(K$75=0,-Assumptions!$C$29*Assumptions!$E$36/100,0)+IF(AND(K$75&gt;=2,MOD(K$75,2)=0,K$75&lt;=IF($C80=1,$C$5-2,12)),Assumptions!$C$29*Assumptions!$D$36/2,0)+IF($C80=1,IF(K$75=$C$6,Assumptions!$C$29*$C$73,0),IF(K$75=12,Assumptions!$C$29*$E80/100,0))</f>
        <v>500</v>
      </c>
      <c r="L80" s="40" t="n">
        <f aca="false">IF(L$75=0,-Assumptions!$C$29*Assumptions!$E$36/100,0)+IF(AND(L$75&gt;=2,MOD(L$75,2)=0,L$75&lt;=IF($C80=1,$C$5-2,12)),Assumptions!$C$29*Assumptions!$D$36/2,0)+IF($C80=1,IF(L$75=$C$6,Assumptions!$C$29*$C$73,0),IF(L$75=12,Assumptions!$C$29*$E80/100,0))</f>
        <v>0</v>
      </c>
      <c r="M80" s="40" t="n">
        <f aca="false">IF(M$75=0,-Assumptions!$C$29*Assumptions!$E$36/100,0)+IF(AND(M$75&gt;=2,MOD(M$75,2)=0,M$75&lt;=IF($C80=1,$C$5-2,12)),Assumptions!$C$29*Assumptions!$D$36/2,0)+IF($C80=1,IF(M$75=$C$6,Assumptions!$C$29*$C$73,0),IF(M$75=12,Assumptions!$C$29*$E80/100,0))</f>
        <v>500</v>
      </c>
      <c r="N80" s="40" t="n">
        <f aca="false">IF(N$75=0,-Assumptions!$C$29*Assumptions!$E$36/100,0)+IF(AND(N$75&gt;=2,MOD(N$75,2)=0,N$75&lt;=IF($C80=1,$C$5-2,12)),Assumptions!$C$29*Assumptions!$D$36/2,0)+IF($C80=1,IF(N$75=$C$6,Assumptions!$C$29*$C$73,0),IF(N$75=12,Assumptions!$C$29*$E80/100,0))</f>
        <v>0</v>
      </c>
      <c r="O80" s="40" t="n">
        <f aca="false">IF(O$75=0,-Assumptions!$C$29*Assumptions!$E$36/100,0)+IF(AND(O$75&gt;=2,MOD(O$75,2)=0,O$75&lt;=IF($C80=1,$C$5-2,12)),Assumptions!$C$29*Assumptions!$D$36/2,0)+IF($C80=1,IF(O$75=$C$6,Assumptions!$C$29*$C$73,0),IF(O$75=12,Assumptions!$C$29*$E80/100,0))</f>
        <v>0</v>
      </c>
      <c r="P80" s="40" t="n">
        <f aca="false">IF(P$75=0,-Assumptions!$C$29*Assumptions!$E$36/100,0)+IF(AND(P$75&gt;=2,MOD(P$75,2)=0,P$75&lt;=IF($C80=1,$C$5-2,12)),Assumptions!$C$29*Assumptions!$D$36/2,0)+IF($C80=1,IF(P$75=$C$6,Assumptions!$C$29*$C$73,0),IF(P$75=12,Assumptions!$C$29*$E80/100,0))</f>
        <v>0</v>
      </c>
      <c r="Q80" s="40" t="n">
        <f aca="false">IF(Q$75=0,-Assumptions!$C$29*Assumptions!$E$36/100,0)+IF(AND(Q$75&gt;=2,MOD(Q$75,2)=0,Q$75&lt;=IF($C80=1,$C$5-2,12)),Assumptions!$C$29*Assumptions!$D$36/2,0)+IF($C80=1,IF(Q$75=$C$6,Assumptions!$C$29*$C$73,0),IF(Q$75=12,Assumptions!$C$29*$E80/100,0))</f>
        <v>0</v>
      </c>
      <c r="R80" s="40" t="n">
        <f aca="false">IF(R$75=0,-Assumptions!$C$29*Assumptions!$E$36/100,0)+IF(AND(R$75&gt;=2,MOD(R$75,2)=0,R$75&lt;=IF($C80=1,$C$5-2,12)),Assumptions!$C$29*Assumptions!$D$36/2,0)+IF($C80=1,IF(R$75=$C$6,Assumptions!$C$29*$C$73,0),IF(R$75=12,Assumptions!$C$29*$E80/100,0))</f>
        <v>0</v>
      </c>
      <c r="S80" s="40" t="n">
        <f aca="false">IF(S$75=0,-Assumptions!$C$29*Assumptions!$E$36/100,0)+IF(AND(S$75&gt;=2,MOD(S$75,2)=0,S$75&lt;=IF($C80=1,$C$5-2,12)),Assumptions!$C$29*Assumptions!$D$36/2,0)+IF($C80=1,IF(S$75=$C$6,Assumptions!$C$29*$C$73,0),IF(S$75=12,Assumptions!$C$29*$E80/100,0))</f>
        <v>3125</v>
      </c>
      <c r="T80" s="40" t="n">
        <f aca="false">IF(T$75=0,-Assumptions!$C$29*Assumptions!$E$36/100,0)+IF(AND(T$75&gt;=2,MOD(T$75,2)=0,T$75&lt;=IF($C80=1,$C$5-2,12)),Assumptions!$C$29*Assumptions!$D$36/2,0)+IF($C80=1,IF(T$75=$C$6,Assumptions!$C$29*$C$73,0),IF(T$75=12,Assumptions!$C$29*$E80/100,0))</f>
        <v>0</v>
      </c>
      <c r="U80" s="40" t="n">
        <f aca="false">IF(U$75=0,-Assumptions!$C$29*Assumptions!$E$36/100,0)+IF(AND(U$75&gt;=2,MOD(U$75,2)=0,U$75&lt;=IF($C80=1,$C$5-2,12)),Assumptions!$C$29*Assumptions!$D$36/2,0)+IF($C80=1,IF(U$75=$C$6,Assumptions!$C$29*$C$73,0),IF(U$75=12,Assumptions!$C$29*$E80/100,0))</f>
        <v>0</v>
      </c>
      <c r="V80" s="40" t="n">
        <f aca="false">IF(V$75=0,-Assumptions!$C$29*Assumptions!$E$36/100,0)+IF(AND(V$75&gt;=2,MOD(V$75,2)=0,V$75&lt;=IF($C80=1,$C$5-2,12)),Assumptions!$C$29*Assumptions!$D$36/2,0)+IF($C80=1,IF(V$75=$C$6,Assumptions!$C$29*$C$73,0),IF(V$75=12,Assumptions!$C$29*$E80/100,0))</f>
        <v>0</v>
      </c>
      <c r="W80" s="40" t="n">
        <f aca="false">IF(W$75=0,-Assumptions!$C$29*Assumptions!$E$36/100,0)+IF(AND(W$75&gt;=2,MOD(W$75,2)=0,W$75&lt;=IF($C80=1,$C$5-2,12)),Assumptions!$C$29*Assumptions!$D$36/2,0)+IF($C80=1,IF(W$75=$C$6,Assumptions!$C$29*$C$73,0),IF(W$75=12,Assumptions!$C$29*$E80/100,0))</f>
        <v>0</v>
      </c>
      <c r="X80" s="40" t="n">
        <f aca="false">IF(X$75=0,-Assumptions!$C$29*Assumptions!$E$36/100,0)+IF(AND(X$75&gt;=2,MOD(X$75,2)=0,X$75&lt;=IF($C80=1,$C$5-2,12)),Assumptions!$C$29*Assumptions!$D$36/2,0)+IF($C80=1,IF(X$75=$C$6,Assumptions!$C$29*$C$73,0),IF(X$75=12,Assumptions!$C$29*$E80/100,0))</f>
        <v>0</v>
      </c>
      <c r="Y80" s="40" t="n">
        <f aca="false">IF(Y$75=0,-Assumptions!$C$29*Assumptions!$E$36/100,0)+IF(AND(Y$75&gt;=2,MOD(Y$75,2)=0,Y$75&lt;=IF($C80=1,$C$5-2,12)),Assumptions!$C$29*Assumptions!$D$36/2,0)+IF($C80=1,IF(Y$75=$C$6,Assumptions!$C$29*$C$73,0),IF(Y$75=12,Assumptions!$C$29*$E80/100,0))</f>
        <v>0</v>
      </c>
    </row>
    <row r="81" customFormat="false" ht="15" hidden="false" customHeight="false" outlineLevel="0" collapsed="false">
      <c r="B81" s="9" t="s">
        <v>52</v>
      </c>
      <c r="C81" s="28" t="n">
        <f aca="false">IF($C$14&lt;=$C$74,1,0)</f>
        <v>1</v>
      </c>
      <c r="D81" s="19" t="n">
        <f aca="false">Assumptions!$F$37</f>
        <v>11750</v>
      </c>
      <c r="E81" s="39" t="n">
        <f aca="false">PV($F81/2,(Assumptions!$C$30*4-12)/2,-Assumptions!$D$37*100/2,-100)</f>
        <v>97.2427387979842</v>
      </c>
      <c r="F81" s="17" t="n">
        <f aca="false">RATE(Assumptions!$C$30*2,Assumptions!$D$37*100/2,-Assumptions!$E$37,100)*2</f>
        <v>0.100561753609911</v>
      </c>
      <c r="G81" s="26" t="n">
        <f aca="false">SUM(I81:Y81)</f>
        <v>-7562.5</v>
      </c>
      <c r="H81" s="17" t="n">
        <f aca="false">(1+IRR(I81:Y81,IF(SUM(I81:Y81)&lt;0,-0.05,0.01)))^4-1</f>
        <v>-0.377547951583126</v>
      </c>
      <c r="I81" s="40" t="n">
        <f aca="false">IF(I$75=0,-Assumptions!$C$29*Assumptions!$E$37/100,0)+IF(AND(I$75&gt;=2,MOD(I$75,2)=0,I$75&lt;=IF($C81=1,$C$5-2,12)),Assumptions!$C$29*Assumptions!$D$37/2,0)+IF($C81=1,IF(I$75=$C$6,Assumptions!$C$29*$C$73,0),IF(I$75=12,Assumptions!$C$29*$E81/100,0))</f>
        <v>-11750</v>
      </c>
      <c r="J81" s="40" t="n">
        <f aca="false">IF(J$75=0,-Assumptions!$C$29*Assumptions!$E$37/100,0)+IF(AND(J$75&gt;=2,MOD(J$75,2)=0,J$75&lt;=IF($C81=1,$C$5-2,12)),Assumptions!$C$29*Assumptions!$D$37/2,0)+IF($C81=1,IF(J$75=$C$6,Assumptions!$C$29*$C$73,0),IF(J$75=12,Assumptions!$C$29*$E81/100,0))</f>
        <v>0</v>
      </c>
      <c r="K81" s="40" t="n">
        <f aca="false">IF(K$75=0,-Assumptions!$C$29*Assumptions!$E$37/100,0)+IF(AND(K$75&gt;=2,MOD(K$75,2)=0,K$75&lt;=IF($C81=1,$C$5-2,12)),Assumptions!$C$29*Assumptions!$D$37/2,0)+IF($C81=1,IF(K$75=$C$6,Assumptions!$C$29*$C$73,0),IF(K$75=12,Assumptions!$C$29*$E81/100,0))</f>
        <v>531.25</v>
      </c>
      <c r="L81" s="40" t="n">
        <f aca="false">IF(L$75=0,-Assumptions!$C$29*Assumptions!$E$37/100,0)+IF(AND(L$75&gt;=2,MOD(L$75,2)=0,L$75&lt;=IF($C81=1,$C$5-2,12)),Assumptions!$C$29*Assumptions!$D$37/2,0)+IF($C81=1,IF(L$75=$C$6,Assumptions!$C$29*$C$73,0),IF(L$75=12,Assumptions!$C$29*$E81/100,0))</f>
        <v>0</v>
      </c>
      <c r="M81" s="40" t="n">
        <f aca="false">IF(M$75=0,-Assumptions!$C$29*Assumptions!$E$37/100,0)+IF(AND(M$75&gt;=2,MOD(M$75,2)=0,M$75&lt;=IF($C81=1,$C$5-2,12)),Assumptions!$C$29*Assumptions!$D$37/2,0)+IF($C81=1,IF(M$75=$C$6,Assumptions!$C$29*$C$73,0),IF(M$75=12,Assumptions!$C$29*$E81/100,0))</f>
        <v>531.25</v>
      </c>
      <c r="N81" s="40" t="n">
        <f aca="false">IF(N$75=0,-Assumptions!$C$29*Assumptions!$E$37/100,0)+IF(AND(N$75&gt;=2,MOD(N$75,2)=0,N$75&lt;=IF($C81=1,$C$5-2,12)),Assumptions!$C$29*Assumptions!$D$37/2,0)+IF($C81=1,IF(N$75=$C$6,Assumptions!$C$29*$C$73,0),IF(N$75=12,Assumptions!$C$29*$E81/100,0))</f>
        <v>0</v>
      </c>
      <c r="O81" s="40" t="n">
        <f aca="false">IF(O$75=0,-Assumptions!$C$29*Assumptions!$E$37/100,0)+IF(AND(O$75&gt;=2,MOD(O$75,2)=0,O$75&lt;=IF($C81=1,$C$5-2,12)),Assumptions!$C$29*Assumptions!$D$37/2,0)+IF($C81=1,IF(O$75=$C$6,Assumptions!$C$29*$C$73,0),IF(O$75=12,Assumptions!$C$29*$E81/100,0))</f>
        <v>0</v>
      </c>
      <c r="P81" s="40" t="n">
        <f aca="false">IF(P$75=0,-Assumptions!$C$29*Assumptions!$E$37/100,0)+IF(AND(P$75&gt;=2,MOD(P$75,2)=0,P$75&lt;=IF($C81=1,$C$5-2,12)),Assumptions!$C$29*Assumptions!$D$37/2,0)+IF($C81=1,IF(P$75=$C$6,Assumptions!$C$29*$C$73,0),IF(P$75=12,Assumptions!$C$29*$E81/100,0))</f>
        <v>0</v>
      </c>
      <c r="Q81" s="40" t="n">
        <f aca="false">IF(Q$75=0,-Assumptions!$C$29*Assumptions!$E$37/100,0)+IF(AND(Q$75&gt;=2,MOD(Q$75,2)=0,Q$75&lt;=IF($C81=1,$C$5-2,12)),Assumptions!$C$29*Assumptions!$D$37/2,0)+IF($C81=1,IF(Q$75=$C$6,Assumptions!$C$29*$C$73,0),IF(Q$75=12,Assumptions!$C$29*$E81/100,0))</f>
        <v>0</v>
      </c>
      <c r="R81" s="40" t="n">
        <f aca="false">IF(R$75=0,-Assumptions!$C$29*Assumptions!$E$37/100,0)+IF(AND(R$75&gt;=2,MOD(R$75,2)=0,R$75&lt;=IF($C81=1,$C$5-2,12)),Assumptions!$C$29*Assumptions!$D$37/2,0)+IF($C81=1,IF(R$75=$C$6,Assumptions!$C$29*$C$73,0),IF(R$75=12,Assumptions!$C$29*$E81/100,0))</f>
        <v>0</v>
      </c>
      <c r="S81" s="40" t="n">
        <f aca="false">IF(S$75=0,-Assumptions!$C$29*Assumptions!$E$37/100,0)+IF(AND(S$75&gt;=2,MOD(S$75,2)=0,S$75&lt;=IF($C81=1,$C$5-2,12)),Assumptions!$C$29*Assumptions!$D$37/2,0)+IF($C81=1,IF(S$75=$C$6,Assumptions!$C$29*$C$73,0),IF(S$75=12,Assumptions!$C$29*$E81/100,0))</f>
        <v>3125</v>
      </c>
      <c r="T81" s="40" t="n">
        <f aca="false">IF(T$75=0,-Assumptions!$C$29*Assumptions!$E$37/100,0)+IF(AND(T$75&gt;=2,MOD(T$75,2)=0,T$75&lt;=IF($C81=1,$C$5-2,12)),Assumptions!$C$29*Assumptions!$D$37/2,0)+IF($C81=1,IF(T$75=$C$6,Assumptions!$C$29*$C$73,0),IF(T$75=12,Assumptions!$C$29*$E81/100,0))</f>
        <v>0</v>
      </c>
      <c r="U81" s="40" t="n">
        <f aca="false">IF(U$75=0,-Assumptions!$C$29*Assumptions!$E$37/100,0)+IF(AND(U$75&gt;=2,MOD(U$75,2)=0,U$75&lt;=IF($C81=1,$C$5-2,12)),Assumptions!$C$29*Assumptions!$D$37/2,0)+IF($C81=1,IF(U$75=$C$6,Assumptions!$C$29*$C$73,0),IF(U$75=12,Assumptions!$C$29*$E81/100,0))</f>
        <v>0</v>
      </c>
      <c r="V81" s="40" t="n">
        <f aca="false">IF(V$75=0,-Assumptions!$C$29*Assumptions!$E$37/100,0)+IF(AND(V$75&gt;=2,MOD(V$75,2)=0,V$75&lt;=IF($C81=1,$C$5-2,12)),Assumptions!$C$29*Assumptions!$D$37/2,0)+IF($C81=1,IF(V$75=$C$6,Assumptions!$C$29*$C$73,0),IF(V$75=12,Assumptions!$C$29*$E81/100,0))</f>
        <v>0</v>
      </c>
      <c r="W81" s="40" t="n">
        <f aca="false">IF(W$75=0,-Assumptions!$C$29*Assumptions!$E$37/100,0)+IF(AND(W$75&gt;=2,MOD(W$75,2)=0,W$75&lt;=IF($C81=1,$C$5-2,12)),Assumptions!$C$29*Assumptions!$D$37/2,0)+IF($C81=1,IF(W$75=$C$6,Assumptions!$C$29*$C$73,0),IF(W$75=12,Assumptions!$C$29*$E81/100,0))</f>
        <v>0</v>
      </c>
      <c r="X81" s="40" t="n">
        <f aca="false">IF(X$75=0,-Assumptions!$C$29*Assumptions!$E$37/100,0)+IF(AND(X$75&gt;=2,MOD(X$75,2)=0,X$75&lt;=IF($C81=1,$C$5-2,12)),Assumptions!$C$29*Assumptions!$D$37/2,0)+IF($C81=1,IF(X$75=$C$6,Assumptions!$C$29*$C$73,0),IF(X$75=12,Assumptions!$C$29*$E81/100,0))</f>
        <v>0</v>
      </c>
      <c r="Y81" s="40" t="n">
        <f aca="false">IF(Y$75=0,-Assumptions!$C$29*Assumptions!$E$37/100,0)+IF(AND(Y$75&gt;=2,MOD(Y$75,2)=0,Y$75&lt;=IF($C81=1,$C$5-2,12)),Assumptions!$C$29*Assumptions!$D$37/2,0)+IF($C81=1,IF(Y$75=$C$6,Assumptions!$C$29*$C$73,0),IF(Y$75=12,Assumptions!$C$29*$E81/100,0))</f>
        <v>0</v>
      </c>
    </row>
    <row r="82" customFormat="false" ht="15" hidden="false" customHeight="false" outlineLevel="0" collapsed="false">
      <c r="B82" s="29" t="s">
        <v>154</v>
      </c>
      <c r="D82" s="41" t="n">
        <f aca="false">SUM(D76:D81)</f>
        <v>73000</v>
      </c>
      <c r="G82" s="41" t="n">
        <f aca="false">SUM(I82:Y82)</f>
        <v>-26575.9121175395</v>
      </c>
      <c r="H82" s="30" t="n">
        <f aca="false">(1+IRR(I82:Y82,IF(SUM(I82:Y82)&lt;0,-0.05,0.01)))^4-1</f>
        <v>-0.160856525122337</v>
      </c>
      <c r="I82" s="42" t="n">
        <f aca="false">SUM(I76:I81)</f>
        <v>-73000</v>
      </c>
      <c r="J82" s="42" t="n">
        <f aca="false">SUM(J76:J81)</f>
        <v>0</v>
      </c>
      <c r="K82" s="42" t="n">
        <f aca="false">SUM(K76:K81)</f>
        <v>2812.5</v>
      </c>
      <c r="L82" s="42" t="n">
        <f aca="false">SUM(L76:L81)</f>
        <v>0</v>
      </c>
      <c r="M82" s="42" t="n">
        <f aca="false">SUM(M76:M81)</f>
        <v>2812.5</v>
      </c>
      <c r="N82" s="42" t="n">
        <f aca="false">SUM(N76:N81)</f>
        <v>0</v>
      </c>
      <c r="O82" s="42" t="n">
        <f aca="false">SUM(O76:O81)</f>
        <v>859.375</v>
      </c>
      <c r="P82" s="42" t="n">
        <f aca="false">SUM(P76:P81)</f>
        <v>0</v>
      </c>
      <c r="Q82" s="42" t="n">
        <f aca="false">SUM(Q76:Q81)</f>
        <v>859.375</v>
      </c>
      <c r="R82" s="42" t="n">
        <f aca="false">SUM(R76:R81)</f>
        <v>0</v>
      </c>
      <c r="S82" s="42" t="n">
        <f aca="false">SUM(S76:S81)</f>
        <v>13359.375</v>
      </c>
      <c r="T82" s="42" t="n">
        <f aca="false">SUM(T76:T81)</f>
        <v>0</v>
      </c>
      <c r="U82" s="42" t="n">
        <f aca="false">SUM(U76:U81)</f>
        <v>25720.9628824605</v>
      </c>
      <c r="V82" s="42" t="n">
        <f aca="false">SUM(V76:V81)</f>
        <v>0</v>
      </c>
      <c r="W82" s="42" t="n">
        <f aca="false">SUM(W76:W81)</f>
        <v>0</v>
      </c>
      <c r="X82" s="42" t="n">
        <f aca="false">SUM(X76:X81)</f>
        <v>0</v>
      </c>
      <c r="Y82" s="42" t="n">
        <f aca="false">SUM(Y76:Y81)</f>
        <v>0</v>
      </c>
    </row>
    <row r="84" customFormat="false" ht="15" hidden="false" customHeight="false" outlineLevel="0" collapsed="false">
      <c r="B84" s="7" t="s">
        <v>159</v>
      </c>
      <c r="C84" s="8"/>
      <c r="D84" s="8"/>
      <c r="E84" s="8"/>
      <c r="F84" s="8"/>
      <c r="G84" s="8"/>
      <c r="H84" s="8"/>
      <c r="I84" s="8"/>
      <c r="J84" s="8"/>
      <c r="K84" s="8"/>
      <c r="L84" s="8"/>
      <c r="M84" s="8"/>
      <c r="N84" s="8"/>
      <c r="O84" s="8"/>
      <c r="P84" s="8"/>
      <c r="Q84" s="8"/>
      <c r="R84" s="8"/>
      <c r="S84" s="8"/>
      <c r="T84" s="8"/>
      <c r="U84" s="8"/>
      <c r="V84" s="8"/>
      <c r="W84" s="8"/>
      <c r="X84" s="8"/>
      <c r="Y84" s="8"/>
    </row>
    <row r="85" customFormat="false" ht="15" hidden="false" customHeight="false" outlineLevel="0" collapsed="false">
      <c r="B85" s="9" t="s">
        <v>117</v>
      </c>
      <c r="C85" s="22" t="n">
        <f aca="false">$B$19</f>
        <v>0.4</v>
      </c>
    </row>
    <row r="86" customFormat="false" ht="15" hidden="false" customHeight="false" outlineLevel="0" collapsed="false">
      <c r="B86" s="9" t="s">
        <v>148</v>
      </c>
      <c r="C86" s="28" t="n">
        <f aca="false">C$17</f>
        <v>0</v>
      </c>
    </row>
    <row r="87" customFormat="false" ht="30" hidden="false" customHeight="true" outlineLevel="0" collapsed="false">
      <c r="B87" s="13" t="s">
        <v>32</v>
      </c>
      <c r="C87" s="14" t="s">
        <v>149</v>
      </c>
      <c r="D87" s="14" t="s">
        <v>46</v>
      </c>
      <c r="E87" s="14" t="s">
        <v>150</v>
      </c>
      <c r="F87" s="14" t="s">
        <v>151</v>
      </c>
      <c r="G87" s="14" t="s">
        <v>152</v>
      </c>
      <c r="H87" s="14" t="s">
        <v>153</v>
      </c>
      <c r="I87" s="38" t="n">
        <v>0</v>
      </c>
      <c r="J87" s="38" t="n">
        <v>1</v>
      </c>
      <c r="K87" s="38" t="n">
        <v>2</v>
      </c>
      <c r="L87" s="38" t="n">
        <v>3</v>
      </c>
      <c r="M87" s="38" t="n">
        <v>4</v>
      </c>
      <c r="N87" s="38" t="n">
        <v>5</v>
      </c>
      <c r="O87" s="38" t="n">
        <v>6</v>
      </c>
      <c r="P87" s="38" t="n">
        <v>7</v>
      </c>
      <c r="Q87" s="38" t="n">
        <v>8</v>
      </c>
      <c r="R87" s="38" t="n">
        <v>9</v>
      </c>
      <c r="S87" s="38" t="n">
        <v>10</v>
      </c>
      <c r="T87" s="38" t="n">
        <v>11</v>
      </c>
      <c r="U87" s="38" t="n">
        <v>12</v>
      </c>
      <c r="V87" s="38" t="n">
        <v>13</v>
      </c>
      <c r="W87" s="38" t="n">
        <v>14</v>
      </c>
      <c r="X87" s="38" t="n">
        <v>15</v>
      </c>
      <c r="Y87" s="38" t="n">
        <v>16</v>
      </c>
    </row>
    <row r="88" customFormat="false" ht="15" hidden="false" customHeight="false" outlineLevel="0" collapsed="false">
      <c r="B88" s="9" t="s">
        <v>47</v>
      </c>
      <c r="C88" s="28" t="n">
        <f aca="false">IF($C$9&lt;=$C$86,1,0)</f>
        <v>0</v>
      </c>
      <c r="D88" s="19" t="n">
        <f aca="false">Assumptions!$F$32</f>
        <v>12375</v>
      </c>
      <c r="E88" s="39" t="n">
        <f aca="false">PV($F88/2,(Assumptions!$C$30*4-12)/2,-Assumptions!$D$32*100/2,-100)</f>
        <v>99.5584003138178</v>
      </c>
      <c r="F88" s="17" t="n">
        <f aca="false">RATE(Assumptions!$C$30*2,Assumptions!$D$32*100/2,-Assumptions!$E$32,100)*2</f>
        <v>0.0699042470751673</v>
      </c>
      <c r="G88" s="26" t="n">
        <f aca="false">SUM(I88:Y88)</f>
        <v>2601.05003922723</v>
      </c>
      <c r="H88" s="17" t="n">
        <f aca="false">(1+IRR(I88:Y88,IF(SUM(I88:Y88)&lt;0,-0.05,0.01)))^4-1</f>
        <v>0.0711258980149541</v>
      </c>
      <c r="I88" s="40" t="n">
        <f aca="false">IF(I$87=0,-Assumptions!$C$29*Assumptions!$E$32/100,0)+IF(AND(I$87&gt;=2,MOD(I$87,2)=0,I$87&lt;=IF($C88=1,$C$5-2,12)),Assumptions!$C$29*Assumptions!$D$32/2,0)+IF($C88=1,IF(I$87=$C$6,Assumptions!$C$29*$C$85,0),IF(I$87=12,Assumptions!$C$29*$E88/100,0))</f>
        <v>-12375</v>
      </c>
      <c r="J88" s="40" t="n">
        <f aca="false">IF(J$87=0,-Assumptions!$C$29*Assumptions!$E$32/100,0)+IF(AND(J$87&gt;=2,MOD(J$87,2)=0,J$87&lt;=IF($C88=1,$C$5-2,12)),Assumptions!$C$29*Assumptions!$D$32/2,0)+IF($C88=1,IF(J$87=$C$6,Assumptions!$C$29*$C$85,0),IF(J$87=12,Assumptions!$C$29*$E88/100,0))</f>
        <v>0</v>
      </c>
      <c r="K88" s="40" t="n">
        <f aca="false">IF(K$87=0,-Assumptions!$C$29*Assumptions!$E$32/100,0)+IF(AND(K$87&gt;=2,MOD(K$87,2)=0,K$87&lt;=IF($C88=1,$C$5-2,12)),Assumptions!$C$29*Assumptions!$D$32/2,0)+IF($C88=1,IF(K$87=$C$6,Assumptions!$C$29*$C$85,0),IF(K$87=12,Assumptions!$C$29*$E88/100,0))</f>
        <v>421.875</v>
      </c>
      <c r="L88" s="40" t="n">
        <f aca="false">IF(L$87=0,-Assumptions!$C$29*Assumptions!$E$32/100,0)+IF(AND(L$87&gt;=2,MOD(L$87,2)=0,L$87&lt;=IF($C88=1,$C$5-2,12)),Assumptions!$C$29*Assumptions!$D$32/2,0)+IF($C88=1,IF(L$87=$C$6,Assumptions!$C$29*$C$85,0),IF(L$87=12,Assumptions!$C$29*$E88/100,0))</f>
        <v>0</v>
      </c>
      <c r="M88" s="40" t="n">
        <f aca="false">IF(M$87=0,-Assumptions!$C$29*Assumptions!$E$32/100,0)+IF(AND(M$87&gt;=2,MOD(M$87,2)=0,M$87&lt;=IF($C88=1,$C$5-2,12)),Assumptions!$C$29*Assumptions!$D$32/2,0)+IF($C88=1,IF(M$87=$C$6,Assumptions!$C$29*$C$85,0),IF(M$87=12,Assumptions!$C$29*$E88/100,0))</f>
        <v>421.875</v>
      </c>
      <c r="N88" s="40" t="n">
        <f aca="false">IF(N$87=0,-Assumptions!$C$29*Assumptions!$E$32/100,0)+IF(AND(N$87&gt;=2,MOD(N$87,2)=0,N$87&lt;=IF($C88=1,$C$5-2,12)),Assumptions!$C$29*Assumptions!$D$32/2,0)+IF($C88=1,IF(N$87=$C$6,Assumptions!$C$29*$C$85,0),IF(N$87=12,Assumptions!$C$29*$E88/100,0))</f>
        <v>0</v>
      </c>
      <c r="O88" s="40" t="n">
        <f aca="false">IF(O$87=0,-Assumptions!$C$29*Assumptions!$E$32/100,0)+IF(AND(O$87&gt;=2,MOD(O$87,2)=0,O$87&lt;=IF($C88=1,$C$5-2,12)),Assumptions!$C$29*Assumptions!$D$32/2,0)+IF($C88=1,IF(O$87=$C$6,Assumptions!$C$29*$C$85,0),IF(O$87=12,Assumptions!$C$29*$E88/100,0))</f>
        <v>421.875</v>
      </c>
      <c r="P88" s="40" t="n">
        <f aca="false">IF(P$87=0,-Assumptions!$C$29*Assumptions!$E$32/100,0)+IF(AND(P$87&gt;=2,MOD(P$87,2)=0,P$87&lt;=IF($C88=1,$C$5-2,12)),Assumptions!$C$29*Assumptions!$D$32/2,0)+IF($C88=1,IF(P$87=$C$6,Assumptions!$C$29*$C$85,0),IF(P$87=12,Assumptions!$C$29*$E88/100,0))</f>
        <v>0</v>
      </c>
      <c r="Q88" s="40" t="n">
        <f aca="false">IF(Q$87=0,-Assumptions!$C$29*Assumptions!$E$32/100,0)+IF(AND(Q$87&gt;=2,MOD(Q$87,2)=0,Q$87&lt;=IF($C88=1,$C$5-2,12)),Assumptions!$C$29*Assumptions!$D$32/2,0)+IF($C88=1,IF(Q$87=$C$6,Assumptions!$C$29*$C$85,0),IF(Q$87=12,Assumptions!$C$29*$E88/100,0))</f>
        <v>421.875</v>
      </c>
      <c r="R88" s="40" t="n">
        <f aca="false">IF(R$87=0,-Assumptions!$C$29*Assumptions!$E$32/100,0)+IF(AND(R$87&gt;=2,MOD(R$87,2)=0,R$87&lt;=IF($C88=1,$C$5-2,12)),Assumptions!$C$29*Assumptions!$D$32/2,0)+IF($C88=1,IF(R$87=$C$6,Assumptions!$C$29*$C$85,0),IF(R$87=12,Assumptions!$C$29*$E88/100,0))</f>
        <v>0</v>
      </c>
      <c r="S88" s="40" t="n">
        <f aca="false">IF(S$87=0,-Assumptions!$C$29*Assumptions!$E$32/100,0)+IF(AND(S$87&gt;=2,MOD(S$87,2)=0,S$87&lt;=IF($C88=1,$C$5-2,12)),Assumptions!$C$29*Assumptions!$D$32/2,0)+IF($C88=1,IF(S$87=$C$6,Assumptions!$C$29*$C$85,0),IF(S$87=12,Assumptions!$C$29*$E88/100,0))</f>
        <v>421.875</v>
      </c>
      <c r="T88" s="40" t="n">
        <f aca="false">IF(T$87=0,-Assumptions!$C$29*Assumptions!$E$32/100,0)+IF(AND(T$87&gt;=2,MOD(T$87,2)=0,T$87&lt;=IF($C88=1,$C$5-2,12)),Assumptions!$C$29*Assumptions!$D$32/2,0)+IF($C88=1,IF(T$87=$C$6,Assumptions!$C$29*$C$85,0),IF(T$87=12,Assumptions!$C$29*$E88/100,0))</f>
        <v>0</v>
      </c>
      <c r="U88" s="40" t="n">
        <f aca="false">IF(U$87=0,-Assumptions!$C$29*Assumptions!$E$32/100,0)+IF(AND(U$87&gt;=2,MOD(U$87,2)=0,U$87&lt;=IF($C88=1,$C$5-2,12)),Assumptions!$C$29*Assumptions!$D$32/2,0)+IF($C88=1,IF(U$87=$C$6,Assumptions!$C$29*$C$85,0),IF(U$87=12,Assumptions!$C$29*$E88/100,0))</f>
        <v>12866.6750392272</v>
      </c>
      <c r="V88" s="40" t="n">
        <f aca="false">IF(V$87=0,-Assumptions!$C$29*Assumptions!$E$32/100,0)+IF(AND(V$87&gt;=2,MOD(V$87,2)=0,V$87&lt;=IF($C88=1,$C$5-2,12)),Assumptions!$C$29*Assumptions!$D$32/2,0)+IF($C88=1,IF(V$87=$C$6,Assumptions!$C$29*$C$85,0),IF(V$87=12,Assumptions!$C$29*$E88/100,0))</f>
        <v>0</v>
      </c>
      <c r="W88" s="40" t="n">
        <f aca="false">IF(W$87=0,-Assumptions!$C$29*Assumptions!$E$32/100,0)+IF(AND(W$87&gt;=2,MOD(W$87,2)=0,W$87&lt;=IF($C88=1,$C$5-2,12)),Assumptions!$C$29*Assumptions!$D$32/2,0)+IF($C88=1,IF(W$87=$C$6,Assumptions!$C$29*$C$85,0),IF(W$87=12,Assumptions!$C$29*$E88/100,0))</f>
        <v>0</v>
      </c>
      <c r="X88" s="40" t="n">
        <f aca="false">IF(X$87=0,-Assumptions!$C$29*Assumptions!$E$32/100,0)+IF(AND(X$87&gt;=2,MOD(X$87,2)=0,X$87&lt;=IF($C88=1,$C$5-2,12)),Assumptions!$C$29*Assumptions!$D$32/2,0)+IF($C88=1,IF(X$87=$C$6,Assumptions!$C$29*$C$85,0),IF(X$87=12,Assumptions!$C$29*$E88/100,0))</f>
        <v>0</v>
      </c>
      <c r="Y88" s="40" t="n">
        <f aca="false">IF(Y$87=0,-Assumptions!$C$29*Assumptions!$E$32/100,0)+IF(AND(Y$87&gt;=2,MOD(Y$87,2)=0,Y$87&lt;=IF($C88=1,$C$5-2,12)),Assumptions!$C$29*Assumptions!$D$32/2,0)+IF($C88=1,IF(Y$87=$C$6,Assumptions!$C$29*$C$85,0),IF(Y$87=12,Assumptions!$C$29*$E88/100,0))</f>
        <v>0</v>
      </c>
    </row>
    <row r="89" customFormat="false" ht="15" hidden="false" customHeight="false" outlineLevel="0" collapsed="false">
      <c r="B89" s="9" t="s">
        <v>48</v>
      </c>
      <c r="C89" s="28" t="n">
        <f aca="false">IF($C$10&lt;=$C$86,1,0)</f>
        <v>0</v>
      </c>
      <c r="D89" s="19" t="n">
        <f aca="false">Assumptions!$F$33</f>
        <v>12312.5</v>
      </c>
      <c r="E89" s="39" t="n">
        <f aca="false">PV($F89/2,(Assumptions!$C$30*4-12)/2,-Assumptions!$D$33*100/2,-100)</f>
        <v>99.3343027458663</v>
      </c>
      <c r="F89" s="17" t="n">
        <f aca="false">RATE(Assumptions!$C$30*2,Assumptions!$D$33*100/2,-Assumptions!$E$33,100)*2</f>
        <v>0.0736404123832243</v>
      </c>
      <c r="G89" s="26" t="n">
        <f aca="false">SUM(I89:Y89)</f>
        <v>2729.28784323328</v>
      </c>
      <c r="H89" s="17" t="n">
        <f aca="false">(1+IRR(I89:Y89,IF(SUM(I89:Y89)&lt;0,-0.05,0.01)))^4-1</f>
        <v>0.0749961399672177</v>
      </c>
      <c r="I89" s="40" t="n">
        <f aca="false">IF(I$87=0,-Assumptions!$C$29*Assumptions!$E$33/100,0)+IF(AND(I$87&gt;=2,MOD(I$87,2)=0,I$87&lt;=IF($C89=1,$C$5-2,12)),Assumptions!$C$29*Assumptions!$D$33/2,0)+IF($C89=1,IF(I$87=$C$6,Assumptions!$C$29*$C$85,0),IF(I$87=12,Assumptions!$C$29*$E89/100,0))</f>
        <v>-12312.5</v>
      </c>
      <c r="J89" s="40" t="n">
        <f aca="false">IF(J$87=0,-Assumptions!$C$29*Assumptions!$E$33/100,0)+IF(AND(J$87&gt;=2,MOD(J$87,2)=0,J$87&lt;=IF($C89=1,$C$5-2,12)),Assumptions!$C$29*Assumptions!$D$33/2,0)+IF($C89=1,IF(J$87=$C$6,Assumptions!$C$29*$C$85,0),IF(J$87=12,Assumptions!$C$29*$E89/100,0))</f>
        <v>0</v>
      </c>
      <c r="K89" s="40" t="n">
        <f aca="false">IF(K$87=0,-Assumptions!$C$29*Assumptions!$E$33/100,0)+IF(AND(K$87&gt;=2,MOD(K$87,2)=0,K$87&lt;=IF($C89=1,$C$5-2,12)),Assumptions!$C$29*Assumptions!$D$33/2,0)+IF($C89=1,IF(K$87=$C$6,Assumptions!$C$29*$C$85,0),IF(K$87=12,Assumptions!$C$29*$E89/100,0))</f>
        <v>437.5</v>
      </c>
      <c r="L89" s="40" t="n">
        <f aca="false">IF(L$87=0,-Assumptions!$C$29*Assumptions!$E$33/100,0)+IF(AND(L$87&gt;=2,MOD(L$87,2)=0,L$87&lt;=IF($C89=1,$C$5-2,12)),Assumptions!$C$29*Assumptions!$D$33/2,0)+IF($C89=1,IF(L$87=$C$6,Assumptions!$C$29*$C$85,0),IF(L$87=12,Assumptions!$C$29*$E89/100,0))</f>
        <v>0</v>
      </c>
      <c r="M89" s="40" t="n">
        <f aca="false">IF(M$87=0,-Assumptions!$C$29*Assumptions!$E$33/100,0)+IF(AND(M$87&gt;=2,MOD(M$87,2)=0,M$87&lt;=IF($C89=1,$C$5-2,12)),Assumptions!$C$29*Assumptions!$D$33/2,0)+IF($C89=1,IF(M$87=$C$6,Assumptions!$C$29*$C$85,0),IF(M$87=12,Assumptions!$C$29*$E89/100,0))</f>
        <v>437.5</v>
      </c>
      <c r="N89" s="40" t="n">
        <f aca="false">IF(N$87=0,-Assumptions!$C$29*Assumptions!$E$33/100,0)+IF(AND(N$87&gt;=2,MOD(N$87,2)=0,N$87&lt;=IF($C89=1,$C$5-2,12)),Assumptions!$C$29*Assumptions!$D$33/2,0)+IF($C89=1,IF(N$87=$C$6,Assumptions!$C$29*$C$85,0),IF(N$87=12,Assumptions!$C$29*$E89/100,0))</f>
        <v>0</v>
      </c>
      <c r="O89" s="40" t="n">
        <f aca="false">IF(O$87=0,-Assumptions!$C$29*Assumptions!$E$33/100,0)+IF(AND(O$87&gt;=2,MOD(O$87,2)=0,O$87&lt;=IF($C89=1,$C$5-2,12)),Assumptions!$C$29*Assumptions!$D$33/2,0)+IF($C89=1,IF(O$87=$C$6,Assumptions!$C$29*$C$85,0),IF(O$87=12,Assumptions!$C$29*$E89/100,0))</f>
        <v>437.5</v>
      </c>
      <c r="P89" s="40" t="n">
        <f aca="false">IF(P$87=0,-Assumptions!$C$29*Assumptions!$E$33/100,0)+IF(AND(P$87&gt;=2,MOD(P$87,2)=0,P$87&lt;=IF($C89=1,$C$5-2,12)),Assumptions!$C$29*Assumptions!$D$33/2,0)+IF($C89=1,IF(P$87=$C$6,Assumptions!$C$29*$C$85,0),IF(P$87=12,Assumptions!$C$29*$E89/100,0))</f>
        <v>0</v>
      </c>
      <c r="Q89" s="40" t="n">
        <f aca="false">IF(Q$87=0,-Assumptions!$C$29*Assumptions!$E$33/100,0)+IF(AND(Q$87&gt;=2,MOD(Q$87,2)=0,Q$87&lt;=IF($C89=1,$C$5-2,12)),Assumptions!$C$29*Assumptions!$D$33/2,0)+IF($C89=1,IF(Q$87=$C$6,Assumptions!$C$29*$C$85,0),IF(Q$87=12,Assumptions!$C$29*$E89/100,0))</f>
        <v>437.5</v>
      </c>
      <c r="R89" s="40" t="n">
        <f aca="false">IF(R$87=0,-Assumptions!$C$29*Assumptions!$E$33/100,0)+IF(AND(R$87&gt;=2,MOD(R$87,2)=0,R$87&lt;=IF($C89=1,$C$5-2,12)),Assumptions!$C$29*Assumptions!$D$33/2,0)+IF($C89=1,IF(R$87=$C$6,Assumptions!$C$29*$C$85,0),IF(R$87=12,Assumptions!$C$29*$E89/100,0))</f>
        <v>0</v>
      </c>
      <c r="S89" s="40" t="n">
        <f aca="false">IF(S$87=0,-Assumptions!$C$29*Assumptions!$E$33/100,0)+IF(AND(S$87&gt;=2,MOD(S$87,2)=0,S$87&lt;=IF($C89=1,$C$5-2,12)),Assumptions!$C$29*Assumptions!$D$33/2,0)+IF($C89=1,IF(S$87=$C$6,Assumptions!$C$29*$C$85,0),IF(S$87=12,Assumptions!$C$29*$E89/100,0))</f>
        <v>437.5</v>
      </c>
      <c r="T89" s="40" t="n">
        <f aca="false">IF(T$87=0,-Assumptions!$C$29*Assumptions!$E$33/100,0)+IF(AND(T$87&gt;=2,MOD(T$87,2)=0,T$87&lt;=IF($C89=1,$C$5-2,12)),Assumptions!$C$29*Assumptions!$D$33/2,0)+IF($C89=1,IF(T$87=$C$6,Assumptions!$C$29*$C$85,0),IF(T$87=12,Assumptions!$C$29*$E89/100,0))</f>
        <v>0</v>
      </c>
      <c r="U89" s="40" t="n">
        <f aca="false">IF(U$87=0,-Assumptions!$C$29*Assumptions!$E$33/100,0)+IF(AND(U$87&gt;=2,MOD(U$87,2)=0,U$87&lt;=IF($C89=1,$C$5-2,12)),Assumptions!$C$29*Assumptions!$D$33/2,0)+IF($C89=1,IF(U$87=$C$6,Assumptions!$C$29*$C$85,0),IF(U$87=12,Assumptions!$C$29*$E89/100,0))</f>
        <v>12854.2878432333</v>
      </c>
      <c r="V89" s="40" t="n">
        <f aca="false">IF(V$87=0,-Assumptions!$C$29*Assumptions!$E$33/100,0)+IF(AND(V$87&gt;=2,MOD(V$87,2)=0,V$87&lt;=IF($C89=1,$C$5-2,12)),Assumptions!$C$29*Assumptions!$D$33/2,0)+IF($C89=1,IF(V$87=$C$6,Assumptions!$C$29*$C$85,0),IF(V$87=12,Assumptions!$C$29*$E89/100,0))</f>
        <v>0</v>
      </c>
      <c r="W89" s="40" t="n">
        <f aca="false">IF(W$87=0,-Assumptions!$C$29*Assumptions!$E$33/100,0)+IF(AND(W$87&gt;=2,MOD(W$87,2)=0,W$87&lt;=IF($C89=1,$C$5-2,12)),Assumptions!$C$29*Assumptions!$D$33/2,0)+IF($C89=1,IF(W$87=$C$6,Assumptions!$C$29*$C$85,0),IF(W$87=12,Assumptions!$C$29*$E89/100,0))</f>
        <v>0</v>
      </c>
      <c r="X89" s="40" t="n">
        <f aca="false">IF(X$87=0,-Assumptions!$C$29*Assumptions!$E$33/100,0)+IF(AND(X$87&gt;=2,MOD(X$87,2)=0,X$87&lt;=IF($C89=1,$C$5-2,12)),Assumptions!$C$29*Assumptions!$D$33/2,0)+IF($C89=1,IF(X$87=$C$6,Assumptions!$C$29*$C$85,0),IF(X$87=12,Assumptions!$C$29*$E89/100,0))</f>
        <v>0</v>
      </c>
      <c r="Y89" s="40" t="n">
        <f aca="false">IF(Y$87=0,-Assumptions!$C$29*Assumptions!$E$33/100,0)+IF(AND(Y$87&gt;=2,MOD(Y$87,2)=0,Y$87&lt;=IF($C89=1,$C$5-2,12)),Assumptions!$C$29*Assumptions!$D$33/2,0)+IF($C89=1,IF(Y$87=$C$6,Assumptions!$C$29*$C$85,0),IF(Y$87=12,Assumptions!$C$29*$E89/100,0))</f>
        <v>0</v>
      </c>
    </row>
    <row r="90" customFormat="false" ht="15" hidden="false" customHeight="false" outlineLevel="0" collapsed="false">
      <c r="B90" s="9" t="s">
        <v>49</v>
      </c>
      <c r="C90" s="28" t="n">
        <f aca="false">IF($C$11&lt;=$C$86,1,0)</f>
        <v>0</v>
      </c>
      <c r="D90" s="19" t="n">
        <f aca="false">Assumptions!$F$34</f>
        <v>12250</v>
      </c>
      <c r="E90" s="39" t="n">
        <f aca="false">PV($F90/2,(Assumptions!$C$30*4-12)/2,-Assumptions!$D$34*100/2,-100)</f>
        <v>99.1079856396595</v>
      </c>
      <c r="F90" s="17" t="n">
        <f aca="false">RATE(Assumptions!$C$30*2,Assumptions!$D$34*100/2,-Assumptions!$E$34,100)*2</f>
        <v>0.0773997713205988</v>
      </c>
      <c r="G90" s="26" t="n">
        <f aca="false">SUM(I90:Y90)</f>
        <v>2857.24820495744</v>
      </c>
      <c r="H90" s="17" t="n">
        <f aca="false">(1+IRR(I90:Y90,IF(SUM(I90:Y90)&lt;0,-0.05,0.01)))^4-1</f>
        <v>0.0788974524707193</v>
      </c>
      <c r="I90" s="40" t="n">
        <f aca="false">IF(I$87=0,-Assumptions!$C$29*Assumptions!$E$34/100,0)+IF(AND(I$87&gt;=2,MOD(I$87,2)=0,I$87&lt;=IF($C90=1,$C$5-2,12)),Assumptions!$C$29*Assumptions!$D$34/2,0)+IF($C90=1,IF(I$87=$C$6,Assumptions!$C$29*$C$85,0),IF(I$87=12,Assumptions!$C$29*$E90/100,0))</f>
        <v>-12250</v>
      </c>
      <c r="J90" s="40" t="n">
        <f aca="false">IF(J$87=0,-Assumptions!$C$29*Assumptions!$E$34/100,0)+IF(AND(J$87&gt;=2,MOD(J$87,2)=0,J$87&lt;=IF($C90=1,$C$5-2,12)),Assumptions!$C$29*Assumptions!$D$34/2,0)+IF($C90=1,IF(J$87=$C$6,Assumptions!$C$29*$C$85,0),IF(J$87=12,Assumptions!$C$29*$E90/100,0))</f>
        <v>0</v>
      </c>
      <c r="K90" s="40" t="n">
        <f aca="false">IF(K$87=0,-Assumptions!$C$29*Assumptions!$E$34/100,0)+IF(AND(K$87&gt;=2,MOD(K$87,2)=0,K$87&lt;=IF($C90=1,$C$5-2,12)),Assumptions!$C$29*Assumptions!$D$34/2,0)+IF($C90=1,IF(K$87=$C$6,Assumptions!$C$29*$C$85,0),IF(K$87=12,Assumptions!$C$29*$E90/100,0))</f>
        <v>453.125</v>
      </c>
      <c r="L90" s="40" t="n">
        <f aca="false">IF(L$87=0,-Assumptions!$C$29*Assumptions!$E$34/100,0)+IF(AND(L$87&gt;=2,MOD(L$87,2)=0,L$87&lt;=IF($C90=1,$C$5-2,12)),Assumptions!$C$29*Assumptions!$D$34/2,0)+IF($C90=1,IF(L$87=$C$6,Assumptions!$C$29*$C$85,0),IF(L$87=12,Assumptions!$C$29*$E90/100,0))</f>
        <v>0</v>
      </c>
      <c r="M90" s="40" t="n">
        <f aca="false">IF(M$87=0,-Assumptions!$C$29*Assumptions!$E$34/100,0)+IF(AND(M$87&gt;=2,MOD(M$87,2)=0,M$87&lt;=IF($C90=1,$C$5-2,12)),Assumptions!$C$29*Assumptions!$D$34/2,0)+IF($C90=1,IF(M$87=$C$6,Assumptions!$C$29*$C$85,0),IF(M$87=12,Assumptions!$C$29*$E90/100,0))</f>
        <v>453.125</v>
      </c>
      <c r="N90" s="40" t="n">
        <f aca="false">IF(N$87=0,-Assumptions!$C$29*Assumptions!$E$34/100,0)+IF(AND(N$87&gt;=2,MOD(N$87,2)=0,N$87&lt;=IF($C90=1,$C$5-2,12)),Assumptions!$C$29*Assumptions!$D$34/2,0)+IF($C90=1,IF(N$87=$C$6,Assumptions!$C$29*$C$85,0),IF(N$87=12,Assumptions!$C$29*$E90/100,0))</f>
        <v>0</v>
      </c>
      <c r="O90" s="40" t="n">
        <f aca="false">IF(O$87=0,-Assumptions!$C$29*Assumptions!$E$34/100,0)+IF(AND(O$87&gt;=2,MOD(O$87,2)=0,O$87&lt;=IF($C90=1,$C$5-2,12)),Assumptions!$C$29*Assumptions!$D$34/2,0)+IF($C90=1,IF(O$87=$C$6,Assumptions!$C$29*$C$85,0),IF(O$87=12,Assumptions!$C$29*$E90/100,0))</f>
        <v>453.125</v>
      </c>
      <c r="P90" s="40" t="n">
        <f aca="false">IF(P$87=0,-Assumptions!$C$29*Assumptions!$E$34/100,0)+IF(AND(P$87&gt;=2,MOD(P$87,2)=0,P$87&lt;=IF($C90=1,$C$5-2,12)),Assumptions!$C$29*Assumptions!$D$34/2,0)+IF($C90=1,IF(P$87=$C$6,Assumptions!$C$29*$C$85,0),IF(P$87=12,Assumptions!$C$29*$E90/100,0))</f>
        <v>0</v>
      </c>
      <c r="Q90" s="40" t="n">
        <f aca="false">IF(Q$87=0,-Assumptions!$C$29*Assumptions!$E$34/100,0)+IF(AND(Q$87&gt;=2,MOD(Q$87,2)=0,Q$87&lt;=IF($C90=1,$C$5-2,12)),Assumptions!$C$29*Assumptions!$D$34/2,0)+IF($C90=1,IF(Q$87=$C$6,Assumptions!$C$29*$C$85,0),IF(Q$87=12,Assumptions!$C$29*$E90/100,0))</f>
        <v>453.125</v>
      </c>
      <c r="R90" s="40" t="n">
        <f aca="false">IF(R$87=0,-Assumptions!$C$29*Assumptions!$E$34/100,0)+IF(AND(R$87&gt;=2,MOD(R$87,2)=0,R$87&lt;=IF($C90=1,$C$5-2,12)),Assumptions!$C$29*Assumptions!$D$34/2,0)+IF($C90=1,IF(R$87=$C$6,Assumptions!$C$29*$C$85,0),IF(R$87=12,Assumptions!$C$29*$E90/100,0))</f>
        <v>0</v>
      </c>
      <c r="S90" s="40" t="n">
        <f aca="false">IF(S$87=0,-Assumptions!$C$29*Assumptions!$E$34/100,0)+IF(AND(S$87&gt;=2,MOD(S$87,2)=0,S$87&lt;=IF($C90=1,$C$5-2,12)),Assumptions!$C$29*Assumptions!$D$34/2,0)+IF($C90=1,IF(S$87=$C$6,Assumptions!$C$29*$C$85,0),IF(S$87=12,Assumptions!$C$29*$E90/100,0))</f>
        <v>453.125</v>
      </c>
      <c r="T90" s="40" t="n">
        <f aca="false">IF(T$87=0,-Assumptions!$C$29*Assumptions!$E$34/100,0)+IF(AND(T$87&gt;=2,MOD(T$87,2)=0,T$87&lt;=IF($C90=1,$C$5-2,12)),Assumptions!$C$29*Assumptions!$D$34/2,0)+IF($C90=1,IF(T$87=$C$6,Assumptions!$C$29*$C$85,0),IF(T$87=12,Assumptions!$C$29*$E90/100,0))</f>
        <v>0</v>
      </c>
      <c r="U90" s="40" t="n">
        <f aca="false">IF(U$87=0,-Assumptions!$C$29*Assumptions!$E$34/100,0)+IF(AND(U$87&gt;=2,MOD(U$87,2)=0,U$87&lt;=IF($C90=1,$C$5-2,12)),Assumptions!$C$29*Assumptions!$D$34/2,0)+IF($C90=1,IF(U$87=$C$6,Assumptions!$C$29*$C$85,0),IF(U$87=12,Assumptions!$C$29*$E90/100,0))</f>
        <v>12841.6232049574</v>
      </c>
      <c r="V90" s="40" t="n">
        <f aca="false">IF(V$87=0,-Assumptions!$C$29*Assumptions!$E$34/100,0)+IF(AND(V$87&gt;=2,MOD(V$87,2)=0,V$87&lt;=IF($C90=1,$C$5-2,12)),Assumptions!$C$29*Assumptions!$D$34/2,0)+IF($C90=1,IF(V$87=$C$6,Assumptions!$C$29*$C$85,0),IF(V$87=12,Assumptions!$C$29*$E90/100,0))</f>
        <v>0</v>
      </c>
      <c r="W90" s="40" t="n">
        <f aca="false">IF(W$87=0,-Assumptions!$C$29*Assumptions!$E$34/100,0)+IF(AND(W$87&gt;=2,MOD(W$87,2)=0,W$87&lt;=IF($C90=1,$C$5-2,12)),Assumptions!$C$29*Assumptions!$D$34/2,0)+IF($C90=1,IF(W$87=$C$6,Assumptions!$C$29*$C$85,0),IF(W$87=12,Assumptions!$C$29*$E90/100,0))</f>
        <v>0</v>
      </c>
      <c r="X90" s="40" t="n">
        <f aca="false">IF(X$87=0,-Assumptions!$C$29*Assumptions!$E$34/100,0)+IF(AND(X$87&gt;=2,MOD(X$87,2)=0,X$87&lt;=IF($C90=1,$C$5-2,12)),Assumptions!$C$29*Assumptions!$D$34/2,0)+IF($C90=1,IF(X$87=$C$6,Assumptions!$C$29*$C$85,0),IF(X$87=12,Assumptions!$C$29*$E90/100,0))</f>
        <v>0</v>
      </c>
      <c r="Y90" s="40" t="n">
        <f aca="false">IF(Y$87=0,-Assumptions!$C$29*Assumptions!$E$34/100,0)+IF(AND(Y$87&gt;=2,MOD(Y$87,2)=0,Y$87&lt;=IF($C90=1,$C$5-2,12)),Assumptions!$C$29*Assumptions!$D$34/2,0)+IF($C90=1,IF(Y$87=$C$6,Assumptions!$C$29*$C$85,0),IF(Y$87=12,Assumptions!$C$29*$E90/100,0))</f>
        <v>0</v>
      </c>
    </row>
    <row r="91" customFormat="false" ht="15" hidden="false" customHeight="false" outlineLevel="0" collapsed="false">
      <c r="B91" s="9" t="s">
        <v>50</v>
      </c>
      <c r="C91" s="28" t="n">
        <f aca="false">IF($C$12&lt;=$C$86,1,0)</f>
        <v>0</v>
      </c>
      <c r="D91" s="19" t="n">
        <f aca="false">Assumptions!$F$35</f>
        <v>12187.5</v>
      </c>
      <c r="E91" s="39" t="n">
        <f aca="false">PV($F91/2,(Assumptions!$C$30*4-12)/2,-Assumptions!$D$35*100/2,-100)</f>
        <v>98.8794329841845</v>
      </c>
      <c r="F91" s="17" t="n">
        <f aca="false">RATE(Assumptions!$C$30*2,Assumptions!$D$35*100/2,-Assumptions!$E$35,100)*2</f>
        <v>0.0811827080590467</v>
      </c>
      <c r="G91" s="26" t="n">
        <f aca="false">SUM(I91:Y91)</f>
        <v>2984.92912302306</v>
      </c>
      <c r="H91" s="17" t="n">
        <f aca="false">(1+IRR(I91:Y91,IF(SUM(I91:Y91)&lt;0,-0.05,0.01)))^4-1</f>
        <v>0.0828303660809961</v>
      </c>
      <c r="I91" s="40" t="n">
        <f aca="false">IF(I$87=0,-Assumptions!$C$29*Assumptions!$E$35/100,0)+IF(AND(I$87&gt;=2,MOD(I$87,2)=0,I$87&lt;=IF($C91=1,$C$5-2,12)),Assumptions!$C$29*Assumptions!$D$35/2,0)+IF($C91=1,IF(I$87=$C$6,Assumptions!$C$29*$C$85,0),IF(I$87=12,Assumptions!$C$29*$E91/100,0))</f>
        <v>-12187.5</v>
      </c>
      <c r="J91" s="40" t="n">
        <f aca="false">IF(J$87=0,-Assumptions!$C$29*Assumptions!$E$35/100,0)+IF(AND(J$87&gt;=2,MOD(J$87,2)=0,J$87&lt;=IF($C91=1,$C$5-2,12)),Assumptions!$C$29*Assumptions!$D$35/2,0)+IF($C91=1,IF(J$87=$C$6,Assumptions!$C$29*$C$85,0),IF(J$87=12,Assumptions!$C$29*$E91/100,0))</f>
        <v>0</v>
      </c>
      <c r="K91" s="40" t="n">
        <f aca="false">IF(K$87=0,-Assumptions!$C$29*Assumptions!$E$35/100,0)+IF(AND(K$87&gt;=2,MOD(K$87,2)=0,K$87&lt;=IF($C91=1,$C$5-2,12)),Assumptions!$C$29*Assumptions!$D$35/2,0)+IF($C91=1,IF(K$87=$C$6,Assumptions!$C$29*$C$85,0),IF(K$87=12,Assumptions!$C$29*$E91/100,0))</f>
        <v>468.75</v>
      </c>
      <c r="L91" s="40" t="n">
        <f aca="false">IF(L$87=0,-Assumptions!$C$29*Assumptions!$E$35/100,0)+IF(AND(L$87&gt;=2,MOD(L$87,2)=0,L$87&lt;=IF($C91=1,$C$5-2,12)),Assumptions!$C$29*Assumptions!$D$35/2,0)+IF($C91=1,IF(L$87=$C$6,Assumptions!$C$29*$C$85,0),IF(L$87=12,Assumptions!$C$29*$E91/100,0))</f>
        <v>0</v>
      </c>
      <c r="M91" s="40" t="n">
        <f aca="false">IF(M$87=0,-Assumptions!$C$29*Assumptions!$E$35/100,0)+IF(AND(M$87&gt;=2,MOD(M$87,2)=0,M$87&lt;=IF($C91=1,$C$5-2,12)),Assumptions!$C$29*Assumptions!$D$35/2,0)+IF($C91=1,IF(M$87=$C$6,Assumptions!$C$29*$C$85,0),IF(M$87=12,Assumptions!$C$29*$E91/100,0))</f>
        <v>468.75</v>
      </c>
      <c r="N91" s="40" t="n">
        <f aca="false">IF(N$87=0,-Assumptions!$C$29*Assumptions!$E$35/100,0)+IF(AND(N$87&gt;=2,MOD(N$87,2)=0,N$87&lt;=IF($C91=1,$C$5-2,12)),Assumptions!$C$29*Assumptions!$D$35/2,0)+IF($C91=1,IF(N$87=$C$6,Assumptions!$C$29*$C$85,0),IF(N$87=12,Assumptions!$C$29*$E91/100,0))</f>
        <v>0</v>
      </c>
      <c r="O91" s="40" t="n">
        <f aca="false">IF(O$87=0,-Assumptions!$C$29*Assumptions!$E$35/100,0)+IF(AND(O$87&gt;=2,MOD(O$87,2)=0,O$87&lt;=IF($C91=1,$C$5-2,12)),Assumptions!$C$29*Assumptions!$D$35/2,0)+IF($C91=1,IF(O$87=$C$6,Assumptions!$C$29*$C$85,0),IF(O$87=12,Assumptions!$C$29*$E91/100,0))</f>
        <v>468.75</v>
      </c>
      <c r="P91" s="40" t="n">
        <f aca="false">IF(P$87=0,-Assumptions!$C$29*Assumptions!$E$35/100,0)+IF(AND(P$87&gt;=2,MOD(P$87,2)=0,P$87&lt;=IF($C91=1,$C$5-2,12)),Assumptions!$C$29*Assumptions!$D$35/2,0)+IF($C91=1,IF(P$87=$C$6,Assumptions!$C$29*$C$85,0),IF(P$87=12,Assumptions!$C$29*$E91/100,0))</f>
        <v>0</v>
      </c>
      <c r="Q91" s="40" t="n">
        <f aca="false">IF(Q$87=0,-Assumptions!$C$29*Assumptions!$E$35/100,0)+IF(AND(Q$87&gt;=2,MOD(Q$87,2)=0,Q$87&lt;=IF($C91=1,$C$5-2,12)),Assumptions!$C$29*Assumptions!$D$35/2,0)+IF($C91=1,IF(Q$87=$C$6,Assumptions!$C$29*$C$85,0),IF(Q$87=12,Assumptions!$C$29*$E91/100,0))</f>
        <v>468.75</v>
      </c>
      <c r="R91" s="40" t="n">
        <f aca="false">IF(R$87=0,-Assumptions!$C$29*Assumptions!$E$35/100,0)+IF(AND(R$87&gt;=2,MOD(R$87,2)=0,R$87&lt;=IF($C91=1,$C$5-2,12)),Assumptions!$C$29*Assumptions!$D$35/2,0)+IF($C91=1,IF(R$87=$C$6,Assumptions!$C$29*$C$85,0),IF(R$87=12,Assumptions!$C$29*$E91/100,0))</f>
        <v>0</v>
      </c>
      <c r="S91" s="40" t="n">
        <f aca="false">IF(S$87=0,-Assumptions!$C$29*Assumptions!$E$35/100,0)+IF(AND(S$87&gt;=2,MOD(S$87,2)=0,S$87&lt;=IF($C91=1,$C$5-2,12)),Assumptions!$C$29*Assumptions!$D$35/2,0)+IF($C91=1,IF(S$87=$C$6,Assumptions!$C$29*$C$85,0),IF(S$87=12,Assumptions!$C$29*$E91/100,0))</f>
        <v>468.75</v>
      </c>
      <c r="T91" s="40" t="n">
        <f aca="false">IF(T$87=0,-Assumptions!$C$29*Assumptions!$E$35/100,0)+IF(AND(T$87&gt;=2,MOD(T$87,2)=0,T$87&lt;=IF($C91=1,$C$5-2,12)),Assumptions!$C$29*Assumptions!$D$35/2,0)+IF($C91=1,IF(T$87=$C$6,Assumptions!$C$29*$C$85,0),IF(T$87=12,Assumptions!$C$29*$E91/100,0))</f>
        <v>0</v>
      </c>
      <c r="U91" s="40" t="n">
        <f aca="false">IF(U$87=0,-Assumptions!$C$29*Assumptions!$E$35/100,0)+IF(AND(U$87&gt;=2,MOD(U$87,2)=0,U$87&lt;=IF($C91=1,$C$5-2,12)),Assumptions!$C$29*Assumptions!$D$35/2,0)+IF($C91=1,IF(U$87=$C$6,Assumptions!$C$29*$C$85,0),IF(U$87=12,Assumptions!$C$29*$E91/100,0))</f>
        <v>12828.6791230231</v>
      </c>
      <c r="V91" s="40" t="n">
        <f aca="false">IF(V$87=0,-Assumptions!$C$29*Assumptions!$E$35/100,0)+IF(AND(V$87&gt;=2,MOD(V$87,2)=0,V$87&lt;=IF($C91=1,$C$5-2,12)),Assumptions!$C$29*Assumptions!$D$35/2,0)+IF($C91=1,IF(V$87=$C$6,Assumptions!$C$29*$C$85,0),IF(V$87=12,Assumptions!$C$29*$E91/100,0))</f>
        <v>0</v>
      </c>
      <c r="W91" s="40" t="n">
        <f aca="false">IF(W$87=0,-Assumptions!$C$29*Assumptions!$E$35/100,0)+IF(AND(W$87&gt;=2,MOD(W$87,2)=0,W$87&lt;=IF($C91=1,$C$5-2,12)),Assumptions!$C$29*Assumptions!$D$35/2,0)+IF($C91=1,IF(W$87=$C$6,Assumptions!$C$29*$C$85,0),IF(W$87=12,Assumptions!$C$29*$E91/100,0))</f>
        <v>0</v>
      </c>
      <c r="X91" s="40" t="n">
        <f aca="false">IF(X$87=0,-Assumptions!$C$29*Assumptions!$E$35/100,0)+IF(AND(X$87&gt;=2,MOD(X$87,2)=0,X$87&lt;=IF($C91=1,$C$5-2,12)),Assumptions!$C$29*Assumptions!$D$35/2,0)+IF($C91=1,IF(X$87=$C$6,Assumptions!$C$29*$C$85,0),IF(X$87=12,Assumptions!$C$29*$E91/100,0))</f>
        <v>0</v>
      </c>
      <c r="Y91" s="40" t="n">
        <f aca="false">IF(Y$87=0,-Assumptions!$C$29*Assumptions!$E$35/100,0)+IF(AND(Y$87&gt;=2,MOD(Y$87,2)=0,Y$87&lt;=IF($C91=1,$C$5-2,12)),Assumptions!$C$29*Assumptions!$D$35/2,0)+IF($C91=1,IF(Y$87=$C$6,Assumptions!$C$29*$C$85,0),IF(Y$87=12,Assumptions!$C$29*$E91/100,0))</f>
        <v>0</v>
      </c>
    </row>
    <row r="92" customFormat="false" ht="15" hidden="false" customHeight="false" outlineLevel="0" collapsed="false">
      <c r="B92" s="9" t="s">
        <v>51</v>
      </c>
      <c r="C92" s="28" t="n">
        <f aca="false">IF($C$13&lt;=$C$86,1,0)</f>
        <v>0</v>
      </c>
      <c r="D92" s="19" t="n">
        <f aca="false">Assumptions!$F$36</f>
        <v>12125</v>
      </c>
      <c r="E92" s="39" t="n">
        <f aca="false">PV($F92/2,(Assumptions!$C$30*4-12)/2,-Assumptions!$D$36*100/2,-100)</f>
        <v>98.6441572961372</v>
      </c>
      <c r="F92" s="17" t="n">
        <f aca="false">RATE(Assumptions!$C$30*2,Assumptions!$D$36*100/2,-Assumptions!$E$36,100)*2</f>
        <v>0.0875368825411204</v>
      </c>
      <c r="G92" s="26" t="n">
        <f aca="false">SUM(I92:Y92)</f>
        <v>3205.51966201715</v>
      </c>
      <c r="H92" s="17" t="n">
        <f aca="false">(1+IRR(I92:Y92,IF(SUM(I92:Y92)&lt;0,-0.05,0.01)))^4-1</f>
        <v>0.0894525589923749</v>
      </c>
      <c r="I92" s="40" t="n">
        <f aca="false">IF(I$87=0,-Assumptions!$C$29*Assumptions!$E$36/100,0)+IF(AND(I$87&gt;=2,MOD(I$87,2)=0,I$87&lt;=IF($C92=1,$C$5-2,12)),Assumptions!$C$29*Assumptions!$D$36/2,0)+IF($C92=1,IF(I$87=$C$6,Assumptions!$C$29*$C$85,0),IF(I$87=12,Assumptions!$C$29*$E92/100,0))</f>
        <v>-12125</v>
      </c>
      <c r="J92" s="40" t="n">
        <f aca="false">IF(J$87=0,-Assumptions!$C$29*Assumptions!$E$36/100,0)+IF(AND(J$87&gt;=2,MOD(J$87,2)=0,J$87&lt;=IF($C92=1,$C$5-2,12)),Assumptions!$C$29*Assumptions!$D$36/2,0)+IF($C92=1,IF(J$87=$C$6,Assumptions!$C$29*$C$85,0),IF(J$87=12,Assumptions!$C$29*$E92/100,0))</f>
        <v>0</v>
      </c>
      <c r="K92" s="40" t="n">
        <f aca="false">IF(K$87=0,-Assumptions!$C$29*Assumptions!$E$36/100,0)+IF(AND(K$87&gt;=2,MOD(K$87,2)=0,K$87&lt;=IF($C92=1,$C$5-2,12)),Assumptions!$C$29*Assumptions!$D$36/2,0)+IF($C92=1,IF(K$87=$C$6,Assumptions!$C$29*$C$85,0),IF(K$87=12,Assumptions!$C$29*$E92/100,0))</f>
        <v>500</v>
      </c>
      <c r="L92" s="40" t="n">
        <f aca="false">IF(L$87=0,-Assumptions!$C$29*Assumptions!$E$36/100,0)+IF(AND(L$87&gt;=2,MOD(L$87,2)=0,L$87&lt;=IF($C92=1,$C$5-2,12)),Assumptions!$C$29*Assumptions!$D$36/2,0)+IF($C92=1,IF(L$87=$C$6,Assumptions!$C$29*$C$85,0),IF(L$87=12,Assumptions!$C$29*$E92/100,0))</f>
        <v>0</v>
      </c>
      <c r="M92" s="40" t="n">
        <f aca="false">IF(M$87=0,-Assumptions!$C$29*Assumptions!$E$36/100,0)+IF(AND(M$87&gt;=2,MOD(M$87,2)=0,M$87&lt;=IF($C92=1,$C$5-2,12)),Assumptions!$C$29*Assumptions!$D$36/2,0)+IF($C92=1,IF(M$87=$C$6,Assumptions!$C$29*$C$85,0),IF(M$87=12,Assumptions!$C$29*$E92/100,0))</f>
        <v>500</v>
      </c>
      <c r="N92" s="40" t="n">
        <f aca="false">IF(N$87=0,-Assumptions!$C$29*Assumptions!$E$36/100,0)+IF(AND(N$87&gt;=2,MOD(N$87,2)=0,N$87&lt;=IF($C92=1,$C$5-2,12)),Assumptions!$C$29*Assumptions!$D$36/2,0)+IF($C92=1,IF(N$87=$C$6,Assumptions!$C$29*$C$85,0),IF(N$87=12,Assumptions!$C$29*$E92/100,0))</f>
        <v>0</v>
      </c>
      <c r="O92" s="40" t="n">
        <f aca="false">IF(O$87=0,-Assumptions!$C$29*Assumptions!$E$36/100,0)+IF(AND(O$87&gt;=2,MOD(O$87,2)=0,O$87&lt;=IF($C92=1,$C$5-2,12)),Assumptions!$C$29*Assumptions!$D$36/2,0)+IF($C92=1,IF(O$87=$C$6,Assumptions!$C$29*$C$85,0),IF(O$87=12,Assumptions!$C$29*$E92/100,0))</f>
        <v>500</v>
      </c>
      <c r="P92" s="40" t="n">
        <f aca="false">IF(P$87=0,-Assumptions!$C$29*Assumptions!$E$36/100,0)+IF(AND(P$87&gt;=2,MOD(P$87,2)=0,P$87&lt;=IF($C92=1,$C$5-2,12)),Assumptions!$C$29*Assumptions!$D$36/2,0)+IF($C92=1,IF(P$87=$C$6,Assumptions!$C$29*$C$85,0),IF(P$87=12,Assumptions!$C$29*$E92/100,0))</f>
        <v>0</v>
      </c>
      <c r="Q92" s="40" t="n">
        <f aca="false">IF(Q$87=0,-Assumptions!$C$29*Assumptions!$E$36/100,0)+IF(AND(Q$87&gt;=2,MOD(Q$87,2)=0,Q$87&lt;=IF($C92=1,$C$5-2,12)),Assumptions!$C$29*Assumptions!$D$36/2,0)+IF($C92=1,IF(Q$87=$C$6,Assumptions!$C$29*$C$85,0),IF(Q$87=12,Assumptions!$C$29*$E92/100,0))</f>
        <v>500</v>
      </c>
      <c r="R92" s="40" t="n">
        <f aca="false">IF(R$87=0,-Assumptions!$C$29*Assumptions!$E$36/100,0)+IF(AND(R$87&gt;=2,MOD(R$87,2)=0,R$87&lt;=IF($C92=1,$C$5-2,12)),Assumptions!$C$29*Assumptions!$D$36/2,0)+IF($C92=1,IF(R$87=$C$6,Assumptions!$C$29*$C$85,0),IF(R$87=12,Assumptions!$C$29*$E92/100,0))</f>
        <v>0</v>
      </c>
      <c r="S92" s="40" t="n">
        <f aca="false">IF(S$87=0,-Assumptions!$C$29*Assumptions!$E$36/100,0)+IF(AND(S$87&gt;=2,MOD(S$87,2)=0,S$87&lt;=IF($C92=1,$C$5-2,12)),Assumptions!$C$29*Assumptions!$D$36/2,0)+IF($C92=1,IF(S$87=$C$6,Assumptions!$C$29*$C$85,0),IF(S$87=12,Assumptions!$C$29*$E92/100,0))</f>
        <v>500</v>
      </c>
      <c r="T92" s="40" t="n">
        <f aca="false">IF(T$87=0,-Assumptions!$C$29*Assumptions!$E$36/100,0)+IF(AND(T$87&gt;=2,MOD(T$87,2)=0,T$87&lt;=IF($C92=1,$C$5-2,12)),Assumptions!$C$29*Assumptions!$D$36/2,0)+IF($C92=1,IF(T$87=$C$6,Assumptions!$C$29*$C$85,0),IF(T$87=12,Assumptions!$C$29*$E92/100,0))</f>
        <v>0</v>
      </c>
      <c r="U92" s="40" t="n">
        <f aca="false">IF(U$87=0,-Assumptions!$C$29*Assumptions!$E$36/100,0)+IF(AND(U$87&gt;=2,MOD(U$87,2)=0,U$87&lt;=IF($C92=1,$C$5-2,12)),Assumptions!$C$29*Assumptions!$D$36/2,0)+IF($C92=1,IF(U$87=$C$6,Assumptions!$C$29*$C$85,0),IF(U$87=12,Assumptions!$C$29*$E92/100,0))</f>
        <v>12830.5196620172</v>
      </c>
      <c r="V92" s="40" t="n">
        <f aca="false">IF(V$87=0,-Assumptions!$C$29*Assumptions!$E$36/100,0)+IF(AND(V$87&gt;=2,MOD(V$87,2)=0,V$87&lt;=IF($C92=1,$C$5-2,12)),Assumptions!$C$29*Assumptions!$D$36/2,0)+IF($C92=1,IF(V$87=$C$6,Assumptions!$C$29*$C$85,0),IF(V$87=12,Assumptions!$C$29*$E92/100,0))</f>
        <v>0</v>
      </c>
      <c r="W92" s="40" t="n">
        <f aca="false">IF(W$87=0,-Assumptions!$C$29*Assumptions!$E$36/100,0)+IF(AND(W$87&gt;=2,MOD(W$87,2)=0,W$87&lt;=IF($C92=1,$C$5-2,12)),Assumptions!$C$29*Assumptions!$D$36/2,0)+IF($C92=1,IF(W$87=$C$6,Assumptions!$C$29*$C$85,0),IF(W$87=12,Assumptions!$C$29*$E92/100,0))</f>
        <v>0</v>
      </c>
      <c r="X92" s="40" t="n">
        <f aca="false">IF(X$87=0,-Assumptions!$C$29*Assumptions!$E$36/100,0)+IF(AND(X$87&gt;=2,MOD(X$87,2)=0,X$87&lt;=IF($C92=1,$C$5-2,12)),Assumptions!$C$29*Assumptions!$D$36/2,0)+IF($C92=1,IF(X$87=$C$6,Assumptions!$C$29*$C$85,0),IF(X$87=12,Assumptions!$C$29*$E92/100,0))</f>
        <v>0</v>
      </c>
      <c r="Y92" s="40" t="n">
        <f aca="false">IF(Y$87=0,-Assumptions!$C$29*Assumptions!$E$36/100,0)+IF(AND(Y$87&gt;=2,MOD(Y$87,2)=0,Y$87&lt;=IF($C92=1,$C$5-2,12)),Assumptions!$C$29*Assumptions!$D$36/2,0)+IF($C92=1,IF(Y$87=$C$6,Assumptions!$C$29*$C$85,0),IF(Y$87=12,Assumptions!$C$29*$E92/100,0))</f>
        <v>0</v>
      </c>
    </row>
    <row r="93" customFormat="false" ht="15" hidden="false" customHeight="false" outlineLevel="0" collapsed="false">
      <c r="B93" s="9" t="s">
        <v>52</v>
      </c>
      <c r="C93" s="28" t="n">
        <f aca="false">IF($C$14&lt;=$C$86,1,0)</f>
        <v>0</v>
      </c>
      <c r="D93" s="19" t="n">
        <f aca="false">Assumptions!$F$37</f>
        <v>11750</v>
      </c>
      <c r="E93" s="39" t="n">
        <f aca="false">PV($F93/2,(Assumptions!$C$30*4-12)/2,-Assumptions!$D$37*100/2,-100)</f>
        <v>97.2427387979842</v>
      </c>
      <c r="F93" s="17" t="n">
        <f aca="false">RATE(Assumptions!$C$30*2,Assumptions!$D$37*100/2,-Assumptions!$E$37,100)*2</f>
        <v>0.100561753609911</v>
      </c>
      <c r="G93" s="26" t="n">
        <f aca="false">SUM(I93:Y93)</f>
        <v>3592.84234974802</v>
      </c>
      <c r="H93" s="17" t="n">
        <f aca="false">(1+IRR(I93:Y93,IF(SUM(I93:Y93)&lt;0,-0.05,0.01)))^4-1</f>
        <v>0.103089920182186</v>
      </c>
      <c r="I93" s="40" t="n">
        <f aca="false">IF(I$87=0,-Assumptions!$C$29*Assumptions!$E$37/100,0)+IF(AND(I$87&gt;=2,MOD(I$87,2)=0,I$87&lt;=IF($C93=1,$C$5-2,12)),Assumptions!$C$29*Assumptions!$D$37/2,0)+IF($C93=1,IF(I$87=$C$6,Assumptions!$C$29*$C$85,0),IF(I$87=12,Assumptions!$C$29*$E93/100,0))</f>
        <v>-11750</v>
      </c>
      <c r="J93" s="40" t="n">
        <f aca="false">IF(J$87=0,-Assumptions!$C$29*Assumptions!$E$37/100,0)+IF(AND(J$87&gt;=2,MOD(J$87,2)=0,J$87&lt;=IF($C93=1,$C$5-2,12)),Assumptions!$C$29*Assumptions!$D$37/2,0)+IF($C93=1,IF(J$87=$C$6,Assumptions!$C$29*$C$85,0),IF(J$87=12,Assumptions!$C$29*$E93/100,0))</f>
        <v>0</v>
      </c>
      <c r="K93" s="40" t="n">
        <f aca="false">IF(K$87=0,-Assumptions!$C$29*Assumptions!$E$37/100,0)+IF(AND(K$87&gt;=2,MOD(K$87,2)=0,K$87&lt;=IF($C93=1,$C$5-2,12)),Assumptions!$C$29*Assumptions!$D$37/2,0)+IF($C93=1,IF(K$87=$C$6,Assumptions!$C$29*$C$85,0),IF(K$87=12,Assumptions!$C$29*$E93/100,0))</f>
        <v>531.25</v>
      </c>
      <c r="L93" s="40" t="n">
        <f aca="false">IF(L$87=0,-Assumptions!$C$29*Assumptions!$E$37/100,0)+IF(AND(L$87&gt;=2,MOD(L$87,2)=0,L$87&lt;=IF($C93=1,$C$5-2,12)),Assumptions!$C$29*Assumptions!$D$37/2,0)+IF($C93=1,IF(L$87=$C$6,Assumptions!$C$29*$C$85,0),IF(L$87=12,Assumptions!$C$29*$E93/100,0))</f>
        <v>0</v>
      </c>
      <c r="M93" s="40" t="n">
        <f aca="false">IF(M$87=0,-Assumptions!$C$29*Assumptions!$E$37/100,0)+IF(AND(M$87&gt;=2,MOD(M$87,2)=0,M$87&lt;=IF($C93=1,$C$5-2,12)),Assumptions!$C$29*Assumptions!$D$37/2,0)+IF($C93=1,IF(M$87=$C$6,Assumptions!$C$29*$C$85,0),IF(M$87=12,Assumptions!$C$29*$E93/100,0))</f>
        <v>531.25</v>
      </c>
      <c r="N93" s="40" t="n">
        <f aca="false">IF(N$87=0,-Assumptions!$C$29*Assumptions!$E$37/100,0)+IF(AND(N$87&gt;=2,MOD(N$87,2)=0,N$87&lt;=IF($C93=1,$C$5-2,12)),Assumptions!$C$29*Assumptions!$D$37/2,0)+IF($C93=1,IF(N$87=$C$6,Assumptions!$C$29*$C$85,0),IF(N$87=12,Assumptions!$C$29*$E93/100,0))</f>
        <v>0</v>
      </c>
      <c r="O93" s="40" t="n">
        <f aca="false">IF(O$87=0,-Assumptions!$C$29*Assumptions!$E$37/100,0)+IF(AND(O$87&gt;=2,MOD(O$87,2)=0,O$87&lt;=IF($C93=1,$C$5-2,12)),Assumptions!$C$29*Assumptions!$D$37/2,0)+IF($C93=1,IF(O$87=$C$6,Assumptions!$C$29*$C$85,0),IF(O$87=12,Assumptions!$C$29*$E93/100,0))</f>
        <v>531.25</v>
      </c>
      <c r="P93" s="40" t="n">
        <f aca="false">IF(P$87=0,-Assumptions!$C$29*Assumptions!$E$37/100,0)+IF(AND(P$87&gt;=2,MOD(P$87,2)=0,P$87&lt;=IF($C93=1,$C$5-2,12)),Assumptions!$C$29*Assumptions!$D$37/2,0)+IF($C93=1,IF(P$87=$C$6,Assumptions!$C$29*$C$85,0),IF(P$87=12,Assumptions!$C$29*$E93/100,0))</f>
        <v>0</v>
      </c>
      <c r="Q93" s="40" t="n">
        <f aca="false">IF(Q$87=0,-Assumptions!$C$29*Assumptions!$E$37/100,0)+IF(AND(Q$87&gt;=2,MOD(Q$87,2)=0,Q$87&lt;=IF($C93=1,$C$5-2,12)),Assumptions!$C$29*Assumptions!$D$37/2,0)+IF($C93=1,IF(Q$87=$C$6,Assumptions!$C$29*$C$85,0),IF(Q$87=12,Assumptions!$C$29*$E93/100,0))</f>
        <v>531.25</v>
      </c>
      <c r="R93" s="40" t="n">
        <f aca="false">IF(R$87=0,-Assumptions!$C$29*Assumptions!$E$37/100,0)+IF(AND(R$87&gt;=2,MOD(R$87,2)=0,R$87&lt;=IF($C93=1,$C$5-2,12)),Assumptions!$C$29*Assumptions!$D$37/2,0)+IF($C93=1,IF(R$87=$C$6,Assumptions!$C$29*$C$85,0),IF(R$87=12,Assumptions!$C$29*$E93/100,0))</f>
        <v>0</v>
      </c>
      <c r="S93" s="40" t="n">
        <f aca="false">IF(S$87=0,-Assumptions!$C$29*Assumptions!$E$37/100,0)+IF(AND(S$87&gt;=2,MOD(S$87,2)=0,S$87&lt;=IF($C93=1,$C$5-2,12)),Assumptions!$C$29*Assumptions!$D$37/2,0)+IF($C93=1,IF(S$87=$C$6,Assumptions!$C$29*$C$85,0),IF(S$87=12,Assumptions!$C$29*$E93/100,0))</f>
        <v>531.25</v>
      </c>
      <c r="T93" s="40" t="n">
        <f aca="false">IF(T$87=0,-Assumptions!$C$29*Assumptions!$E$37/100,0)+IF(AND(T$87&gt;=2,MOD(T$87,2)=0,T$87&lt;=IF($C93=1,$C$5-2,12)),Assumptions!$C$29*Assumptions!$D$37/2,0)+IF($C93=1,IF(T$87=$C$6,Assumptions!$C$29*$C$85,0),IF(T$87=12,Assumptions!$C$29*$E93/100,0))</f>
        <v>0</v>
      </c>
      <c r="U93" s="40" t="n">
        <f aca="false">IF(U$87=0,-Assumptions!$C$29*Assumptions!$E$37/100,0)+IF(AND(U$87&gt;=2,MOD(U$87,2)=0,U$87&lt;=IF($C93=1,$C$5-2,12)),Assumptions!$C$29*Assumptions!$D$37/2,0)+IF($C93=1,IF(U$87=$C$6,Assumptions!$C$29*$C$85,0),IF(U$87=12,Assumptions!$C$29*$E93/100,0))</f>
        <v>12686.592349748</v>
      </c>
      <c r="V93" s="40" t="n">
        <f aca="false">IF(V$87=0,-Assumptions!$C$29*Assumptions!$E$37/100,0)+IF(AND(V$87&gt;=2,MOD(V$87,2)=0,V$87&lt;=IF($C93=1,$C$5-2,12)),Assumptions!$C$29*Assumptions!$D$37/2,0)+IF($C93=1,IF(V$87=$C$6,Assumptions!$C$29*$C$85,0),IF(V$87=12,Assumptions!$C$29*$E93/100,0))</f>
        <v>0</v>
      </c>
      <c r="W93" s="40" t="n">
        <f aca="false">IF(W$87=0,-Assumptions!$C$29*Assumptions!$E$37/100,0)+IF(AND(W$87&gt;=2,MOD(W$87,2)=0,W$87&lt;=IF($C93=1,$C$5-2,12)),Assumptions!$C$29*Assumptions!$D$37/2,0)+IF($C93=1,IF(W$87=$C$6,Assumptions!$C$29*$C$85,0),IF(W$87=12,Assumptions!$C$29*$E93/100,0))</f>
        <v>0</v>
      </c>
      <c r="X93" s="40" t="n">
        <f aca="false">IF(X$87=0,-Assumptions!$C$29*Assumptions!$E$37/100,0)+IF(AND(X$87&gt;=2,MOD(X$87,2)=0,X$87&lt;=IF($C93=1,$C$5-2,12)),Assumptions!$C$29*Assumptions!$D$37/2,0)+IF($C93=1,IF(X$87=$C$6,Assumptions!$C$29*$C$85,0),IF(X$87=12,Assumptions!$C$29*$E93/100,0))</f>
        <v>0</v>
      </c>
      <c r="Y93" s="40" t="n">
        <f aca="false">IF(Y$87=0,-Assumptions!$C$29*Assumptions!$E$37/100,0)+IF(AND(Y$87&gt;=2,MOD(Y$87,2)=0,Y$87&lt;=IF($C93=1,$C$5-2,12)),Assumptions!$C$29*Assumptions!$D$37/2,0)+IF($C93=1,IF(Y$87=$C$6,Assumptions!$C$29*$C$85,0),IF(Y$87=12,Assumptions!$C$29*$E93/100,0))</f>
        <v>0</v>
      </c>
    </row>
    <row r="94" customFormat="false" ht="15" hidden="false" customHeight="false" outlineLevel="0" collapsed="false">
      <c r="B94" s="29" t="s">
        <v>154</v>
      </c>
      <c r="D94" s="41" t="n">
        <f aca="false">SUM(D88:D93)</f>
        <v>73000</v>
      </c>
      <c r="G94" s="41" t="n">
        <f aca="false">SUM(I94:Y94)</f>
        <v>17970.8772222062</v>
      </c>
      <c r="H94" s="30" t="n">
        <f aca="false">(1+IRR(I94:Y94,IF(SUM(I94:Y94)&lt;0,-0.05,0.01)))^4-1</f>
        <v>0.0832358496413976</v>
      </c>
      <c r="I94" s="42" t="n">
        <f aca="false">SUM(I88:I93)</f>
        <v>-73000</v>
      </c>
      <c r="J94" s="42" t="n">
        <f aca="false">SUM(J88:J93)</f>
        <v>0</v>
      </c>
      <c r="K94" s="42" t="n">
        <f aca="false">SUM(K88:K93)</f>
        <v>2812.5</v>
      </c>
      <c r="L94" s="42" t="n">
        <f aca="false">SUM(L88:L93)</f>
        <v>0</v>
      </c>
      <c r="M94" s="42" t="n">
        <f aca="false">SUM(M88:M93)</f>
        <v>2812.5</v>
      </c>
      <c r="N94" s="42" t="n">
        <f aca="false">SUM(N88:N93)</f>
        <v>0</v>
      </c>
      <c r="O94" s="42" t="n">
        <f aca="false">SUM(O88:O93)</f>
        <v>2812.5</v>
      </c>
      <c r="P94" s="42" t="n">
        <f aca="false">SUM(P88:P93)</f>
        <v>0</v>
      </c>
      <c r="Q94" s="42" t="n">
        <f aca="false">SUM(Q88:Q93)</f>
        <v>2812.5</v>
      </c>
      <c r="R94" s="42" t="n">
        <f aca="false">SUM(R88:R93)</f>
        <v>0</v>
      </c>
      <c r="S94" s="42" t="n">
        <f aca="false">SUM(S88:S93)</f>
        <v>2812.5</v>
      </c>
      <c r="T94" s="42" t="n">
        <f aca="false">SUM(T88:T93)</f>
        <v>0</v>
      </c>
      <c r="U94" s="42" t="n">
        <f aca="false">SUM(U88:U93)</f>
        <v>76908.3772222062</v>
      </c>
      <c r="V94" s="42" t="n">
        <f aca="false">SUM(V88:V93)</f>
        <v>0</v>
      </c>
      <c r="W94" s="42" t="n">
        <f aca="false">SUM(W88:W93)</f>
        <v>0</v>
      </c>
      <c r="X94" s="42" t="n">
        <f aca="false">SUM(X88:X93)</f>
        <v>0</v>
      </c>
      <c r="Y94" s="42" t="n">
        <f aca="false">SUM(Y88:Y93)</f>
        <v>0</v>
      </c>
    </row>
    <row r="96" customFormat="false" ht="15" hidden="false" customHeight="false" outlineLevel="0" collapsed="false">
      <c r="B96" s="7" t="s">
        <v>160</v>
      </c>
      <c r="C96" s="8"/>
      <c r="D96" s="8"/>
      <c r="E96" s="8"/>
      <c r="F96" s="8"/>
      <c r="G96" s="8"/>
      <c r="H96" s="8"/>
      <c r="I96" s="8"/>
      <c r="J96" s="8"/>
      <c r="K96" s="8"/>
      <c r="L96" s="8"/>
      <c r="M96" s="8"/>
      <c r="N96" s="8"/>
      <c r="O96" s="8"/>
      <c r="P96" s="8"/>
      <c r="Q96" s="8"/>
      <c r="R96" s="8"/>
      <c r="S96" s="8"/>
      <c r="T96" s="8"/>
      <c r="U96" s="8"/>
      <c r="V96" s="8"/>
      <c r="W96" s="8"/>
      <c r="X96" s="8"/>
      <c r="Y96" s="8"/>
    </row>
    <row r="97" customFormat="false" ht="15" hidden="false" customHeight="false" outlineLevel="0" collapsed="false">
      <c r="B97" s="9" t="s">
        <v>117</v>
      </c>
      <c r="C97" s="22" t="n">
        <f aca="false">$B$19</f>
        <v>0.4</v>
      </c>
    </row>
    <row r="98" customFormat="false" ht="15" hidden="false" customHeight="false" outlineLevel="0" collapsed="false">
      <c r="B98" s="9" t="s">
        <v>148</v>
      </c>
      <c r="C98" s="28" t="n">
        <f aca="false">D$17</f>
        <v>1</v>
      </c>
    </row>
    <row r="99" customFormat="false" ht="30" hidden="false" customHeight="true" outlineLevel="0" collapsed="false">
      <c r="B99" s="13" t="s">
        <v>32</v>
      </c>
      <c r="C99" s="14" t="s">
        <v>149</v>
      </c>
      <c r="D99" s="14" t="s">
        <v>46</v>
      </c>
      <c r="E99" s="14" t="s">
        <v>150</v>
      </c>
      <c r="F99" s="14" t="s">
        <v>151</v>
      </c>
      <c r="G99" s="14" t="s">
        <v>152</v>
      </c>
      <c r="H99" s="14" t="s">
        <v>153</v>
      </c>
      <c r="I99" s="38" t="n">
        <v>0</v>
      </c>
      <c r="J99" s="38" t="n">
        <v>1</v>
      </c>
      <c r="K99" s="38" t="n">
        <v>2</v>
      </c>
      <c r="L99" s="38" t="n">
        <v>3</v>
      </c>
      <c r="M99" s="38" t="n">
        <v>4</v>
      </c>
      <c r="N99" s="38" t="n">
        <v>5</v>
      </c>
      <c r="O99" s="38" t="n">
        <v>6</v>
      </c>
      <c r="P99" s="38" t="n">
        <v>7</v>
      </c>
      <c r="Q99" s="38" t="n">
        <v>8</v>
      </c>
      <c r="R99" s="38" t="n">
        <v>9</v>
      </c>
      <c r="S99" s="38" t="n">
        <v>10</v>
      </c>
      <c r="T99" s="38" t="n">
        <v>11</v>
      </c>
      <c r="U99" s="38" t="n">
        <v>12</v>
      </c>
      <c r="V99" s="38" t="n">
        <v>13</v>
      </c>
      <c r="W99" s="38" t="n">
        <v>14</v>
      </c>
      <c r="X99" s="38" t="n">
        <v>15</v>
      </c>
      <c r="Y99" s="38" t="n">
        <v>16</v>
      </c>
    </row>
    <row r="100" customFormat="false" ht="15" hidden="false" customHeight="false" outlineLevel="0" collapsed="false">
      <c r="B100" s="9" t="s">
        <v>47</v>
      </c>
      <c r="C100" s="28" t="n">
        <f aca="false">IF($C$9&lt;=$C$98,1,0)</f>
        <v>0</v>
      </c>
      <c r="D100" s="19" t="n">
        <f aca="false">Assumptions!$F$32</f>
        <v>12375</v>
      </c>
      <c r="E100" s="39" t="n">
        <f aca="false">PV($F100/2,(Assumptions!$C$30*4-12)/2,-Assumptions!$D$32*100/2,-100)</f>
        <v>99.5584003138178</v>
      </c>
      <c r="F100" s="17" t="n">
        <f aca="false">RATE(Assumptions!$C$30*2,Assumptions!$D$32*100/2,-Assumptions!$E$32,100)*2</f>
        <v>0.0699042470751673</v>
      </c>
      <c r="G100" s="26" t="n">
        <f aca="false">SUM(I100:Y100)</f>
        <v>2601.05003922723</v>
      </c>
      <c r="H100" s="17" t="n">
        <f aca="false">(1+IRR(I100:Y100,IF(SUM(I100:Y100)&lt;0,-0.05,0.01)))^4-1</f>
        <v>0.0711258980149541</v>
      </c>
      <c r="I100" s="40" t="n">
        <f aca="false">IF(I$99=0,-Assumptions!$C$29*Assumptions!$E$32/100,0)+IF(AND(I$99&gt;=2,MOD(I$99,2)=0,I$99&lt;=IF($C100=1,$C$5-2,12)),Assumptions!$C$29*Assumptions!$D$32/2,0)+IF($C100=1,IF(I$99=$C$6,Assumptions!$C$29*$C$97,0),IF(I$99=12,Assumptions!$C$29*$E100/100,0))</f>
        <v>-12375</v>
      </c>
      <c r="J100" s="40" t="n">
        <f aca="false">IF(J$99=0,-Assumptions!$C$29*Assumptions!$E$32/100,0)+IF(AND(J$99&gt;=2,MOD(J$99,2)=0,J$99&lt;=IF($C100=1,$C$5-2,12)),Assumptions!$C$29*Assumptions!$D$32/2,0)+IF($C100=1,IF(J$99=$C$6,Assumptions!$C$29*$C$97,0),IF(J$99=12,Assumptions!$C$29*$E100/100,0))</f>
        <v>0</v>
      </c>
      <c r="K100" s="40" t="n">
        <f aca="false">IF(K$99=0,-Assumptions!$C$29*Assumptions!$E$32/100,0)+IF(AND(K$99&gt;=2,MOD(K$99,2)=0,K$99&lt;=IF($C100=1,$C$5-2,12)),Assumptions!$C$29*Assumptions!$D$32/2,0)+IF($C100=1,IF(K$99=$C$6,Assumptions!$C$29*$C$97,0),IF(K$99=12,Assumptions!$C$29*$E100/100,0))</f>
        <v>421.875</v>
      </c>
      <c r="L100" s="40" t="n">
        <f aca="false">IF(L$99=0,-Assumptions!$C$29*Assumptions!$E$32/100,0)+IF(AND(L$99&gt;=2,MOD(L$99,2)=0,L$99&lt;=IF($C100=1,$C$5-2,12)),Assumptions!$C$29*Assumptions!$D$32/2,0)+IF($C100=1,IF(L$99=$C$6,Assumptions!$C$29*$C$97,0),IF(L$99=12,Assumptions!$C$29*$E100/100,0))</f>
        <v>0</v>
      </c>
      <c r="M100" s="40" t="n">
        <f aca="false">IF(M$99=0,-Assumptions!$C$29*Assumptions!$E$32/100,0)+IF(AND(M$99&gt;=2,MOD(M$99,2)=0,M$99&lt;=IF($C100=1,$C$5-2,12)),Assumptions!$C$29*Assumptions!$D$32/2,0)+IF($C100=1,IF(M$99=$C$6,Assumptions!$C$29*$C$97,0),IF(M$99=12,Assumptions!$C$29*$E100/100,0))</f>
        <v>421.875</v>
      </c>
      <c r="N100" s="40" t="n">
        <f aca="false">IF(N$99=0,-Assumptions!$C$29*Assumptions!$E$32/100,0)+IF(AND(N$99&gt;=2,MOD(N$99,2)=0,N$99&lt;=IF($C100=1,$C$5-2,12)),Assumptions!$C$29*Assumptions!$D$32/2,0)+IF($C100=1,IF(N$99=$C$6,Assumptions!$C$29*$C$97,0),IF(N$99=12,Assumptions!$C$29*$E100/100,0))</f>
        <v>0</v>
      </c>
      <c r="O100" s="40" t="n">
        <f aca="false">IF(O$99=0,-Assumptions!$C$29*Assumptions!$E$32/100,0)+IF(AND(O$99&gt;=2,MOD(O$99,2)=0,O$99&lt;=IF($C100=1,$C$5-2,12)),Assumptions!$C$29*Assumptions!$D$32/2,0)+IF($C100=1,IF(O$99=$C$6,Assumptions!$C$29*$C$97,0),IF(O$99=12,Assumptions!$C$29*$E100/100,0))</f>
        <v>421.875</v>
      </c>
      <c r="P100" s="40" t="n">
        <f aca="false">IF(P$99=0,-Assumptions!$C$29*Assumptions!$E$32/100,0)+IF(AND(P$99&gt;=2,MOD(P$99,2)=0,P$99&lt;=IF($C100=1,$C$5-2,12)),Assumptions!$C$29*Assumptions!$D$32/2,0)+IF($C100=1,IF(P$99=$C$6,Assumptions!$C$29*$C$97,0),IF(P$99=12,Assumptions!$C$29*$E100/100,0))</f>
        <v>0</v>
      </c>
      <c r="Q100" s="40" t="n">
        <f aca="false">IF(Q$99=0,-Assumptions!$C$29*Assumptions!$E$32/100,0)+IF(AND(Q$99&gt;=2,MOD(Q$99,2)=0,Q$99&lt;=IF($C100=1,$C$5-2,12)),Assumptions!$C$29*Assumptions!$D$32/2,0)+IF($C100=1,IF(Q$99=$C$6,Assumptions!$C$29*$C$97,0),IF(Q$99=12,Assumptions!$C$29*$E100/100,0))</f>
        <v>421.875</v>
      </c>
      <c r="R100" s="40" t="n">
        <f aca="false">IF(R$99=0,-Assumptions!$C$29*Assumptions!$E$32/100,0)+IF(AND(R$99&gt;=2,MOD(R$99,2)=0,R$99&lt;=IF($C100=1,$C$5-2,12)),Assumptions!$C$29*Assumptions!$D$32/2,0)+IF($C100=1,IF(R$99=$C$6,Assumptions!$C$29*$C$97,0),IF(R$99=12,Assumptions!$C$29*$E100/100,0))</f>
        <v>0</v>
      </c>
      <c r="S100" s="40" t="n">
        <f aca="false">IF(S$99=0,-Assumptions!$C$29*Assumptions!$E$32/100,0)+IF(AND(S$99&gt;=2,MOD(S$99,2)=0,S$99&lt;=IF($C100=1,$C$5-2,12)),Assumptions!$C$29*Assumptions!$D$32/2,0)+IF($C100=1,IF(S$99=$C$6,Assumptions!$C$29*$C$97,0),IF(S$99=12,Assumptions!$C$29*$E100/100,0))</f>
        <v>421.875</v>
      </c>
      <c r="T100" s="40" t="n">
        <f aca="false">IF(T$99=0,-Assumptions!$C$29*Assumptions!$E$32/100,0)+IF(AND(T$99&gt;=2,MOD(T$99,2)=0,T$99&lt;=IF($C100=1,$C$5-2,12)),Assumptions!$C$29*Assumptions!$D$32/2,0)+IF($C100=1,IF(T$99=$C$6,Assumptions!$C$29*$C$97,0),IF(T$99=12,Assumptions!$C$29*$E100/100,0))</f>
        <v>0</v>
      </c>
      <c r="U100" s="40" t="n">
        <f aca="false">IF(U$99=0,-Assumptions!$C$29*Assumptions!$E$32/100,0)+IF(AND(U$99&gt;=2,MOD(U$99,2)=0,U$99&lt;=IF($C100=1,$C$5-2,12)),Assumptions!$C$29*Assumptions!$D$32/2,0)+IF($C100=1,IF(U$99=$C$6,Assumptions!$C$29*$C$97,0),IF(U$99=12,Assumptions!$C$29*$E100/100,0))</f>
        <v>12866.6750392272</v>
      </c>
      <c r="V100" s="40" t="n">
        <f aca="false">IF(V$99=0,-Assumptions!$C$29*Assumptions!$E$32/100,0)+IF(AND(V$99&gt;=2,MOD(V$99,2)=0,V$99&lt;=IF($C100=1,$C$5-2,12)),Assumptions!$C$29*Assumptions!$D$32/2,0)+IF($C100=1,IF(V$99=$C$6,Assumptions!$C$29*$C$97,0),IF(V$99=12,Assumptions!$C$29*$E100/100,0))</f>
        <v>0</v>
      </c>
      <c r="W100" s="40" t="n">
        <f aca="false">IF(W$99=0,-Assumptions!$C$29*Assumptions!$E$32/100,0)+IF(AND(W$99&gt;=2,MOD(W$99,2)=0,W$99&lt;=IF($C100=1,$C$5-2,12)),Assumptions!$C$29*Assumptions!$D$32/2,0)+IF($C100=1,IF(W$99=$C$6,Assumptions!$C$29*$C$97,0),IF(W$99=12,Assumptions!$C$29*$E100/100,0))</f>
        <v>0</v>
      </c>
      <c r="X100" s="40" t="n">
        <f aca="false">IF(X$99=0,-Assumptions!$C$29*Assumptions!$E$32/100,0)+IF(AND(X$99&gt;=2,MOD(X$99,2)=0,X$99&lt;=IF($C100=1,$C$5-2,12)),Assumptions!$C$29*Assumptions!$D$32/2,0)+IF($C100=1,IF(X$99=$C$6,Assumptions!$C$29*$C$97,0),IF(X$99=12,Assumptions!$C$29*$E100/100,0))</f>
        <v>0</v>
      </c>
      <c r="Y100" s="40" t="n">
        <f aca="false">IF(Y$99=0,-Assumptions!$C$29*Assumptions!$E$32/100,0)+IF(AND(Y$99&gt;=2,MOD(Y$99,2)=0,Y$99&lt;=IF($C100=1,$C$5-2,12)),Assumptions!$C$29*Assumptions!$D$32/2,0)+IF($C100=1,IF(Y$99=$C$6,Assumptions!$C$29*$C$97,0),IF(Y$99=12,Assumptions!$C$29*$E100/100,0))</f>
        <v>0</v>
      </c>
    </row>
    <row r="101" customFormat="false" ht="15" hidden="false" customHeight="false" outlineLevel="0" collapsed="false">
      <c r="B101" s="9" t="s">
        <v>48</v>
      </c>
      <c r="C101" s="28" t="n">
        <f aca="false">IF($C$10&lt;=$C$98,1,0)</f>
        <v>0</v>
      </c>
      <c r="D101" s="19" t="n">
        <f aca="false">Assumptions!$F$33</f>
        <v>12312.5</v>
      </c>
      <c r="E101" s="39" t="n">
        <f aca="false">PV($F101/2,(Assumptions!$C$30*4-12)/2,-Assumptions!$D$33*100/2,-100)</f>
        <v>99.3343027458663</v>
      </c>
      <c r="F101" s="17" t="n">
        <f aca="false">RATE(Assumptions!$C$30*2,Assumptions!$D$33*100/2,-Assumptions!$E$33,100)*2</f>
        <v>0.0736404123832243</v>
      </c>
      <c r="G101" s="26" t="n">
        <f aca="false">SUM(I101:Y101)</f>
        <v>2729.28784323328</v>
      </c>
      <c r="H101" s="17" t="n">
        <f aca="false">(1+IRR(I101:Y101,IF(SUM(I101:Y101)&lt;0,-0.05,0.01)))^4-1</f>
        <v>0.0749961399672177</v>
      </c>
      <c r="I101" s="40" t="n">
        <f aca="false">IF(I$99=0,-Assumptions!$C$29*Assumptions!$E$33/100,0)+IF(AND(I$99&gt;=2,MOD(I$99,2)=0,I$99&lt;=IF($C101=1,$C$5-2,12)),Assumptions!$C$29*Assumptions!$D$33/2,0)+IF($C101=1,IF(I$99=$C$6,Assumptions!$C$29*$C$97,0),IF(I$99=12,Assumptions!$C$29*$E101/100,0))</f>
        <v>-12312.5</v>
      </c>
      <c r="J101" s="40" t="n">
        <f aca="false">IF(J$99=0,-Assumptions!$C$29*Assumptions!$E$33/100,0)+IF(AND(J$99&gt;=2,MOD(J$99,2)=0,J$99&lt;=IF($C101=1,$C$5-2,12)),Assumptions!$C$29*Assumptions!$D$33/2,0)+IF($C101=1,IF(J$99=$C$6,Assumptions!$C$29*$C$97,0),IF(J$99=12,Assumptions!$C$29*$E101/100,0))</f>
        <v>0</v>
      </c>
      <c r="K101" s="40" t="n">
        <f aca="false">IF(K$99=0,-Assumptions!$C$29*Assumptions!$E$33/100,0)+IF(AND(K$99&gt;=2,MOD(K$99,2)=0,K$99&lt;=IF($C101=1,$C$5-2,12)),Assumptions!$C$29*Assumptions!$D$33/2,0)+IF($C101=1,IF(K$99=$C$6,Assumptions!$C$29*$C$97,0),IF(K$99=12,Assumptions!$C$29*$E101/100,0))</f>
        <v>437.5</v>
      </c>
      <c r="L101" s="40" t="n">
        <f aca="false">IF(L$99=0,-Assumptions!$C$29*Assumptions!$E$33/100,0)+IF(AND(L$99&gt;=2,MOD(L$99,2)=0,L$99&lt;=IF($C101=1,$C$5-2,12)),Assumptions!$C$29*Assumptions!$D$33/2,0)+IF($C101=1,IF(L$99=$C$6,Assumptions!$C$29*$C$97,0),IF(L$99=12,Assumptions!$C$29*$E101/100,0))</f>
        <v>0</v>
      </c>
      <c r="M101" s="40" t="n">
        <f aca="false">IF(M$99=0,-Assumptions!$C$29*Assumptions!$E$33/100,0)+IF(AND(M$99&gt;=2,MOD(M$99,2)=0,M$99&lt;=IF($C101=1,$C$5-2,12)),Assumptions!$C$29*Assumptions!$D$33/2,0)+IF($C101=1,IF(M$99=$C$6,Assumptions!$C$29*$C$97,0),IF(M$99=12,Assumptions!$C$29*$E101/100,0))</f>
        <v>437.5</v>
      </c>
      <c r="N101" s="40" t="n">
        <f aca="false">IF(N$99=0,-Assumptions!$C$29*Assumptions!$E$33/100,0)+IF(AND(N$99&gt;=2,MOD(N$99,2)=0,N$99&lt;=IF($C101=1,$C$5-2,12)),Assumptions!$C$29*Assumptions!$D$33/2,0)+IF($C101=1,IF(N$99=$C$6,Assumptions!$C$29*$C$97,0),IF(N$99=12,Assumptions!$C$29*$E101/100,0))</f>
        <v>0</v>
      </c>
      <c r="O101" s="40" t="n">
        <f aca="false">IF(O$99=0,-Assumptions!$C$29*Assumptions!$E$33/100,0)+IF(AND(O$99&gt;=2,MOD(O$99,2)=0,O$99&lt;=IF($C101=1,$C$5-2,12)),Assumptions!$C$29*Assumptions!$D$33/2,0)+IF($C101=1,IF(O$99=$C$6,Assumptions!$C$29*$C$97,0),IF(O$99=12,Assumptions!$C$29*$E101/100,0))</f>
        <v>437.5</v>
      </c>
      <c r="P101" s="40" t="n">
        <f aca="false">IF(P$99=0,-Assumptions!$C$29*Assumptions!$E$33/100,0)+IF(AND(P$99&gt;=2,MOD(P$99,2)=0,P$99&lt;=IF($C101=1,$C$5-2,12)),Assumptions!$C$29*Assumptions!$D$33/2,0)+IF($C101=1,IF(P$99=$C$6,Assumptions!$C$29*$C$97,0),IF(P$99=12,Assumptions!$C$29*$E101/100,0))</f>
        <v>0</v>
      </c>
      <c r="Q101" s="40" t="n">
        <f aca="false">IF(Q$99=0,-Assumptions!$C$29*Assumptions!$E$33/100,0)+IF(AND(Q$99&gt;=2,MOD(Q$99,2)=0,Q$99&lt;=IF($C101=1,$C$5-2,12)),Assumptions!$C$29*Assumptions!$D$33/2,0)+IF($C101=1,IF(Q$99=$C$6,Assumptions!$C$29*$C$97,0),IF(Q$99=12,Assumptions!$C$29*$E101/100,0))</f>
        <v>437.5</v>
      </c>
      <c r="R101" s="40" t="n">
        <f aca="false">IF(R$99=0,-Assumptions!$C$29*Assumptions!$E$33/100,0)+IF(AND(R$99&gt;=2,MOD(R$99,2)=0,R$99&lt;=IF($C101=1,$C$5-2,12)),Assumptions!$C$29*Assumptions!$D$33/2,0)+IF($C101=1,IF(R$99=$C$6,Assumptions!$C$29*$C$97,0),IF(R$99=12,Assumptions!$C$29*$E101/100,0))</f>
        <v>0</v>
      </c>
      <c r="S101" s="40" t="n">
        <f aca="false">IF(S$99=0,-Assumptions!$C$29*Assumptions!$E$33/100,0)+IF(AND(S$99&gt;=2,MOD(S$99,2)=0,S$99&lt;=IF($C101=1,$C$5-2,12)),Assumptions!$C$29*Assumptions!$D$33/2,0)+IF($C101=1,IF(S$99=$C$6,Assumptions!$C$29*$C$97,0),IF(S$99=12,Assumptions!$C$29*$E101/100,0))</f>
        <v>437.5</v>
      </c>
      <c r="T101" s="40" t="n">
        <f aca="false">IF(T$99=0,-Assumptions!$C$29*Assumptions!$E$33/100,0)+IF(AND(T$99&gt;=2,MOD(T$99,2)=0,T$99&lt;=IF($C101=1,$C$5-2,12)),Assumptions!$C$29*Assumptions!$D$33/2,0)+IF($C101=1,IF(T$99=$C$6,Assumptions!$C$29*$C$97,0),IF(T$99=12,Assumptions!$C$29*$E101/100,0))</f>
        <v>0</v>
      </c>
      <c r="U101" s="40" t="n">
        <f aca="false">IF(U$99=0,-Assumptions!$C$29*Assumptions!$E$33/100,0)+IF(AND(U$99&gt;=2,MOD(U$99,2)=0,U$99&lt;=IF($C101=1,$C$5-2,12)),Assumptions!$C$29*Assumptions!$D$33/2,0)+IF($C101=1,IF(U$99=$C$6,Assumptions!$C$29*$C$97,0),IF(U$99=12,Assumptions!$C$29*$E101/100,0))</f>
        <v>12854.2878432333</v>
      </c>
      <c r="V101" s="40" t="n">
        <f aca="false">IF(V$99=0,-Assumptions!$C$29*Assumptions!$E$33/100,0)+IF(AND(V$99&gt;=2,MOD(V$99,2)=0,V$99&lt;=IF($C101=1,$C$5-2,12)),Assumptions!$C$29*Assumptions!$D$33/2,0)+IF($C101=1,IF(V$99=$C$6,Assumptions!$C$29*$C$97,0),IF(V$99=12,Assumptions!$C$29*$E101/100,0))</f>
        <v>0</v>
      </c>
      <c r="W101" s="40" t="n">
        <f aca="false">IF(W$99=0,-Assumptions!$C$29*Assumptions!$E$33/100,0)+IF(AND(W$99&gt;=2,MOD(W$99,2)=0,W$99&lt;=IF($C101=1,$C$5-2,12)),Assumptions!$C$29*Assumptions!$D$33/2,0)+IF($C101=1,IF(W$99=$C$6,Assumptions!$C$29*$C$97,0),IF(W$99=12,Assumptions!$C$29*$E101/100,0))</f>
        <v>0</v>
      </c>
      <c r="X101" s="40" t="n">
        <f aca="false">IF(X$99=0,-Assumptions!$C$29*Assumptions!$E$33/100,0)+IF(AND(X$99&gt;=2,MOD(X$99,2)=0,X$99&lt;=IF($C101=1,$C$5-2,12)),Assumptions!$C$29*Assumptions!$D$33/2,0)+IF($C101=1,IF(X$99=$C$6,Assumptions!$C$29*$C$97,0),IF(X$99=12,Assumptions!$C$29*$E101/100,0))</f>
        <v>0</v>
      </c>
      <c r="Y101" s="40" t="n">
        <f aca="false">IF(Y$99=0,-Assumptions!$C$29*Assumptions!$E$33/100,0)+IF(AND(Y$99&gt;=2,MOD(Y$99,2)=0,Y$99&lt;=IF($C101=1,$C$5-2,12)),Assumptions!$C$29*Assumptions!$D$33/2,0)+IF($C101=1,IF(Y$99=$C$6,Assumptions!$C$29*$C$97,0),IF(Y$99=12,Assumptions!$C$29*$E101/100,0))</f>
        <v>0</v>
      </c>
    </row>
    <row r="102" customFormat="false" ht="15" hidden="false" customHeight="false" outlineLevel="0" collapsed="false">
      <c r="B102" s="9" t="s">
        <v>49</v>
      </c>
      <c r="C102" s="28" t="n">
        <f aca="false">IF($C$11&lt;=$C$98,1,0)</f>
        <v>0</v>
      </c>
      <c r="D102" s="19" t="n">
        <f aca="false">Assumptions!$F$34</f>
        <v>12250</v>
      </c>
      <c r="E102" s="39" t="n">
        <f aca="false">PV($F102/2,(Assumptions!$C$30*4-12)/2,-Assumptions!$D$34*100/2,-100)</f>
        <v>99.1079856396595</v>
      </c>
      <c r="F102" s="17" t="n">
        <f aca="false">RATE(Assumptions!$C$30*2,Assumptions!$D$34*100/2,-Assumptions!$E$34,100)*2</f>
        <v>0.0773997713205988</v>
      </c>
      <c r="G102" s="26" t="n">
        <f aca="false">SUM(I102:Y102)</f>
        <v>2857.24820495744</v>
      </c>
      <c r="H102" s="17" t="n">
        <f aca="false">(1+IRR(I102:Y102,IF(SUM(I102:Y102)&lt;0,-0.05,0.01)))^4-1</f>
        <v>0.0788974524707193</v>
      </c>
      <c r="I102" s="40" t="n">
        <f aca="false">IF(I$99=0,-Assumptions!$C$29*Assumptions!$E$34/100,0)+IF(AND(I$99&gt;=2,MOD(I$99,2)=0,I$99&lt;=IF($C102=1,$C$5-2,12)),Assumptions!$C$29*Assumptions!$D$34/2,0)+IF($C102=1,IF(I$99=$C$6,Assumptions!$C$29*$C$97,0),IF(I$99=12,Assumptions!$C$29*$E102/100,0))</f>
        <v>-12250</v>
      </c>
      <c r="J102" s="40" t="n">
        <f aca="false">IF(J$99=0,-Assumptions!$C$29*Assumptions!$E$34/100,0)+IF(AND(J$99&gt;=2,MOD(J$99,2)=0,J$99&lt;=IF($C102=1,$C$5-2,12)),Assumptions!$C$29*Assumptions!$D$34/2,0)+IF($C102=1,IF(J$99=$C$6,Assumptions!$C$29*$C$97,0),IF(J$99=12,Assumptions!$C$29*$E102/100,0))</f>
        <v>0</v>
      </c>
      <c r="K102" s="40" t="n">
        <f aca="false">IF(K$99=0,-Assumptions!$C$29*Assumptions!$E$34/100,0)+IF(AND(K$99&gt;=2,MOD(K$99,2)=0,K$99&lt;=IF($C102=1,$C$5-2,12)),Assumptions!$C$29*Assumptions!$D$34/2,0)+IF($C102=1,IF(K$99=$C$6,Assumptions!$C$29*$C$97,0),IF(K$99=12,Assumptions!$C$29*$E102/100,0))</f>
        <v>453.125</v>
      </c>
      <c r="L102" s="40" t="n">
        <f aca="false">IF(L$99=0,-Assumptions!$C$29*Assumptions!$E$34/100,0)+IF(AND(L$99&gt;=2,MOD(L$99,2)=0,L$99&lt;=IF($C102=1,$C$5-2,12)),Assumptions!$C$29*Assumptions!$D$34/2,0)+IF($C102=1,IF(L$99=$C$6,Assumptions!$C$29*$C$97,0),IF(L$99=12,Assumptions!$C$29*$E102/100,0))</f>
        <v>0</v>
      </c>
      <c r="M102" s="40" t="n">
        <f aca="false">IF(M$99=0,-Assumptions!$C$29*Assumptions!$E$34/100,0)+IF(AND(M$99&gt;=2,MOD(M$99,2)=0,M$99&lt;=IF($C102=1,$C$5-2,12)),Assumptions!$C$29*Assumptions!$D$34/2,0)+IF($C102=1,IF(M$99=$C$6,Assumptions!$C$29*$C$97,0),IF(M$99=12,Assumptions!$C$29*$E102/100,0))</f>
        <v>453.125</v>
      </c>
      <c r="N102" s="40" t="n">
        <f aca="false">IF(N$99=0,-Assumptions!$C$29*Assumptions!$E$34/100,0)+IF(AND(N$99&gt;=2,MOD(N$99,2)=0,N$99&lt;=IF($C102=1,$C$5-2,12)),Assumptions!$C$29*Assumptions!$D$34/2,0)+IF($C102=1,IF(N$99=$C$6,Assumptions!$C$29*$C$97,0),IF(N$99=12,Assumptions!$C$29*$E102/100,0))</f>
        <v>0</v>
      </c>
      <c r="O102" s="40" t="n">
        <f aca="false">IF(O$99=0,-Assumptions!$C$29*Assumptions!$E$34/100,0)+IF(AND(O$99&gt;=2,MOD(O$99,2)=0,O$99&lt;=IF($C102=1,$C$5-2,12)),Assumptions!$C$29*Assumptions!$D$34/2,0)+IF($C102=1,IF(O$99=$C$6,Assumptions!$C$29*$C$97,0),IF(O$99=12,Assumptions!$C$29*$E102/100,0))</f>
        <v>453.125</v>
      </c>
      <c r="P102" s="40" t="n">
        <f aca="false">IF(P$99=0,-Assumptions!$C$29*Assumptions!$E$34/100,0)+IF(AND(P$99&gt;=2,MOD(P$99,2)=0,P$99&lt;=IF($C102=1,$C$5-2,12)),Assumptions!$C$29*Assumptions!$D$34/2,0)+IF($C102=1,IF(P$99=$C$6,Assumptions!$C$29*$C$97,0),IF(P$99=12,Assumptions!$C$29*$E102/100,0))</f>
        <v>0</v>
      </c>
      <c r="Q102" s="40" t="n">
        <f aca="false">IF(Q$99=0,-Assumptions!$C$29*Assumptions!$E$34/100,0)+IF(AND(Q$99&gt;=2,MOD(Q$99,2)=0,Q$99&lt;=IF($C102=1,$C$5-2,12)),Assumptions!$C$29*Assumptions!$D$34/2,0)+IF($C102=1,IF(Q$99=$C$6,Assumptions!$C$29*$C$97,0),IF(Q$99=12,Assumptions!$C$29*$E102/100,0))</f>
        <v>453.125</v>
      </c>
      <c r="R102" s="40" t="n">
        <f aca="false">IF(R$99=0,-Assumptions!$C$29*Assumptions!$E$34/100,0)+IF(AND(R$99&gt;=2,MOD(R$99,2)=0,R$99&lt;=IF($C102=1,$C$5-2,12)),Assumptions!$C$29*Assumptions!$D$34/2,0)+IF($C102=1,IF(R$99=$C$6,Assumptions!$C$29*$C$97,0),IF(R$99=12,Assumptions!$C$29*$E102/100,0))</f>
        <v>0</v>
      </c>
      <c r="S102" s="40" t="n">
        <f aca="false">IF(S$99=0,-Assumptions!$C$29*Assumptions!$E$34/100,0)+IF(AND(S$99&gt;=2,MOD(S$99,2)=0,S$99&lt;=IF($C102=1,$C$5-2,12)),Assumptions!$C$29*Assumptions!$D$34/2,0)+IF($C102=1,IF(S$99=$C$6,Assumptions!$C$29*$C$97,0),IF(S$99=12,Assumptions!$C$29*$E102/100,0))</f>
        <v>453.125</v>
      </c>
      <c r="T102" s="40" t="n">
        <f aca="false">IF(T$99=0,-Assumptions!$C$29*Assumptions!$E$34/100,0)+IF(AND(T$99&gt;=2,MOD(T$99,2)=0,T$99&lt;=IF($C102=1,$C$5-2,12)),Assumptions!$C$29*Assumptions!$D$34/2,0)+IF($C102=1,IF(T$99=$C$6,Assumptions!$C$29*$C$97,0),IF(T$99=12,Assumptions!$C$29*$E102/100,0))</f>
        <v>0</v>
      </c>
      <c r="U102" s="40" t="n">
        <f aca="false">IF(U$99=0,-Assumptions!$C$29*Assumptions!$E$34/100,0)+IF(AND(U$99&gt;=2,MOD(U$99,2)=0,U$99&lt;=IF($C102=1,$C$5-2,12)),Assumptions!$C$29*Assumptions!$D$34/2,0)+IF($C102=1,IF(U$99=$C$6,Assumptions!$C$29*$C$97,0),IF(U$99=12,Assumptions!$C$29*$E102/100,0))</f>
        <v>12841.6232049574</v>
      </c>
      <c r="V102" s="40" t="n">
        <f aca="false">IF(V$99=0,-Assumptions!$C$29*Assumptions!$E$34/100,0)+IF(AND(V$99&gt;=2,MOD(V$99,2)=0,V$99&lt;=IF($C102=1,$C$5-2,12)),Assumptions!$C$29*Assumptions!$D$34/2,0)+IF($C102=1,IF(V$99=$C$6,Assumptions!$C$29*$C$97,0),IF(V$99=12,Assumptions!$C$29*$E102/100,0))</f>
        <v>0</v>
      </c>
      <c r="W102" s="40" t="n">
        <f aca="false">IF(W$99=0,-Assumptions!$C$29*Assumptions!$E$34/100,0)+IF(AND(W$99&gt;=2,MOD(W$99,2)=0,W$99&lt;=IF($C102=1,$C$5-2,12)),Assumptions!$C$29*Assumptions!$D$34/2,0)+IF($C102=1,IF(W$99=$C$6,Assumptions!$C$29*$C$97,0),IF(W$99=12,Assumptions!$C$29*$E102/100,0))</f>
        <v>0</v>
      </c>
      <c r="X102" s="40" t="n">
        <f aca="false">IF(X$99=0,-Assumptions!$C$29*Assumptions!$E$34/100,0)+IF(AND(X$99&gt;=2,MOD(X$99,2)=0,X$99&lt;=IF($C102=1,$C$5-2,12)),Assumptions!$C$29*Assumptions!$D$34/2,0)+IF($C102=1,IF(X$99=$C$6,Assumptions!$C$29*$C$97,0),IF(X$99=12,Assumptions!$C$29*$E102/100,0))</f>
        <v>0</v>
      </c>
      <c r="Y102" s="40" t="n">
        <f aca="false">IF(Y$99=0,-Assumptions!$C$29*Assumptions!$E$34/100,0)+IF(AND(Y$99&gt;=2,MOD(Y$99,2)=0,Y$99&lt;=IF($C102=1,$C$5-2,12)),Assumptions!$C$29*Assumptions!$D$34/2,0)+IF($C102=1,IF(Y$99=$C$6,Assumptions!$C$29*$C$97,0),IF(Y$99=12,Assumptions!$C$29*$E102/100,0))</f>
        <v>0</v>
      </c>
    </row>
    <row r="103" customFormat="false" ht="15" hidden="false" customHeight="false" outlineLevel="0" collapsed="false">
      <c r="B103" s="9" t="s">
        <v>50</v>
      </c>
      <c r="C103" s="28" t="n">
        <f aca="false">IF($C$12&lt;=$C$98,1,0)</f>
        <v>0</v>
      </c>
      <c r="D103" s="19" t="n">
        <f aca="false">Assumptions!$F$35</f>
        <v>12187.5</v>
      </c>
      <c r="E103" s="39" t="n">
        <f aca="false">PV($F103/2,(Assumptions!$C$30*4-12)/2,-Assumptions!$D$35*100/2,-100)</f>
        <v>98.8794329841845</v>
      </c>
      <c r="F103" s="17" t="n">
        <f aca="false">RATE(Assumptions!$C$30*2,Assumptions!$D$35*100/2,-Assumptions!$E$35,100)*2</f>
        <v>0.0811827080590467</v>
      </c>
      <c r="G103" s="26" t="n">
        <f aca="false">SUM(I103:Y103)</f>
        <v>2984.92912302306</v>
      </c>
      <c r="H103" s="17" t="n">
        <f aca="false">(1+IRR(I103:Y103,IF(SUM(I103:Y103)&lt;0,-0.05,0.01)))^4-1</f>
        <v>0.0828303660809961</v>
      </c>
      <c r="I103" s="40" t="n">
        <f aca="false">IF(I$99=0,-Assumptions!$C$29*Assumptions!$E$35/100,0)+IF(AND(I$99&gt;=2,MOD(I$99,2)=0,I$99&lt;=IF($C103=1,$C$5-2,12)),Assumptions!$C$29*Assumptions!$D$35/2,0)+IF($C103=1,IF(I$99=$C$6,Assumptions!$C$29*$C$97,0),IF(I$99=12,Assumptions!$C$29*$E103/100,0))</f>
        <v>-12187.5</v>
      </c>
      <c r="J103" s="40" t="n">
        <f aca="false">IF(J$99=0,-Assumptions!$C$29*Assumptions!$E$35/100,0)+IF(AND(J$99&gt;=2,MOD(J$99,2)=0,J$99&lt;=IF($C103=1,$C$5-2,12)),Assumptions!$C$29*Assumptions!$D$35/2,0)+IF($C103=1,IF(J$99=$C$6,Assumptions!$C$29*$C$97,0),IF(J$99=12,Assumptions!$C$29*$E103/100,0))</f>
        <v>0</v>
      </c>
      <c r="K103" s="40" t="n">
        <f aca="false">IF(K$99=0,-Assumptions!$C$29*Assumptions!$E$35/100,0)+IF(AND(K$99&gt;=2,MOD(K$99,2)=0,K$99&lt;=IF($C103=1,$C$5-2,12)),Assumptions!$C$29*Assumptions!$D$35/2,0)+IF($C103=1,IF(K$99=$C$6,Assumptions!$C$29*$C$97,0),IF(K$99=12,Assumptions!$C$29*$E103/100,0))</f>
        <v>468.75</v>
      </c>
      <c r="L103" s="40" t="n">
        <f aca="false">IF(L$99=0,-Assumptions!$C$29*Assumptions!$E$35/100,0)+IF(AND(L$99&gt;=2,MOD(L$99,2)=0,L$99&lt;=IF($C103=1,$C$5-2,12)),Assumptions!$C$29*Assumptions!$D$35/2,0)+IF($C103=1,IF(L$99=$C$6,Assumptions!$C$29*$C$97,0),IF(L$99=12,Assumptions!$C$29*$E103/100,0))</f>
        <v>0</v>
      </c>
      <c r="M103" s="40" t="n">
        <f aca="false">IF(M$99=0,-Assumptions!$C$29*Assumptions!$E$35/100,0)+IF(AND(M$99&gt;=2,MOD(M$99,2)=0,M$99&lt;=IF($C103=1,$C$5-2,12)),Assumptions!$C$29*Assumptions!$D$35/2,0)+IF($C103=1,IF(M$99=$C$6,Assumptions!$C$29*$C$97,0),IF(M$99=12,Assumptions!$C$29*$E103/100,0))</f>
        <v>468.75</v>
      </c>
      <c r="N103" s="40" t="n">
        <f aca="false">IF(N$99=0,-Assumptions!$C$29*Assumptions!$E$35/100,0)+IF(AND(N$99&gt;=2,MOD(N$99,2)=0,N$99&lt;=IF($C103=1,$C$5-2,12)),Assumptions!$C$29*Assumptions!$D$35/2,0)+IF($C103=1,IF(N$99=$C$6,Assumptions!$C$29*$C$97,0),IF(N$99=12,Assumptions!$C$29*$E103/100,0))</f>
        <v>0</v>
      </c>
      <c r="O103" s="40" t="n">
        <f aca="false">IF(O$99=0,-Assumptions!$C$29*Assumptions!$E$35/100,0)+IF(AND(O$99&gt;=2,MOD(O$99,2)=0,O$99&lt;=IF($C103=1,$C$5-2,12)),Assumptions!$C$29*Assumptions!$D$35/2,0)+IF($C103=1,IF(O$99=$C$6,Assumptions!$C$29*$C$97,0),IF(O$99=12,Assumptions!$C$29*$E103/100,0))</f>
        <v>468.75</v>
      </c>
      <c r="P103" s="40" t="n">
        <f aca="false">IF(P$99=0,-Assumptions!$C$29*Assumptions!$E$35/100,0)+IF(AND(P$99&gt;=2,MOD(P$99,2)=0,P$99&lt;=IF($C103=1,$C$5-2,12)),Assumptions!$C$29*Assumptions!$D$35/2,0)+IF($C103=1,IF(P$99=$C$6,Assumptions!$C$29*$C$97,0),IF(P$99=12,Assumptions!$C$29*$E103/100,0))</f>
        <v>0</v>
      </c>
      <c r="Q103" s="40" t="n">
        <f aca="false">IF(Q$99=0,-Assumptions!$C$29*Assumptions!$E$35/100,0)+IF(AND(Q$99&gt;=2,MOD(Q$99,2)=0,Q$99&lt;=IF($C103=1,$C$5-2,12)),Assumptions!$C$29*Assumptions!$D$35/2,0)+IF($C103=1,IF(Q$99=$C$6,Assumptions!$C$29*$C$97,0),IF(Q$99=12,Assumptions!$C$29*$E103/100,0))</f>
        <v>468.75</v>
      </c>
      <c r="R103" s="40" t="n">
        <f aca="false">IF(R$99=0,-Assumptions!$C$29*Assumptions!$E$35/100,0)+IF(AND(R$99&gt;=2,MOD(R$99,2)=0,R$99&lt;=IF($C103=1,$C$5-2,12)),Assumptions!$C$29*Assumptions!$D$35/2,0)+IF($C103=1,IF(R$99=$C$6,Assumptions!$C$29*$C$97,0),IF(R$99=12,Assumptions!$C$29*$E103/100,0))</f>
        <v>0</v>
      </c>
      <c r="S103" s="40" t="n">
        <f aca="false">IF(S$99=0,-Assumptions!$C$29*Assumptions!$E$35/100,0)+IF(AND(S$99&gt;=2,MOD(S$99,2)=0,S$99&lt;=IF($C103=1,$C$5-2,12)),Assumptions!$C$29*Assumptions!$D$35/2,0)+IF($C103=1,IF(S$99=$C$6,Assumptions!$C$29*$C$97,0),IF(S$99=12,Assumptions!$C$29*$E103/100,0))</f>
        <v>468.75</v>
      </c>
      <c r="T103" s="40" t="n">
        <f aca="false">IF(T$99=0,-Assumptions!$C$29*Assumptions!$E$35/100,0)+IF(AND(T$99&gt;=2,MOD(T$99,2)=0,T$99&lt;=IF($C103=1,$C$5-2,12)),Assumptions!$C$29*Assumptions!$D$35/2,0)+IF($C103=1,IF(T$99=$C$6,Assumptions!$C$29*$C$97,0),IF(T$99=12,Assumptions!$C$29*$E103/100,0))</f>
        <v>0</v>
      </c>
      <c r="U103" s="40" t="n">
        <f aca="false">IF(U$99=0,-Assumptions!$C$29*Assumptions!$E$35/100,0)+IF(AND(U$99&gt;=2,MOD(U$99,2)=0,U$99&lt;=IF($C103=1,$C$5-2,12)),Assumptions!$C$29*Assumptions!$D$35/2,0)+IF($C103=1,IF(U$99=$C$6,Assumptions!$C$29*$C$97,0),IF(U$99=12,Assumptions!$C$29*$E103/100,0))</f>
        <v>12828.6791230231</v>
      </c>
      <c r="V103" s="40" t="n">
        <f aca="false">IF(V$99=0,-Assumptions!$C$29*Assumptions!$E$35/100,0)+IF(AND(V$99&gt;=2,MOD(V$99,2)=0,V$99&lt;=IF($C103=1,$C$5-2,12)),Assumptions!$C$29*Assumptions!$D$35/2,0)+IF($C103=1,IF(V$99=$C$6,Assumptions!$C$29*$C$97,0),IF(V$99=12,Assumptions!$C$29*$E103/100,0))</f>
        <v>0</v>
      </c>
      <c r="W103" s="40" t="n">
        <f aca="false">IF(W$99=0,-Assumptions!$C$29*Assumptions!$E$35/100,0)+IF(AND(W$99&gt;=2,MOD(W$99,2)=0,W$99&lt;=IF($C103=1,$C$5-2,12)),Assumptions!$C$29*Assumptions!$D$35/2,0)+IF($C103=1,IF(W$99=$C$6,Assumptions!$C$29*$C$97,0),IF(W$99=12,Assumptions!$C$29*$E103/100,0))</f>
        <v>0</v>
      </c>
      <c r="X103" s="40" t="n">
        <f aca="false">IF(X$99=0,-Assumptions!$C$29*Assumptions!$E$35/100,0)+IF(AND(X$99&gt;=2,MOD(X$99,2)=0,X$99&lt;=IF($C103=1,$C$5-2,12)),Assumptions!$C$29*Assumptions!$D$35/2,0)+IF($C103=1,IF(X$99=$C$6,Assumptions!$C$29*$C$97,0),IF(X$99=12,Assumptions!$C$29*$E103/100,0))</f>
        <v>0</v>
      </c>
      <c r="Y103" s="40" t="n">
        <f aca="false">IF(Y$99=0,-Assumptions!$C$29*Assumptions!$E$35/100,0)+IF(AND(Y$99&gt;=2,MOD(Y$99,2)=0,Y$99&lt;=IF($C103=1,$C$5-2,12)),Assumptions!$C$29*Assumptions!$D$35/2,0)+IF($C103=1,IF(Y$99=$C$6,Assumptions!$C$29*$C$97,0),IF(Y$99=12,Assumptions!$C$29*$E103/100,0))</f>
        <v>0</v>
      </c>
    </row>
    <row r="104" customFormat="false" ht="15" hidden="false" customHeight="false" outlineLevel="0" collapsed="false">
      <c r="B104" s="9" t="s">
        <v>51</v>
      </c>
      <c r="C104" s="28" t="n">
        <f aca="false">IF($C$13&lt;=$C$98,1,0)</f>
        <v>0</v>
      </c>
      <c r="D104" s="19" t="n">
        <f aca="false">Assumptions!$F$36</f>
        <v>12125</v>
      </c>
      <c r="E104" s="39" t="n">
        <f aca="false">PV($F104/2,(Assumptions!$C$30*4-12)/2,-Assumptions!$D$36*100/2,-100)</f>
        <v>98.6441572961372</v>
      </c>
      <c r="F104" s="17" t="n">
        <f aca="false">RATE(Assumptions!$C$30*2,Assumptions!$D$36*100/2,-Assumptions!$E$36,100)*2</f>
        <v>0.0875368825411204</v>
      </c>
      <c r="G104" s="26" t="n">
        <f aca="false">SUM(I104:Y104)</f>
        <v>3205.51966201715</v>
      </c>
      <c r="H104" s="17" t="n">
        <f aca="false">(1+IRR(I104:Y104,IF(SUM(I104:Y104)&lt;0,-0.05,0.01)))^4-1</f>
        <v>0.0894525589923749</v>
      </c>
      <c r="I104" s="40" t="n">
        <f aca="false">IF(I$99=0,-Assumptions!$C$29*Assumptions!$E$36/100,0)+IF(AND(I$99&gt;=2,MOD(I$99,2)=0,I$99&lt;=IF($C104=1,$C$5-2,12)),Assumptions!$C$29*Assumptions!$D$36/2,0)+IF($C104=1,IF(I$99=$C$6,Assumptions!$C$29*$C$97,0),IF(I$99=12,Assumptions!$C$29*$E104/100,0))</f>
        <v>-12125</v>
      </c>
      <c r="J104" s="40" t="n">
        <f aca="false">IF(J$99=0,-Assumptions!$C$29*Assumptions!$E$36/100,0)+IF(AND(J$99&gt;=2,MOD(J$99,2)=0,J$99&lt;=IF($C104=1,$C$5-2,12)),Assumptions!$C$29*Assumptions!$D$36/2,0)+IF($C104=1,IF(J$99=$C$6,Assumptions!$C$29*$C$97,0),IF(J$99=12,Assumptions!$C$29*$E104/100,0))</f>
        <v>0</v>
      </c>
      <c r="K104" s="40" t="n">
        <f aca="false">IF(K$99=0,-Assumptions!$C$29*Assumptions!$E$36/100,0)+IF(AND(K$99&gt;=2,MOD(K$99,2)=0,K$99&lt;=IF($C104=1,$C$5-2,12)),Assumptions!$C$29*Assumptions!$D$36/2,0)+IF($C104=1,IF(K$99=$C$6,Assumptions!$C$29*$C$97,0),IF(K$99=12,Assumptions!$C$29*$E104/100,0))</f>
        <v>500</v>
      </c>
      <c r="L104" s="40" t="n">
        <f aca="false">IF(L$99=0,-Assumptions!$C$29*Assumptions!$E$36/100,0)+IF(AND(L$99&gt;=2,MOD(L$99,2)=0,L$99&lt;=IF($C104=1,$C$5-2,12)),Assumptions!$C$29*Assumptions!$D$36/2,0)+IF($C104=1,IF(L$99=$C$6,Assumptions!$C$29*$C$97,0),IF(L$99=12,Assumptions!$C$29*$E104/100,0))</f>
        <v>0</v>
      </c>
      <c r="M104" s="40" t="n">
        <f aca="false">IF(M$99=0,-Assumptions!$C$29*Assumptions!$E$36/100,0)+IF(AND(M$99&gt;=2,MOD(M$99,2)=0,M$99&lt;=IF($C104=1,$C$5-2,12)),Assumptions!$C$29*Assumptions!$D$36/2,0)+IF($C104=1,IF(M$99=$C$6,Assumptions!$C$29*$C$97,0),IF(M$99=12,Assumptions!$C$29*$E104/100,0))</f>
        <v>500</v>
      </c>
      <c r="N104" s="40" t="n">
        <f aca="false">IF(N$99=0,-Assumptions!$C$29*Assumptions!$E$36/100,0)+IF(AND(N$99&gt;=2,MOD(N$99,2)=0,N$99&lt;=IF($C104=1,$C$5-2,12)),Assumptions!$C$29*Assumptions!$D$36/2,0)+IF($C104=1,IF(N$99=$C$6,Assumptions!$C$29*$C$97,0),IF(N$99=12,Assumptions!$C$29*$E104/100,0))</f>
        <v>0</v>
      </c>
      <c r="O104" s="40" t="n">
        <f aca="false">IF(O$99=0,-Assumptions!$C$29*Assumptions!$E$36/100,0)+IF(AND(O$99&gt;=2,MOD(O$99,2)=0,O$99&lt;=IF($C104=1,$C$5-2,12)),Assumptions!$C$29*Assumptions!$D$36/2,0)+IF($C104=1,IF(O$99=$C$6,Assumptions!$C$29*$C$97,0),IF(O$99=12,Assumptions!$C$29*$E104/100,0))</f>
        <v>500</v>
      </c>
      <c r="P104" s="40" t="n">
        <f aca="false">IF(P$99=0,-Assumptions!$C$29*Assumptions!$E$36/100,0)+IF(AND(P$99&gt;=2,MOD(P$99,2)=0,P$99&lt;=IF($C104=1,$C$5-2,12)),Assumptions!$C$29*Assumptions!$D$36/2,0)+IF($C104=1,IF(P$99=$C$6,Assumptions!$C$29*$C$97,0),IF(P$99=12,Assumptions!$C$29*$E104/100,0))</f>
        <v>0</v>
      </c>
      <c r="Q104" s="40" t="n">
        <f aca="false">IF(Q$99=0,-Assumptions!$C$29*Assumptions!$E$36/100,0)+IF(AND(Q$99&gt;=2,MOD(Q$99,2)=0,Q$99&lt;=IF($C104=1,$C$5-2,12)),Assumptions!$C$29*Assumptions!$D$36/2,0)+IF($C104=1,IF(Q$99=$C$6,Assumptions!$C$29*$C$97,0),IF(Q$99=12,Assumptions!$C$29*$E104/100,0))</f>
        <v>500</v>
      </c>
      <c r="R104" s="40" t="n">
        <f aca="false">IF(R$99=0,-Assumptions!$C$29*Assumptions!$E$36/100,0)+IF(AND(R$99&gt;=2,MOD(R$99,2)=0,R$99&lt;=IF($C104=1,$C$5-2,12)),Assumptions!$C$29*Assumptions!$D$36/2,0)+IF($C104=1,IF(R$99=$C$6,Assumptions!$C$29*$C$97,0),IF(R$99=12,Assumptions!$C$29*$E104/100,0))</f>
        <v>0</v>
      </c>
      <c r="S104" s="40" t="n">
        <f aca="false">IF(S$99=0,-Assumptions!$C$29*Assumptions!$E$36/100,0)+IF(AND(S$99&gt;=2,MOD(S$99,2)=0,S$99&lt;=IF($C104=1,$C$5-2,12)),Assumptions!$C$29*Assumptions!$D$36/2,0)+IF($C104=1,IF(S$99=$C$6,Assumptions!$C$29*$C$97,0),IF(S$99=12,Assumptions!$C$29*$E104/100,0))</f>
        <v>500</v>
      </c>
      <c r="T104" s="40" t="n">
        <f aca="false">IF(T$99=0,-Assumptions!$C$29*Assumptions!$E$36/100,0)+IF(AND(T$99&gt;=2,MOD(T$99,2)=0,T$99&lt;=IF($C104=1,$C$5-2,12)),Assumptions!$C$29*Assumptions!$D$36/2,0)+IF($C104=1,IF(T$99=$C$6,Assumptions!$C$29*$C$97,0),IF(T$99=12,Assumptions!$C$29*$E104/100,0))</f>
        <v>0</v>
      </c>
      <c r="U104" s="40" t="n">
        <f aca="false">IF(U$99=0,-Assumptions!$C$29*Assumptions!$E$36/100,0)+IF(AND(U$99&gt;=2,MOD(U$99,2)=0,U$99&lt;=IF($C104=1,$C$5-2,12)),Assumptions!$C$29*Assumptions!$D$36/2,0)+IF($C104=1,IF(U$99=$C$6,Assumptions!$C$29*$C$97,0),IF(U$99=12,Assumptions!$C$29*$E104/100,0))</f>
        <v>12830.5196620172</v>
      </c>
      <c r="V104" s="40" t="n">
        <f aca="false">IF(V$99=0,-Assumptions!$C$29*Assumptions!$E$36/100,0)+IF(AND(V$99&gt;=2,MOD(V$99,2)=0,V$99&lt;=IF($C104=1,$C$5-2,12)),Assumptions!$C$29*Assumptions!$D$36/2,0)+IF($C104=1,IF(V$99=$C$6,Assumptions!$C$29*$C$97,0),IF(V$99=12,Assumptions!$C$29*$E104/100,0))</f>
        <v>0</v>
      </c>
      <c r="W104" s="40" t="n">
        <f aca="false">IF(W$99=0,-Assumptions!$C$29*Assumptions!$E$36/100,0)+IF(AND(W$99&gt;=2,MOD(W$99,2)=0,W$99&lt;=IF($C104=1,$C$5-2,12)),Assumptions!$C$29*Assumptions!$D$36/2,0)+IF($C104=1,IF(W$99=$C$6,Assumptions!$C$29*$C$97,0),IF(W$99=12,Assumptions!$C$29*$E104/100,0))</f>
        <v>0</v>
      </c>
      <c r="X104" s="40" t="n">
        <f aca="false">IF(X$99=0,-Assumptions!$C$29*Assumptions!$E$36/100,0)+IF(AND(X$99&gt;=2,MOD(X$99,2)=0,X$99&lt;=IF($C104=1,$C$5-2,12)),Assumptions!$C$29*Assumptions!$D$36/2,0)+IF($C104=1,IF(X$99=$C$6,Assumptions!$C$29*$C$97,0),IF(X$99=12,Assumptions!$C$29*$E104/100,0))</f>
        <v>0</v>
      </c>
      <c r="Y104" s="40" t="n">
        <f aca="false">IF(Y$99=0,-Assumptions!$C$29*Assumptions!$E$36/100,0)+IF(AND(Y$99&gt;=2,MOD(Y$99,2)=0,Y$99&lt;=IF($C104=1,$C$5-2,12)),Assumptions!$C$29*Assumptions!$D$36/2,0)+IF($C104=1,IF(Y$99=$C$6,Assumptions!$C$29*$C$97,0),IF(Y$99=12,Assumptions!$C$29*$E104/100,0))</f>
        <v>0</v>
      </c>
    </row>
    <row r="105" customFormat="false" ht="15" hidden="false" customHeight="false" outlineLevel="0" collapsed="false">
      <c r="B105" s="9" t="s">
        <v>52</v>
      </c>
      <c r="C105" s="28" t="n">
        <f aca="false">IF($C$14&lt;=$C$98,1,0)</f>
        <v>1</v>
      </c>
      <c r="D105" s="19" t="n">
        <f aca="false">Assumptions!$F$37</f>
        <v>11750</v>
      </c>
      <c r="E105" s="39" t="n">
        <f aca="false">PV($F105/2,(Assumptions!$C$30*4-12)/2,-Assumptions!$D$37*100/2,-100)</f>
        <v>97.2427387979842</v>
      </c>
      <c r="F105" s="17" t="n">
        <f aca="false">RATE(Assumptions!$C$30*2,Assumptions!$D$37*100/2,-Assumptions!$E$37,100)*2</f>
        <v>0.100561753609911</v>
      </c>
      <c r="G105" s="26" t="n">
        <f aca="false">SUM(I105:Y105)</f>
        <v>-5687.5</v>
      </c>
      <c r="H105" s="17" t="n">
        <f aca="false">(1+IRR(I105:Y105,IF(SUM(I105:Y105)&lt;0,-0.05,0.01)))^4-1</f>
        <v>-0.254569160102313</v>
      </c>
      <c r="I105" s="40" t="n">
        <f aca="false">IF(I$99=0,-Assumptions!$C$29*Assumptions!$E$37/100,0)+IF(AND(I$99&gt;=2,MOD(I$99,2)=0,I$99&lt;=IF($C105=1,$C$5-2,12)),Assumptions!$C$29*Assumptions!$D$37/2,0)+IF($C105=1,IF(I$99=$C$6,Assumptions!$C$29*$C$97,0),IF(I$99=12,Assumptions!$C$29*$E105/100,0))</f>
        <v>-11750</v>
      </c>
      <c r="J105" s="40" t="n">
        <f aca="false">IF(J$99=0,-Assumptions!$C$29*Assumptions!$E$37/100,0)+IF(AND(J$99&gt;=2,MOD(J$99,2)=0,J$99&lt;=IF($C105=1,$C$5-2,12)),Assumptions!$C$29*Assumptions!$D$37/2,0)+IF($C105=1,IF(J$99=$C$6,Assumptions!$C$29*$C$97,0),IF(J$99=12,Assumptions!$C$29*$E105/100,0))</f>
        <v>0</v>
      </c>
      <c r="K105" s="40" t="n">
        <f aca="false">IF(K$99=0,-Assumptions!$C$29*Assumptions!$E$37/100,0)+IF(AND(K$99&gt;=2,MOD(K$99,2)=0,K$99&lt;=IF($C105=1,$C$5-2,12)),Assumptions!$C$29*Assumptions!$D$37/2,0)+IF($C105=1,IF(K$99=$C$6,Assumptions!$C$29*$C$97,0),IF(K$99=12,Assumptions!$C$29*$E105/100,0))</f>
        <v>531.25</v>
      </c>
      <c r="L105" s="40" t="n">
        <f aca="false">IF(L$99=0,-Assumptions!$C$29*Assumptions!$E$37/100,0)+IF(AND(L$99&gt;=2,MOD(L$99,2)=0,L$99&lt;=IF($C105=1,$C$5-2,12)),Assumptions!$C$29*Assumptions!$D$37/2,0)+IF($C105=1,IF(L$99=$C$6,Assumptions!$C$29*$C$97,0),IF(L$99=12,Assumptions!$C$29*$E105/100,0))</f>
        <v>0</v>
      </c>
      <c r="M105" s="40" t="n">
        <f aca="false">IF(M$99=0,-Assumptions!$C$29*Assumptions!$E$37/100,0)+IF(AND(M$99&gt;=2,MOD(M$99,2)=0,M$99&lt;=IF($C105=1,$C$5-2,12)),Assumptions!$C$29*Assumptions!$D$37/2,0)+IF($C105=1,IF(M$99=$C$6,Assumptions!$C$29*$C$97,0),IF(M$99=12,Assumptions!$C$29*$E105/100,0))</f>
        <v>531.25</v>
      </c>
      <c r="N105" s="40" t="n">
        <f aca="false">IF(N$99=0,-Assumptions!$C$29*Assumptions!$E$37/100,0)+IF(AND(N$99&gt;=2,MOD(N$99,2)=0,N$99&lt;=IF($C105=1,$C$5-2,12)),Assumptions!$C$29*Assumptions!$D$37/2,0)+IF($C105=1,IF(N$99=$C$6,Assumptions!$C$29*$C$97,0),IF(N$99=12,Assumptions!$C$29*$E105/100,0))</f>
        <v>0</v>
      </c>
      <c r="O105" s="40" t="n">
        <f aca="false">IF(O$99=0,-Assumptions!$C$29*Assumptions!$E$37/100,0)+IF(AND(O$99&gt;=2,MOD(O$99,2)=0,O$99&lt;=IF($C105=1,$C$5-2,12)),Assumptions!$C$29*Assumptions!$D$37/2,0)+IF($C105=1,IF(O$99=$C$6,Assumptions!$C$29*$C$97,0),IF(O$99=12,Assumptions!$C$29*$E105/100,0))</f>
        <v>0</v>
      </c>
      <c r="P105" s="40" t="n">
        <f aca="false">IF(P$99=0,-Assumptions!$C$29*Assumptions!$E$37/100,0)+IF(AND(P$99&gt;=2,MOD(P$99,2)=0,P$99&lt;=IF($C105=1,$C$5-2,12)),Assumptions!$C$29*Assumptions!$D$37/2,0)+IF($C105=1,IF(P$99=$C$6,Assumptions!$C$29*$C$97,0),IF(P$99=12,Assumptions!$C$29*$E105/100,0))</f>
        <v>0</v>
      </c>
      <c r="Q105" s="40" t="n">
        <f aca="false">IF(Q$99=0,-Assumptions!$C$29*Assumptions!$E$37/100,0)+IF(AND(Q$99&gt;=2,MOD(Q$99,2)=0,Q$99&lt;=IF($C105=1,$C$5-2,12)),Assumptions!$C$29*Assumptions!$D$37/2,0)+IF($C105=1,IF(Q$99=$C$6,Assumptions!$C$29*$C$97,0),IF(Q$99=12,Assumptions!$C$29*$E105/100,0))</f>
        <v>0</v>
      </c>
      <c r="R105" s="40" t="n">
        <f aca="false">IF(R$99=0,-Assumptions!$C$29*Assumptions!$E$37/100,0)+IF(AND(R$99&gt;=2,MOD(R$99,2)=0,R$99&lt;=IF($C105=1,$C$5-2,12)),Assumptions!$C$29*Assumptions!$D$37/2,0)+IF($C105=1,IF(R$99=$C$6,Assumptions!$C$29*$C$97,0),IF(R$99=12,Assumptions!$C$29*$E105/100,0))</f>
        <v>0</v>
      </c>
      <c r="S105" s="40" t="n">
        <f aca="false">IF(S$99=0,-Assumptions!$C$29*Assumptions!$E$37/100,0)+IF(AND(S$99&gt;=2,MOD(S$99,2)=0,S$99&lt;=IF($C105=1,$C$5-2,12)),Assumptions!$C$29*Assumptions!$D$37/2,0)+IF($C105=1,IF(S$99=$C$6,Assumptions!$C$29*$C$97,0),IF(S$99=12,Assumptions!$C$29*$E105/100,0))</f>
        <v>5000</v>
      </c>
      <c r="T105" s="40" t="n">
        <f aca="false">IF(T$99=0,-Assumptions!$C$29*Assumptions!$E$37/100,0)+IF(AND(T$99&gt;=2,MOD(T$99,2)=0,T$99&lt;=IF($C105=1,$C$5-2,12)),Assumptions!$C$29*Assumptions!$D$37/2,0)+IF($C105=1,IF(T$99=$C$6,Assumptions!$C$29*$C$97,0),IF(T$99=12,Assumptions!$C$29*$E105/100,0))</f>
        <v>0</v>
      </c>
      <c r="U105" s="40" t="n">
        <f aca="false">IF(U$99=0,-Assumptions!$C$29*Assumptions!$E$37/100,0)+IF(AND(U$99&gt;=2,MOD(U$99,2)=0,U$99&lt;=IF($C105=1,$C$5-2,12)),Assumptions!$C$29*Assumptions!$D$37/2,0)+IF($C105=1,IF(U$99=$C$6,Assumptions!$C$29*$C$97,0),IF(U$99=12,Assumptions!$C$29*$E105/100,0))</f>
        <v>0</v>
      </c>
      <c r="V105" s="40" t="n">
        <f aca="false">IF(V$99=0,-Assumptions!$C$29*Assumptions!$E$37/100,0)+IF(AND(V$99&gt;=2,MOD(V$99,2)=0,V$99&lt;=IF($C105=1,$C$5-2,12)),Assumptions!$C$29*Assumptions!$D$37/2,0)+IF($C105=1,IF(V$99=$C$6,Assumptions!$C$29*$C$97,0),IF(V$99=12,Assumptions!$C$29*$E105/100,0))</f>
        <v>0</v>
      </c>
      <c r="W105" s="40" t="n">
        <f aca="false">IF(W$99=0,-Assumptions!$C$29*Assumptions!$E$37/100,0)+IF(AND(W$99&gt;=2,MOD(W$99,2)=0,W$99&lt;=IF($C105=1,$C$5-2,12)),Assumptions!$C$29*Assumptions!$D$37/2,0)+IF($C105=1,IF(W$99=$C$6,Assumptions!$C$29*$C$97,0),IF(W$99=12,Assumptions!$C$29*$E105/100,0))</f>
        <v>0</v>
      </c>
      <c r="X105" s="40" t="n">
        <f aca="false">IF(X$99=0,-Assumptions!$C$29*Assumptions!$E$37/100,0)+IF(AND(X$99&gt;=2,MOD(X$99,2)=0,X$99&lt;=IF($C105=1,$C$5-2,12)),Assumptions!$C$29*Assumptions!$D$37/2,0)+IF($C105=1,IF(X$99=$C$6,Assumptions!$C$29*$C$97,0),IF(X$99=12,Assumptions!$C$29*$E105/100,0))</f>
        <v>0</v>
      </c>
      <c r="Y105" s="40" t="n">
        <f aca="false">IF(Y$99=0,-Assumptions!$C$29*Assumptions!$E$37/100,0)+IF(AND(Y$99&gt;=2,MOD(Y$99,2)=0,Y$99&lt;=IF($C105=1,$C$5-2,12)),Assumptions!$C$29*Assumptions!$D$37/2,0)+IF($C105=1,IF(Y$99=$C$6,Assumptions!$C$29*$C$97,0),IF(Y$99=12,Assumptions!$C$29*$E105/100,0))</f>
        <v>0</v>
      </c>
    </row>
    <row r="106" customFormat="false" ht="15" hidden="false" customHeight="false" outlineLevel="0" collapsed="false">
      <c r="B106" s="29" t="s">
        <v>154</v>
      </c>
      <c r="D106" s="41" t="n">
        <f aca="false">SUM(D100:D105)</f>
        <v>73000</v>
      </c>
      <c r="G106" s="41" t="n">
        <f aca="false">SUM(I106:Y106)</f>
        <v>8690.53487245816</v>
      </c>
      <c r="H106" s="30" t="n">
        <f aca="false">(1+IRR(I106:Y106,IF(SUM(I106:Y106)&lt;0,-0.05,0.01)))^4-1</f>
        <v>0.0421815773308225</v>
      </c>
      <c r="I106" s="42" t="n">
        <f aca="false">SUM(I100:I105)</f>
        <v>-73000</v>
      </c>
      <c r="J106" s="42" t="n">
        <f aca="false">SUM(J100:J105)</f>
        <v>0</v>
      </c>
      <c r="K106" s="42" t="n">
        <f aca="false">SUM(K100:K105)</f>
        <v>2812.5</v>
      </c>
      <c r="L106" s="42" t="n">
        <f aca="false">SUM(L100:L105)</f>
        <v>0</v>
      </c>
      <c r="M106" s="42" t="n">
        <f aca="false">SUM(M100:M105)</f>
        <v>2812.5</v>
      </c>
      <c r="N106" s="42" t="n">
        <f aca="false">SUM(N100:N105)</f>
        <v>0</v>
      </c>
      <c r="O106" s="42" t="n">
        <f aca="false">SUM(O100:O105)</f>
        <v>2281.25</v>
      </c>
      <c r="P106" s="42" t="n">
        <f aca="false">SUM(P100:P105)</f>
        <v>0</v>
      </c>
      <c r="Q106" s="42" t="n">
        <f aca="false">SUM(Q100:Q105)</f>
        <v>2281.25</v>
      </c>
      <c r="R106" s="42" t="n">
        <f aca="false">SUM(R100:R105)</f>
        <v>0</v>
      </c>
      <c r="S106" s="42" t="n">
        <f aca="false">SUM(S100:S105)</f>
        <v>7281.25</v>
      </c>
      <c r="T106" s="42" t="n">
        <f aca="false">SUM(T100:T105)</f>
        <v>0</v>
      </c>
      <c r="U106" s="42" t="n">
        <f aca="false">SUM(U100:U105)</f>
        <v>64221.7848724582</v>
      </c>
      <c r="V106" s="42" t="n">
        <f aca="false">SUM(V100:V105)</f>
        <v>0</v>
      </c>
      <c r="W106" s="42" t="n">
        <f aca="false">SUM(W100:W105)</f>
        <v>0</v>
      </c>
      <c r="X106" s="42" t="n">
        <f aca="false">SUM(X100:X105)</f>
        <v>0</v>
      </c>
      <c r="Y106" s="42" t="n">
        <f aca="false">SUM(Y100:Y105)</f>
        <v>0</v>
      </c>
    </row>
    <row r="108" customFormat="false" ht="15" hidden="false" customHeight="false" outlineLevel="0" collapsed="false">
      <c r="B108" s="7" t="s">
        <v>161</v>
      </c>
      <c r="C108" s="8"/>
      <c r="D108" s="8"/>
      <c r="E108" s="8"/>
      <c r="F108" s="8"/>
      <c r="G108" s="8"/>
      <c r="H108" s="8"/>
      <c r="I108" s="8"/>
      <c r="J108" s="8"/>
      <c r="K108" s="8"/>
      <c r="L108" s="8"/>
      <c r="M108" s="8"/>
      <c r="N108" s="8"/>
      <c r="O108" s="8"/>
      <c r="P108" s="8"/>
      <c r="Q108" s="8"/>
      <c r="R108" s="8"/>
      <c r="S108" s="8"/>
      <c r="T108" s="8"/>
      <c r="U108" s="8"/>
      <c r="V108" s="8"/>
      <c r="W108" s="8"/>
      <c r="X108" s="8"/>
      <c r="Y108" s="8"/>
    </row>
    <row r="109" customFormat="false" ht="15" hidden="false" customHeight="false" outlineLevel="0" collapsed="false">
      <c r="B109" s="9" t="s">
        <v>117</v>
      </c>
      <c r="C109" s="22" t="n">
        <f aca="false">$B$19</f>
        <v>0.4</v>
      </c>
    </row>
    <row r="110" customFormat="false" ht="15" hidden="false" customHeight="false" outlineLevel="0" collapsed="false">
      <c r="B110" s="9" t="s">
        <v>148</v>
      </c>
      <c r="C110" s="28" t="n">
        <f aca="false">E$17</f>
        <v>2</v>
      </c>
    </row>
    <row r="111" customFormat="false" ht="30" hidden="false" customHeight="true" outlineLevel="0" collapsed="false">
      <c r="B111" s="13" t="s">
        <v>32</v>
      </c>
      <c r="C111" s="14" t="s">
        <v>149</v>
      </c>
      <c r="D111" s="14" t="s">
        <v>46</v>
      </c>
      <c r="E111" s="14" t="s">
        <v>150</v>
      </c>
      <c r="F111" s="14" t="s">
        <v>151</v>
      </c>
      <c r="G111" s="14" t="s">
        <v>152</v>
      </c>
      <c r="H111" s="14" t="s">
        <v>153</v>
      </c>
      <c r="I111" s="38" t="n">
        <v>0</v>
      </c>
      <c r="J111" s="38" t="n">
        <v>1</v>
      </c>
      <c r="K111" s="38" t="n">
        <v>2</v>
      </c>
      <c r="L111" s="38" t="n">
        <v>3</v>
      </c>
      <c r="M111" s="38" t="n">
        <v>4</v>
      </c>
      <c r="N111" s="38" t="n">
        <v>5</v>
      </c>
      <c r="O111" s="38" t="n">
        <v>6</v>
      </c>
      <c r="P111" s="38" t="n">
        <v>7</v>
      </c>
      <c r="Q111" s="38" t="n">
        <v>8</v>
      </c>
      <c r="R111" s="38" t="n">
        <v>9</v>
      </c>
      <c r="S111" s="38" t="n">
        <v>10</v>
      </c>
      <c r="T111" s="38" t="n">
        <v>11</v>
      </c>
      <c r="U111" s="38" t="n">
        <v>12</v>
      </c>
      <c r="V111" s="38" t="n">
        <v>13</v>
      </c>
      <c r="W111" s="38" t="n">
        <v>14</v>
      </c>
      <c r="X111" s="38" t="n">
        <v>15</v>
      </c>
      <c r="Y111" s="38" t="n">
        <v>16</v>
      </c>
    </row>
    <row r="112" customFormat="false" ht="15" hidden="false" customHeight="false" outlineLevel="0" collapsed="false">
      <c r="B112" s="9" t="s">
        <v>47</v>
      </c>
      <c r="C112" s="28" t="n">
        <f aca="false">IF($C$9&lt;=$C$110,1,0)</f>
        <v>0</v>
      </c>
      <c r="D112" s="19" t="n">
        <f aca="false">Assumptions!$F$32</f>
        <v>12375</v>
      </c>
      <c r="E112" s="39" t="n">
        <f aca="false">PV($F112/2,(Assumptions!$C$30*4-12)/2,-Assumptions!$D$32*100/2,-100)</f>
        <v>99.5584003138178</v>
      </c>
      <c r="F112" s="17" t="n">
        <f aca="false">RATE(Assumptions!$C$30*2,Assumptions!$D$32*100/2,-Assumptions!$E$32,100)*2</f>
        <v>0.0699042470751673</v>
      </c>
      <c r="G112" s="26" t="n">
        <f aca="false">SUM(I112:Y112)</f>
        <v>2601.05003922723</v>
      </c>
      <c r="H112" s="17" t="n">
        <f aca="false">(1+IRR(I112:Y112,IF(SUM(I112:Y112)&lt;0,-0.05,0.01)))^4-1</f>
        <v>0.0711258980149541</v>
      </c>
      <c r="I112" s="40" t="n">
        <f aca="false">IF(I$111=0,-Assumptions!$C$29*Assumptions!$E$32/100,0)+IF(AND(I$111&gt;=2,MOD(I$111,2)=0,I$111&lt;=IF($C112=1,$C$5-2,12)),Assumptions!$C$29*Assumptions!$D$32/2,0)+IF($C112=1,IF(I$111=$C$6,Assumptions!$C$29*$C$109,0),IF(I$111=12,Assumptions!$C$29*$E112/100,0))</f>
        <v>-12375</v>
      </c>
      <c r="J112" s="40" t="n">
        <f aca="false">IF(J$111=0,-Assumptions!$C$29*Assumptions!$E$32/100,0)+IF(AND(J$111&gt;=2,MOD(J$111,2)=0,J$111&lt;=IF($C112=1,$C$5-2,12)),Assumptions!$C$29*Assumptions!$D$32/2,0)+IF($C112=1,IF(J$111=$C$6,Assumptions!$C$29*$C$109,0),IF(J$111=12,Assumptions!$C$29*$E112/100,0))</f>
        <v>0</v>
      </c>
      <c r="K112" s="40" t="n">
        <f aca="false">IF(K$111=0,-Assumptions!$C$29*Assumptions!$E$32/100,0)+IF(AND(K$111&gt;=2,MOD(K$111,2)=0,K$111&lt;=IF($C112=1,$C$5-2,12)),Assumptions!$C$29*Assumptions!$D$32/2,0)+IF($C112=1,IF(K$111=$C$6,Assumptions!$C$29*$C$109,0),IF(K$111=12,Assumptions!$C$29*$E112/100,0))</f>
        <v>421.875</v>
      </c>
      <c r="L112" s="40" t="n">
        <f aca="false">IF(L$111=0,-Assumptions!$C$29*Assumptions!$E$32/100,0)+IF(AND(L$111&gt;=2,MOD(L$111,2)=0,L$111&lt;=IF($C112=1,$C$5-2,12)),Assumptions!$C$29*Assumptions!$D$32/2,0)+IF($C112=1,IF(L$111=$C$6,Assumptions!$C$29*$C$109,0),IF(L$111=12,Assumptions!$C$29*$E112/100,0))</f>
        <v>0</v>
      </c>
      <c r="M112" s="40" t="n">
        <f aca="false">IF(M$111=0,-Assumptions!$C$29*Assumptions!$E$32/100,0)+IF(AND(M$111&gt;=2,MOD(M$111,2)=0,M$111&lt;=IF($C112=1,$C$5-2,12)),Assumptions!$C$29*Assumptions!$D$32/2,0)+IF($C112=1,IF(M$111=$C$6,Assumptions!$C$29*$C$109,0),IF(M$111=12,Assumptions!$C$29*$E112/100,0))</f>
        <v>421.875</v>
      </c>
      <c r="N112" s="40" t="n">
        <f aca="false">IF(N$111=0,-Assumptions!$C$29*Assumptions!$E$32/100,0)+IF(AND(N$111&gt;=2,MOD(N$111,2)=0,N$111&lt;=IF($C112=1,$C$5-2,12)),Assumptions!$C$29*Assumptions!$D$32/2,0)+IF($C112=1,IF(N$111=$C$6,Assumptions!$C$29*$C$109,0),IF(N$111=12,Assumptions!$C$29*$E112/100,0))</f>
        <v>0</v>
      </c>
      <c r="O112" s="40" t="n">
        <f aca="false">IF(O$111=0,-Assumptions!$C$29*Assumptions!$E$32/100,0)+IF(AND(O$111&gt;=2,MOD(O$111,2)=0,O$111&lt;=IF($C112=1,$C$5-2,12)),Assumptions!$C$29*Assumptions!$D$32/2,0)+IF($C112=1,IF(O$111=$C$6,Assumptions!$C$29*$C$109,0),IF(O$111=12,Assumptions!$C$29*$E112/100,0))</f>
        <v>421.875</v>
      </c>
      <c r="P112" s="40" t="n">
        <f aca="false">IF(P$111=0,-Assumptions!$C$29*Assumptions!$E$32/100,0)+IF(AND(P$111&gt;=2,MOD(P$111,2)=0,P$111&lt;=IF($C112=1,$C$5-2,12)),Assumptions!$C$29*Assumptions!$D$32/2,0)+IF($C112=1,IF(P$111=$C$6,Assumptions!$C$29*$C$109,0),IF(P$111=12,Assumptions!$C$29*$E112/100,0))</f>
        <v>0</v>
      </c>
      <c r="Q112" s="40" t="n">
        <f aca="false">IF(Q$111=0,-Assumptions!$C$29*Assumptions!$E$32/100,0)+IF(AND(Q$111&gt;=2,MOD(Q$111,2)=0,Q$111&lt;=IF($C112=1,$C$5-2,12)),Assumptions!$C$29*Assumptions!$D$32/2,0)+IF($C112=1,IF(Q$111=$C$6,Assumptions!$C$29*$C$109,0),IF(Q$111=12,Assumptions!$C$29*$E112/100,0))</f>
        <v>421.875</v>
      </c>
      <c r="R112" s="40" t="n">
        <f aca="false">IF(R$111=0,-Assumptions!$C$29*Assumptions!$E$32/100,0)+IF(AND(R$111&gt;=2,MOD(R$111,2)=0,R$111&lt;=IF($C112=1,$C$5-2,12)),Assumptions!$C$29*Assumptions!$D$32/2,0)+IF($C112=1,IF(R$111=$C$6,Assumptions!$C$29*$C$109,0),IF(R$111=12,Assumptions!$C$29*$E112/100,0))</f>
        <v>0</v>
      </c>
      <c r="S112" s="40" t="n">
        <f aca="false">IF(S$111=0,-Assumptions!$C$29*Assumptions!$E$32/100,0)+IF(AND(S$111&gt;=2,MOD(S$111,2)=0,S$111&lt;=IF($C112=1,$C$5-2,12)),Assumptions!$C$29*Assumptions!$D$32/2,0)+IF($C112=1,IF(S$111=$C$6,Assumptions!$C$29*$C$109,0),IF(S$111=12,Assumptions!$C$29*$E112/100,0))</f>
        <v>421.875</v>
      </c>
      <c r="T112" s="40" t="n">
        <f aca="false">IF(T$111=0,-Assumptions!$C$29*Assumptions!$E$32/100,0)+IF(AND(T$111&gt;=2,MOD(T$111,2)=0,T$111&lt;=IF($C112=1,$C$5-2,12)),Assumptions!$C$29*Assumptions!$D$32/2,0)+IF($C112=1,IF(T$111=$C$6,Assumptions!$C$29*$C$109,0),IF(T$111=12,Assumptions!$C$29*$E112/100,0))</f>
        <v>0</v>
      </c>
      <c r="U112" s="40" t="n">
        <f aca="false">IF(U$111=0,-Assumptions!$C$29*Assumptions!$E$32/100,0)+IF(AND(U$111&gt;=2,MOD(U$111,2)=0,U$111&lt;=IF($C112=1,$C$5-2,12)),Assumptions!$C$29*Assumptions!$D$32/2,0)+IF($C112=1,IF(U$111=$C$6,Assumptions!$C$29*$C$109,0),IF(U$111=12,Assumptions!$C$29*$E112/100,0))</f>
        <v>12866.6750392272</v>
      </c>
      <c r="V112" s="40" t="n">
        <f aca="false">IF(V$111=0,-Assumptions!$C$29*Assumptions!$E$32/100,0)+IF(AND(V$111&gt;=2,MOD(V$111,2)=0,V$111&lt;=IF($C112=1,$C$5-2,12)),Assumptions!$C$29*Assumptions!$D$32/2,0)+IF($C112=1,IF(V$111=$C$6,Assumptions!$C$29*$C$109,0),IF(V$111=12,Assumptions!$C$29*$E112/100,0))</f>
        <v>0</v>
      </c>
      <c r="W112" s="40" t="n">
        <f aca="false">IF(W$111=0,-Assumptions!$C$29*Assumptions!$E$32/100,0)+IF(AND(W$111&gt;=2,MOD(W$111,2)=0,W$111&lt;=IF($C112=1,$C$5-2,12)),Assumptions!$C$29*Assumptions!$D$32/2,0)+IF($C112=1,IF(W$111=$C$6,Assumptions!$C$29*$C$109,0),IF(W$111=12,Assumptions!$C$29*$E112/100,0))</f>
        <v>0</v>
      </c>
      <c r="X112" s="40" t="n">
        <f aca="false">IF(X$111=0,-Assumptions!$C$29*Assumptions!$E$32/100,0)+IF(AND(X$111&gt;=2,MOD(X$111,2)=0,X$111&lt;=IF($C112=1,$C$5-2,12)),Assumptions!$C$29*Assumptions!$D$32/2,0)+IF($C112=1,IF(X$111=$C$6,Assumptions!$C$29*$C$109,0),IF(X$111=12,Assumptions!$C$29*$E112/100,0))</f>
        <v>0</v>
      </c>
      <c r="Y112" s="40" t="n">
        <f aca="false">IF(Y$111=0,-Assumptions!$C$29*Assumptions!$E$32/100,0)+IF(AND(Y$111&gt;=2,MOD(Y$111,2)=0,Y$111&lt;=IF($C112=1,$C$5-2,12)),Assumptions!$C$29*Assumptions!$D$32/2,0)+IF($C112=1,IF(Y$111=$C$6,Assumptions!$C$29*$C$109,0),IF(Y$111=12,Assumptions!$C$29*$E112/100,0))</f>
        <v>0</v>
      </c>
    </row>
    <row r="113" customFormat="false" ht="15" hidden="false" customHeight="false" outlineLevel="0" collapsed="false">
      <c r="B113" s="9" t="s">
        <v>48</v>
      </c>
      <c r="C113" s="28" t="n">
        <f aca="false">IF($C$10&lt;=$C$110,1,0)</f>
        <v>0</v>
      </c>
      <c r="D113" s="19" t="n">
        <f aca="false">Assumptions!$F$33</f>
        <v>12312.5</v>
      </c>
      <c r="E113" s="39" t="n">
        <f aca="false">PV($F113/2,(Assumptions!$C$30*4-12)/2,-Assumptions!$D$33*100/2,-100)</f>
        <v>99.3343027458663</v>
      </c>
      <c r="F113" s="17" t="n">
        <f aca="false">RATE(Assumptions!$C$30*2,Assumptions!$D$33*100/2,-Assumptions!$E$33,100)*2</f>
        <v>0.0736404123832243</v>
      </c>
      <c r="G113" s="26" t="n">
        <f aca="false">SUM(I113:Y113)</f>
        <v>2729.28784323328</v>
      </c>
      <c r="H113" s="17" t="n">
        <f aca="false">(1+IRR(I113:Y113,IF(SUM(I113:Y113)&lt;0,-0.05,0.01)))^4-1</f>
        <v>0.0749961399672177</v>
      </c>
      <c r="I113" s="40" t="n">
        <f aca="false">IF(I$111=0,-Assumptions!$C$29*Assumptions!$E$33/100,0)+IF(AND(I$111&gt;=2,MOD(I$111,2)=0,I$111&lt;=IF($C113=1,$C$5-2,12)),Assumptions!$C$29*Assumptions!$D$33/2,0)+IF($C113=1,IF(I$111=$C$6,Assumptions!$C$29*$C$109,0),IF(I$111=12,Assumptions!$C$29*$E113/100,0))</f>
        <v>-12312.5</v>
      </c>
      <c r="J113" s="40" t="n">
        <f aca="false">IF(J$111=0,-Assumptions!$C$29*Assumptions!$E$33/100,0)+IF(AND(J$111&gt;=2,MOD(J$111,2)=0,J$111&lt;=IF($C113=1,$C$5-2,12)),Assumptions!$C$29*Assumptions!$D$33/2,0)+IF($C113=1,IF(J$111=$C$6,Assumptions!$C$29*$C$109,0),IF(J$111=12,Assumptions!$C$29*$E113/100,0))</f>
        <v>0</v>
      </c>
      <c r="K113" s="40" t="n">
        <f aca="false">IF(K$111=0,-Assumptions!$C$29*Assumptions!$E$33/100,0)+IF(AND(K$111&gt;=2,MOD(K$111,2)=0,K$111&lt;=IF($C113=1,$C$5-2,12)),Assumptions!$C$29*Assumptions!$D$33/2,0)+IF($C113=1,IF(K$111=$C$6,Assumptions!$C$29*$C$109,0),IF(K$111=12,Assumptions!$C$29*$E113/100,0))</f>
        <v>437.5</v>
      </c>
      <c r="L113" s="40" t="n">
        <f aca="false">IF(L$111=0,-Assumptions!$C$29*Assumptions!$E$33/100,0)+IF(AND(L$111&gt;=2,MOD(L$111,2)=0,L$111&lt;=IF($C113=1,$C$5-2,12)),Assumptions!$C$29*Assumptions!$D$33/2,0)+IF($C113=1,IF(L$111=$C$6,Assumptions!$C$29*$C$109,0),IF(L$111=12,Assumptions!$C$29*$E113/100,0))</f>
        <v>0</v>
      </c>
      <c r="M113" s="40" t="n">
        <f aca="false">IF(M$111=0,-Assumptions!$C$29*Assumptions!$E$33/100,0)+IF(AND(M$111&gt;=2,MOD(M$111,2)=0,M$111&lt;=IF($C113=1,$C$5-2,12)),Assumptions!$C$29*Assumptions!$D$33/2,0)+IF($C113=1,IF(M$111=$C$6,Assumptions!$C$29*$C$109,0),IF(M$111=12,Assumptions!$C$29*$E113/100,0))</f>
        <v>437.5</v>
      </c>
      <c r="N113" s="40" t="n">
        <f aca="false">IF(N$111=0,-Assumptions!$C$29*Assumptions!$E$33/100,0)+IF(AND(N$111&gt;=2,MOD(N$111,2)=0,N$111&lt;=IF($C113=1,$C$5-2,12)),Assumptions!$C$29*Assumptions!$D$33/2,0)+IF($C113=1,IF(N$111=$C$6,Assumptions!$C$29*$C$109,0),IF(N$111=12,Assumptions!$C$29*$E113/100,0))</f>
        <v>0</v>
      </c>
      <c r="O113" s="40" t="n">
        <f aca="false">IF(O$111=0,-Assumptions!$C$29*Assumptions!$E$33/100,0)+IF(AND(O$111&gt;=2,MOD(O$111,2)=0,O$111&lt;=IF($C113=1,$C$5-2,12)),Assumptions!$C$29*Assumptions!$D$33/2,0)+IF($C113=1,IF(O$111=$C$6,Assumptions!$C$29*$C$109,0),IF(O$111=12,Assumptions!$C$29*$E113/100,0))</f>
        <v>437.5</v>
      </c>
      <c r="P113" s="40" t="n">
        <f aca="false">IF(P$111=0,-Assumptions!$C$29*Assumptions!$E$33/100,0)+IF(AND(P$111&gt;=2,MOD(P$111,2)=0,P$111&lt;=IF($C113=1,$C$5-2,12)),Assumptions!$C$29*Assumptions!$D$33/2,0)+IF($C113=1,IF(P$111=$C$6,Assumptions!$C$29*$C$109,0),IF(P$111=12,Assumptions!$C$29*$E113/100,0))</f>
        <v>0</v>
      </c>
      <c r="Q113" s="40" t="n">
        <f aca="false">IF(Q$111=0,-Assumptions!$C$29*Assumptions!$E$33/100,0)+IF(AND(Q$111&gt;=2,MOD(Q$111,2)=0,Q$111&lt;=IF($C113=1,$C$5-2,12)),Assumptions!$C$29*Assumptions!$D$33/2,0)+IF($C113=1,IF(Q$111=$C$6,Assumptions!$C$29*$C$109,0),IF(Q$111=12,Assumptions!$C$29*$E113/100,0))</f>
        <v>437.5</v>
      </c>
      <c r="R113" s="40" t="n">
        <f aca="false">IF(R$111=0,-Assumptions!$C$29*Assumptions!$E$33/100,0)+IF(AND(R$111&gt;=2,MOD(R$111,2)=0,R$111&lt;=IF($C113=1,$C$5-2,12)),Assumptions!$C$29*Assumptions!$D$33/2,0)+IF($C113=1,IF(R$111=$C$6,Assumptions!$C$29*$C$109,0),IF(R$111=12,Assumptions!$C$29*$E113/100,0))</f>
        <v>0</v>
      </c>
      <c r="S113" s="40" t="n">
        <f aca="false">IF(S$111=0,-Assumptions!$C$29*Assumptions!$E$33/100,0)+IF(AND(S$111&gt;=2,MOD(S$111,2)=0,S$111&lt;=IF($C113=1,$C$5-2,12)),Assumptions!$C$29*Assumptions!$D$33/2,0)+IF($C113=1,IF(S$111=$C$6,Assumptions!$C$29*$C$109,0),IF(S$111=12,Assumptions!$C$29*$E113/100,0))</f>
        <v>437.5</v>
      </c>
      <c r="T113" s="40" t="n">
        <f aca="false">IF(T$111=0,-Assumptions!$C$29*Assumptions!$E$33/100,0)+IF(AND(T$111&gt;=2,MOD(T$111,2)=0,T$111&lt;=IF($C113=1,$C$5-2,12)),Assumptions!$C$29*Assumptions!$D$33/2,0)+IF($C113=1,IF(T$111=$C$6,Assumptions!$C$29*$C$109,0),IF(T$111=12,Assumptions!$C$29*$E113/100,0))</f>
        <v>0</v>
      </c>
      <c r="U113" s="40" t="n">
        <f aca="false">IF(U$111=0,-Assumptions!$C$29*Assumptions!$E$33/100,0)+IF(AND(U$111&gt;=2,MOD(U$111,2)=0,U$111&lt;=IF($C113=1,$C$5-2,12)),Assumptions!$C$29*Assumptions!$D$33/2,0)+IF($C113=1,IF(U$111=$C$6,Assumptions!$C$29*$C$109,0),IF(U$111=12,Assumptions!$C$29*$E113/100,0))</f>
        <v>12854.2878432333</v>
      </c>
      <c r="V113" s="40" t="n">
        <f aca="false">IF(V$111=0,-Assumptions!$C$29*Assumptions!$E$33/100,0)+IF(AND(V$111&gt;=2,MOD(V$111,2)=0,V$111&lt;=IF($C113=1,$C$5-2,12)),Assumptions!$C$29*Assumptions!$D$33/2,0)+IF($C113=1,IF(V$111=$C$6,Assumptions!$C$29*$C$109,0),IF(V$111=12,Assumptions!$C$29*$E113/100,0))</f>
        <v>0</v>
      </c>
      <c r="W113" s="40" t="n">
        <f aca="false">IF(W$111=0,-Assumptions!$C$29*Assumptions!$E$33/100,0)+IF(AND(W$111&gt;=2,MOD(W$111,2)=0,W$111&lt;=IF($C113=1,$C$5-2,12)),Assumptions!$C$29*Assumptions!$D$33/2,0)+IF($C113=1,IF(W$111=$C$6,Assumptions!$C$29*$C$109,0),IF(W$111=12,Assumptions!$C$29*$E113/100,0))</f>
        <v>0</v>
      </c>
      <c r="X113" s="40" t="n">
        <f aca="false">IF(X$111=0,-Assumptions!$C$29*Assumptions!$E$33/100,0)+IF(AND(X$111&gt;=2,MOD(X$111,2)=0,X$111&lt;=IF($C113=1,$C$5-2,12)),Assumptions!$C$29*Assumptions!$D$33/2,0)+IF($C113=1,IF(X$111=$C$6,Assumptions!$C$29*$C$109,0),IF(X$111=12,Assumptions!$C$29*$E113/100,0))</f>
        <v>0</v>
      </c>
      <c r="Y113" s="40" t="n">
        <f aca="false">IF(Y$111=0,-Assumptions!$C$29*Assumptions!$E$33/100,0)+IF(AND(Y$111&gt;=2,MOD(Y$111,2)=0,Y$111&lt;=IF($C113=1,$C$5-2,12)),Assumptions!$C$29*Assumptions!$D$33/2,0)+IF($C113=1,IF(Y$111=$C$6,Assumptions!$C$29*$C$109,0),IF(Y$111=12,Assumptions!$C$29*$E113/100,0))</f>
        <v>0</v>
      </c>
    </row>
    <row r="114" customFormat="false" ht="15" hidden="false" customHeight="false" outlineLevel="0" collapsed="false">
      <c r="B114" s="9" t="s">
        <v>49</v>
      </c>
      <c r="C114" s="28" t="n">
        <f aca="false">IF($C$11&lt;=$C$110,1,0)</f>
        <v>0</v>
      </c>
      <c r="D114" s="19" t="n">
        <f aca="false">Assumptions!$F$34</f>
        <v>12250</v>
      </c>
      <c r="E114" s="39" t="n">
        <f aca="false">PV($F114/2,(Assumptions!$C$30*4-12)/2,-Assumptions!$D$34*100/2,-100)</f>
        <v>99.1079856396595</v>
      </c>
      <c r="F114" s="17" t="n">
        <f aca="false">RATE(Assumptions!$C$30*2,Assumptions!$D$34*100/2,-Assumptions!$E$34,100)*2</f>
        <v>0.0773997713205988</v>
      </c>
      <c r="G114" s="26" t="n">
        <f aca="false">SUM(I114:Y114)</f>
        <v>2857.24820495744</v>
      </c>
      <c r="H114" s="17" t="n">
        <f aca="false">(1+IRR(I114:Y114,IF(SUM(I114:Y114)&lt;0,-0.05,0.01)))^4-1</f>
        <v>0.0788974524707193</v>
      </c>
      <c r="I114" s="40" t="n">
        <f aca="false">IF(I$111=0,-Assumptions!$C$29*Assumptions!$E$34/100,0)+IF(AND(I$111&gt;=2,MOD(I$111,2)=0,I$111&lt;=IF($C114=1,$C$5-2,12)),Assumptions!$C$29*Assumptions!$D$34/2,0)+IF($C114=1,IF(I$111=$C$6,Assumptions!$C$29*$C$109,0),IF(I$111=12,Assumptions!$C$29*$E114/100,0))</f>
        <v>-12250</v>
      </c>
      <c r="J114" s="40" t="n">
        <f aca="false">IF(J$111=0,-Assumptions!$C$29*Assumptions!$E$34/100,0)+IF(AND(J$111&gt;=2,MOD(J$111,2)=0,J$111&lt;=IF($C114=1,$C$5-2,12)),Assumptions!$C$29*Assumptions!$D$34/2,0)+IF($C114=1,IF(J$111=$C$6,Assumptions!$C$29*$C$109,0),IF(J$111=12,Assumptions!$C$29*$E114/100,0))</f>
        <v>0</v>
      </c>
      <c r="K114" s="40" t="n">
        <f aca="false">IF(K$111=0,-Assumptions!$C$29*Assumptions!$E$34/100,0)+IF(AND(K$111&gt;=2,MOD(K$111,2)=0,K$111&lt;=IF($C114=1,$C$5-2,12)),Assumptions!$C$29*Assumptions!$D$34/2,0)+IF($C114=1,IF(K$111=$C$6,Assumptions!$C$29*$C$109,0),IF(K$111=12,Assumptions!$C$29*$E114/100,0))</f>
        <v>453.125</v>
      </c>
      <c r="L114" s="40" t="n">
        <f aca="false">IF(L$111=0,-Assumptions!$C$29*Assumptions!$E$34/100,0)+IF(AND(L$111&gt;=2,MOD(L$111,2)=0,L$111&lt;=IF($C114=1,$C$5-2,12)),Assumptions!$C$29*Assumptions!$D$34/2,0)+IF($C114=1,IF(L$111=$C$6,Assumptions!$C$29*$C$109,0),IF(L$111=12,Assumptions!$C$29*$E114/100,0))</f>
        <v>0</v>
      </c>
      <c r="M114" s="40" t="n">
        <f aca="false">IF(M$111=0,-Assumptions!$C$29*Assumptions!$E$34/100,0)+IF(AND(M$111&gt;=2,MOD(M$111,2)=0,M$111&lt;=IF($C114=1,$C$5-2,12)),Assumptions!$C$29*Assumptions!$D$34/2,0)+IF($C114=1,IF(M$111=$C$6,Assumptions!$C$29*$C$109,0),IF(M$111=12,Assumptions!$C$29*$E114/100,0))</f>
        <v>453.125</v>
      </c>
      <c r="N114" s="40" t="n">
        <f aca="false">IF(N$111=0,-Assumptions!$C$29*Assumptions!$E$34/100,0)+IF(AND(N$111&gt;=2,MOD(N$111,2)=0,N$111&lt;=IF($C114=1,$C$5-2,12)),Assumptions!$C$29*Assumptions!$D$34/2,0)+IF($C114=1,IF(N$111=$C$6,Assumptions!$C$29*$C$109,0),IF(N$111=12,Assumptions!$C$29*$E114/100,0))</f>
        <v>0</v>
      </c>
      <c r="O114" s="40" t="n">
        <f aca="false">IF(O$111=0,-Assumptions!$C$29*Assumptions!$E$34/100,0)+IF(AND(O$111&gt;=2,MOD(O$111,2)=0,O$111&lt;=IF($C114=1,$C$5-2,12)),Assumptions!$C$29*Assumptions!$D$34/2,0)+IF($C114=1,IF(O$111=$C$6,Assumptions!$C$29*$C$109,0),IF(O$111=12,Assumptions!$C$29*$E114/100,0))</f>
        <v>453.125</v>
      </c>
      <c r="P114" s="40" t="n">
        <f aca="false">IF(P$111=0,-Assumptions!$C$29*Assumptions!$E$34/100,0)+IF(AND(P$111&gt;=2,MOD(P$111,2)=0,P$111&lt;=IF($C114=1,$C$5-2,12)),Assumptions!$C$29*Assumptions!$D$34/2,0)+IF($C114=1,IF(P$111=$C$6,Assumptions!$C$29*$C$109,0),IF(P$111=12,Assumptions!$C$29*$E114/100,0))</f>
        <v>0</v>
      </c>
      <c r="Q114" s="40" t="n">
        <f aca="false">IF(Q$111=0,-Assumptions!$C$29*Assumptions!$E$34/100,0)+IF(AND(Q$111&gt;=2,MOD(Q$111,2)=0,Q$111&lt;=IF($C114=1,$C$5-2,12)),Assumptions!$C$29*Assumptions!$D$34/2,0)+IF($C114=1,IF(Q$111=$C$6,Assumptions!$C$29*$C$109,0),IF(Q$111=12,Assumptions!$C$29*$E114/100,0))</f>
        <v>453.125</v>
      </c>
      <c r="R114" s="40" t="n">
        <f aca="false">IF(R$111=0,-Assumptions!$C$29*Assumptions!$E$34/100,0)+IF(AND(R$111&gt;=2,MOD(R$111,2)=0,R$111&lt;=IF($C114=1,$C$5-2,12)),Assumptions!$C$29*Assumptions!$D$34/2,0)+IF($C114=1,IF(R$111=$C$6,Assumptions!$C$29*$C$109,0),IF(R$111=12,Assumptions!$C$29*$E114/100,0))</f>
        <v>0</v>
      </c>
      <c r="S114" s="40" t="n">
        <f aca="false">IF(S$111=0,-Assumptions!$C$29*Assumptions!$E$34/100,0)+IF(AND(S$111&gt;=2,MOD(S$111,2)=0,S$111&lt;=IF($C114=1,$C$5-2,12)),Assumptions!$C$29*Assumptions!$D$34/2,0)+IF($C114=1,IF(S$111=$C$6,Assumptions!$C$29*$C$109,0),IF(S$111=12,Assumptions!$C$29*$E114/100,0))</f>
        <v>453.125</v>
      </c>
      <c r="T114" s="40" t="n">
        <f aca="false">IF(T$111=0,-Assumptions!$C$29*Assumptions!$E$34/100,0)+IF(AND(T$111&gt;=2,MOD(T$111,2)=0,T$111&lt;=IF($C114=1,$C$5-2,12)),Assumptions!$C$29*Assumptions!$D$34/2,0)+IF($C114=1,IF(T$111=$C$6,Assumptions!$C$29*$C$109,0),IF(T$111=12,Assumptions!$C$29*$E114/100,0))</f>
        <v>0</v>
      </c>
      <c r="U114" s="40" t="n">
        <f aca="false">IF(U$111=0,-Assumptions!$C$29*Assumptions!$E$34/100,0)+IF(AND(U$111&gt;=2,MOD(U$111,2)=0,U$111&lt;=IF($C114=1,$C$5-2,12)),Assumptions!$C$29*Assumptions!$D$34/2,0)+IF($C114=1,IF(U$111=$C$6,Assumptions!$C$29*$C$109,0),IF(U$111=12,Assumptions!$C$29*$E114/100,0))</f>
        <v>12841.6232049574</v>
      </c>
      <c r="V114" s="40" t="n">
        <f aca="false">IF(V$111=0,-Assumptions!$C$29*Assumptions!$E$34/100,0)+IF(AND(V$111&gt;=2,MOD(V$111,2)=0,V$111&lt;=IF($C114=1,$C$5-2,12)),Assumptions!$C$29*Assumptions!$D$34/2,0)+IF($C114=1,IF(V$111=$C$6,Assumptions!$C$29*$C$109,0),IF(V$111=12,Assumptions!$C$29*$E114/100,0))</f>
        <v>0</v>
      </c>
      <c r="W114" s="40" t="n">
        <f aca="false">IF(W$111=0,-Assumptions!$C$29*Assumptions!$E$34/100,0)+IF(AND(W$111&gt;=2,MOD(W$111,2)=0,W$111&lt;=IF($C114=1,$C$5-2,12)),Assumptions!$C$29*Assumptions!$D$34/2,0)+IF($C114=1,IF(W$111=$C$6,Assumptions!$C$29*$C$109,0),IF(W$111=12,Assumptions!$C$29*$E114/100,0))</f>
        <v>0</v>
      </c>
      <c r="X114" s="40" t="n">
        <f aca="false">IF(X$111=0,-Assumptions!$C$29*Assumptions!$E$34/100,0)+IF(AND(X$111&gt;=2,MOD(X$111,2)=0,X$111&lt;=IF($C114=1,$C$5-2,12)),Assumptions!$C$29*Assumptions!$D$34/2,0)+IF($C114=1,IF(X$111=$C$6,Assumptions!$C$29*$C$109,0),IF(X$111=12,Assumptions!$C$29*$E114/100,0))</f>
        <v>0</v>
      </c>
      <c r="Y114" s="40" t="n">
        <f aca="false">IF(Y$111=0,-Assumptions!$C$29*Assumptions!$E$34/100,0)+IF(AND(Y$111&gt;=2,MOD(Y$111,2)=0,Y$111&lt;=IF($C114=1,$C$5-2,12)),Assumptions!$C$29*Assumptions!$D$34/2,0)+IF($C114=1,IF(Y$111=$C$6,Assumptions!$C$29*$C$109,0),IF(Y$111=12,Assumptions!$C$29*$E114/100,0))</f>
        <v>0</v>
      </c>
    </row>
    <row r="115" customFormat="false" ht="15" hidden="false" customHeight="false" outlineLevel="0" collapsed="false">
      <c r="B115" s="9" t="s">
        <v>50</v>
      </c>
      <c r="C115" s="28" t="n">
        <f aca="false">IF($C$12&lt;=$C$110,1,0)</f>
        <v>0</v>
      </c>
      <c r="D115" s="19" t="n">
        <f aca="false">Assumptions!$F$35</f>
        <v>12187.5</v>
      </c>
      <c r="E115" s="39" t="n">
        <f aca="false">PV($F115/2,(Assumptions!$C$30*4-12)/2,-Assumptions!$D$35*100/2,-100)</f>
        <v>98.8794329841845</v>
      </c>
      <c r="F115" s="17" t="n">
        <f aca="false">RATE(Assumptions!$C$30*2,Assumptions!$D$35*100/2,-Assumptions!$E$35,100)*2</f>
        <v>0.0811827080590467</v>
      </c>
      <c r="G115" s="26" t="n">
        <f aca="false">SUM(I115:Y115)</f>
        <v>2984.92912302306</v>
      </c>
      <c r="H115" s="17" t="n">
        <f aca="false">(1+IRR(I115:Y115,IF(SUM(I115:Y115)&lt;0,-0.05,0.01)))^4-1</f>
        <v>0.0828303660809961</v>
      </c>
      <c r="I115" s="40" t="n">
        <f aca="false">IF(I$111=0,-Assumptions!$C$29*Assumptions!$E$35/100,0)+IF(AND(I$111&gt;=2,MOD(I$111,2)=0,I$111&lt;=IF($C115=1,$C$5-2,12)),Assumptions!$C$29*Assumptions!$D$35/2,0)+IF($C115=1,IF(I$111=$C$6,Assumptions!$C$29*$C$109,0),IF(I$111=12,Assumptions!$C$29*$E115/100,0))</f>
        <v>-12187.5</v>
      </c>
      <c r="J115" s="40" t="n">
        <f aca="false">IF(J$111=0,-Assumptions!$C$29*Assumptions!$E$35/100,0)+IF(AND(J$111&gt;=2,MOD(J$111,2)=0,J$111&lt;=IF($C115=1,$C$5-2,12)),Assumptions!$C$29*Assumptions!$D$35/2,0)+IF($C115=1,IF(J$111=$C$6,Assumptions!$C$29*$C$109,0),IF(J$111=12,Assumptions!$C$29*$E115/100,0))</f>
        <v>0</v>
      </c>
      <c r="K115" s="40" t="n">
        <f aca="false">IF(K$111=0,-Assumptions!$C$29*Assumptions!$E$35/100,0)+IF(AND(K$111&gt;=2,MOD(K$111,2)=0,K$111&lt;=IF($C115=1,$C$5-2,12)),Assumptions!$C$29*Assumptions!$D$35/2,0)+IF($C115=1,IF(K$111=$C$6,Assumptions!$C$29*$C$109,0),IF(K$111=12,Assumptions!$C$29*$E115/100,0))</f>
        <v>468.75</v>
      </c>
      <c r="L115" s="40" t="n">
        <f aca="false">IF(L$111=0,-Assumptions!$C$29*Assumptions!$E$35/100,0)+IF(AND(L$111&gt;=2,MOD(L$111,2)=0,L$111&lt;=IF($C115=1,$C$5-2,12)),Assumptions!$C$29*Assumptions!$D$35/2,0)+IF($C115=1,IF(L$111=$C$6,Assumptions!$C$29*$C$109,0),IF(L$111=12,Assumptions!$C$29*$E115/100,0))</f>
        <v>0</v>
      </c>
      <c r="M115" s="40" t="n">
        <f aca="false">IF(M$111=0,-Assumptions!$C$29*Assumptions!$E$35/100,0)+IF(AND(M$111&gt;=2,MOD(M$111,2)=0,M$111&lt;=IF($C115=1,$C$5-2,12)),Assumptions!$C$29*Assumptions!$D$35/2,0)+IF($C115=1,IF(M$111=$C$6,Assumptions!$C$29*$C$109,0),IF(M$111=12,Assumptions!$C$29*$E115/100,0))</f>
        <v>468.75</v>
      </c>
      <c r="N115" s="40" t="n">
        <f aca="false">IF(N$111=0,-Assumptions!$C$29*Assumptions!$E$35/100,0)+IF(AND(N$111&gt;=2,MOD(N$111,2)=0,N$111&lt;=IF($C115=1,$C$5-2,12)),Assumptions!$C$29*Assumptions!$D$35/2,0)+IF($C115=1,IF(N$111=$C$6,Assumptions!$C$29*$C$109,0),IF(N$111=12,Assumptions!$C$29*$E115/100,0))</f>
        <v>0</v>
      </c>
      <c r="O115" s="40" t="n">
        <f aca="false">IF(O$111=0,-Assumptions!$C$29*Assumptions!$E$35/100,0)+IF(AND(O$111&gt;=2,MOD(O$111,2)=0,O$111&lt;=IF($C115=1,$C$5-2,12)),Assumptions!$C$29*Assumptions!$D$35/2,0)+IF($C115=1,IF(O$111=$C$6,Assumptions!$C$29*$C$109,0),IF(O$111=12,Assumptions!$C$29*$E115/100,0))</f>
        <v>468.75</v>
      </c>
      <c r="P115" s="40" t="n">
        <f aca="false">IF(P$111=0,-Assumptions!$C$29*Assumptions!$E$35/100,0)+IF(AND(P$111&gt;=2,MOD(P$111,2)=0,P$111&lt;=IF($C115=1,$C$5-2,12)),Assumptions!$C$29*Assumptions!$D$35/2,0)+IF($C115=1,IF(P$111=$C$6,Assumptions!$C$29*$C$109,0),IF(P$111=12,Assumptions!$C$29*$E115/100,0))</f>
        <v>0</v>
      </c>
      <c r="Q115" s="40" t="n">
        <f aca="false">IF(Q$111=0,-Assumptions!$C$29*Assumptions!$E$35/100,0)+IF(AND(Q$111&gt;=2,MOD(Q$111,2)=0,Q$111&lt;=IF($C115=1,$C$5-2,12)),Assumptions!$C$29*Assumptions!$D$35/2,0)+IF($C115=1,IF(Q$111=$C$6,Assumptions!$C$29*$C$109,0),IF(Q$111=12,Assumptions!$C$29*$E115/100,0))</f>
        <v>468.75</v>
      </c>
      <c r="R115" s="40" t="n">
        <f aca="false">IF(R$111=0,-Assumptions!$C$29*Assumptions!$E$35/100,0)+IF(AND(R$111&gt;=2,MOD(R$111,2)=0,R$111&lt;=IF($C115=1,$C$5-2,12)),Assumptions!$C$29*Assumptions!$D$35/2,0)+IF($C115=1,IF(R$111=$C$6,Assumptions!$C$29*$C$109,0),IF(R$111=12,Assumptions!$C$29*$E115/100,0))</f>
        <v>0</v>
      </c>
      <c r="S115" s="40" t="n">
        <f aca="false">IF(S$111=0,-Assumptions!$C$29*Assumptions!$E$35/100,0)+IF(AND(S$111&gt;=2,MOD(S$111,2)=0,S$111&lt;=IF($C115=1,$C$5-2,12)),Assumptions!$C$29*Assumptions!$D$35/2,0)+IF($C115=1,IF(S$111=$C$6,Assumptions!$C$29*$C$109,0),IF(S$111=12,Assumptions!$C$29*$E115/100,0))</f>
        <v>468.75</v>
      </c>
      <c r="T115" s="40" t="n">
        <f aca="false">IF(T$111=0,-Assumptions!$C$29*Assumptions!$E$35/100,0)+IF(AND(T$111&gt;=2,MOD(T$111,2)=0,T$111&lt;=IF($C115=1,$C$5-2,12)),Assumptions!$C$29*Assumptions!$D$35/2,0)+IF($C115=1,IF(T$111=$C$6,Assumptions!$C$29*$C$109,0),IF(T$111=12,Assumptions!$C$29*$E115/100,0))</f>
        <v>0</v>
      </c>
      <c r="U115" s="40" t="n">
        <f aca="false">IF(U$111=0,-Assumptions!$C$29*Assumptions!$E$35/100,0)+IF(AND(U$111&gt;=2,MOD(U$111,2)=0,U$111&lt;=IF($C115=1,$C$5-2,12)),Assumptions!$C$29*Assumptions!$D$35/2,0)+IF($C115=1,IF(U$111=$C$6,Assumptions!$C$29*$C$109,0),IF(U$111=12,Assumptions!$C$29*$E115/100,0))</f>
        <v>12828.6791230231</v>
      </c>
      <c r="V115" s="40" t="n">
        <f aca="false">IF(V$111=0,-Assumptions!$C$29*Assumptions!$E$35/100,0)+IF(AND(V$111&gt;=2,MOD(V$111,2)=0,V$111&lt;=IF($C115=1,$C$5-2,12)),Assumptions!$C$29*Assumptions!$D$35/2,0)+IF($C115=1,IF(V$111=$C$6,Assumptions!$C$29*$C$109,0),IF(V$111=12,Assumptions!$C$29*$E115/100,0))</f>
        <v>0</v>
      </c>
      <c r="W115" s="40" t="n">
        <f aca="false">IF(W$111=0,-Assumptions!$C$29*Assumptions!$E$35/100,0)+IF(AND(W$111&gt;=2,MOD(W$111,2)=0,W$111&lt;=IF($C115=1,$C$5-2,12)),Assumptions!$C$29*Assumptions!$D$35/2,0)+IF($C115=1,IF(W$111=$C$6,Assumptions!$C$29*$C$109,0),IF(W$111=12,Assumptions!$C$29*$E115/100,0))</f>
        <v>0</v>
      </c>
      <c r="X115" s="40" t="n">
        <f aca="false">IF(X$111=0,-Assumptions!$C$29*Assumptions!$E$35/100,0)+IF(AND(X$111&gt;=2,MOD(X$111,2)=0,X$111&lt;=IF($C115=1,$C$5-2,12)),Assumptions!$C$29*Assumptions!$D$35/2,0)+IF($C115=1,IF(X$111=$C$6,Assumptions!$C$29*$C$109,0),IF(X$111=12,Assumptions!$C$29*$E115/100,0))</f>
        <v>0</v>
      </c>
      <c r="Y115" s="40" t="n">
        <f aca="false">IF(Y$111=0,-Assumptions!$C$29*Assumptions!$E$35/100,0)+IF(AND(Y$111&gt;=2,MOD(Y$111,2)=0,Y$111&lt;=IF($C115=1,$C$5-2,12)),Assumptions!$C$29*Assumptions!$D$35/2,0)+IF($C115=1,IF(Y$111=$C$6,Assumptions!$C$29*$C$109,0),IF(Y$111=12,Assumptions!$C$29*$E115/100,0))</f>
        <v>0</v>
      </c>
    </row>
    <row r="116" customFormat="false" ht="15" hidden="false" customHeight="false" outlineLevel="0" collapsed="false">
      <c r="B116" s="9" t="s">
        <v>51</v>
      </c>
      <c r="C116" s="28" t="n">
        <f aca="false">IF($C$13&lt;=$C$110,1,0)</f>
        <v>1</v>
      </c>
      <c r="D116" s="19" t="n">
        <f aca="false">Assumptions!$F$36</f>
        <v>12125</v>
      </c>
      <c r="E116" s="39" t="n">
        <f aca="false">PV($F116/2,(Assumptions!$C$30*4-12)/2,-Assumptions!$D$36*100/2,-100)</f>
        <v>98.6441572961372</v>
      </c>
      <c r="F116" s="17" t="n">
        <f aca="false">RATE(Assumptions!$C$30*2,Assumptions!$D$36*100/2,-Assumptions!$E$36,100)*2</f>
        <v>0.0875368825411204</v>
      </c>
      <c r="G116" s="26" t="n">
        <f aca="false">SUM(I116:Y116)</f>
        <v>-6125</v>
      </c>
      <c r="H116" s="17" t="n">
        <f aca="false">(1+IRR(I116:Y116,IF(SUM(I116:Y116)&lt;0,-0.05,0.01)))^4-1</f>
        <v>-0.266722541760838</v>
      </c>
      <c r="I116" s="40" t="n">
        <f aca="false">IF(I$111=0,-Assumptions!$C$29*Assumptions!$E$36/100,0)+IF(AND(I$111&gt;=2,MOD(I$111,2)=0,I$111&lt;=IF($C116=1,$C$5-2,12)),Assumptions!$C$29*Assumptions!$D$36/2,0)+IF($C116=1,IF(I$111=$C$6,Assumptions!$C$29*$C$109,0),IF(I$111=12,Assumptions!$C$29*$E116/100,0))</f>
        <v>-12125</v>
      </c>
      <c r="J116" s="40" t="n">
        <f aca="false">IF(J$111=0,-Assumptions!$C$29*Assumptions!$E$36/100,0)+IF(AND(J$111&gt;=2,MOD(J$111,2)=0,J$111&lt;=IF($C116=1,$C$5-2,12)),Assumptions!$C$29*Assumptions!$D$36/2,0)+IF($C116=1,IF(J$111=$C$6,Assumptions!$C$29*$C$109,0),IF(J$111=12,Assumptions!$C$29*$E116/100,0))</f>
        <v>0</v>
      </c>
      <c r="K116" s="40" t="n">
        <f aca="false">IF(K$111=0,-Assumptions!$C$29*Assumptions!$E$36/100,0)+IF(AND(K$111&gt;=2,MOD(K$111,2)=0,K$111&lt;=IF($C116=1,$C$5-2,12)),Assumptions!$C$29*Assumptions!$D$36/2,0)+IF($C116=1,IF(K$111=$C$6,Assumptions!$C$29*$C$109,0),IF(K$111=12,Assumptions!$C$29*$E116/100,0))</f>
        <v>500</v>
      </c>
      <c r="L116" s="40" t="n">
        <f aca="false">IF(L$111=0,-Assumptions!$C$29*Assumptions!$E$36/100,0)+IF(AND(L$111&gt;=2,MOD(L$111,2)=0,L$111&lt;=IF($C116=1,$C$5-2,12)),Assumptions!$C$29*Assumptions!$D$36/2,0)+IF($C116=1,IF(L$111=$C$6,Assumptions!$C$29*$C$109,0),IF(L$111=12,Assumptions!$C$29*$E116/100,0))</f>
        <v>0</v>
      </c>
      <c r="M116" s="40" t="n">
        <f aca="false">IF(M$111=0,-Assumptions!$C$29*Assumptions!$E$36/100,0)+IF(AND(M$111&gt;=2,MOD(M$111,2)=0,M$111&lt;=IF($C116=1,$C$5-2,12)),Assumptions!$C$29*Assumptions!$D$36/2,0)+IF($C116=1,IF(M$111=$C$6,Assumptions!$C$29*$C$109,0),IF(M$111=12,Assumptions!$C$29*$E116/100,0))</f>
        <v>500</v>
      </c>
      <c r="N116" s="40" t="n">
        <f aca="false">IF(N$111=0,-Assumptions!$C$29*Assumptions!$E$36/100,0)+IF(AND(N$111&gt;=2,MOD(N$111,2)=0,N$111&lt;=IF($C116=1,$C$5-2,12)),Assumptions!$C$29*Assumptions!$D$36/2,0)+IF($C116=1,IF(N$111=$C$6,Assumptions!$C$29*$C$109,0),IF(N$111=12,Assumptions!$C$29*$E116/100,0))</f>
        <v>0</v>
      </c>
      <c r="O116" s="40" t="n">
        <f aca="false">IF(O$111=0,-Assumptions!$C$29*Assumptions!$E$36/100,0)+IF(AND(O$111&gt;=2,MOD(O$111,2)=0,O$111&lt;=IF($C116=1,$C$5-2,12)),Assumptions!$C$29*Assumptions!$D$36/2,0)+IF($C116=1,IF(O$111=$C$6,Assumptions!$C$29*$C$109,0),IF(O$111=12,Assumptions!$C$29*$E116/100,0))</f>
        <v>0</v>
      </c>
      <c r="P116" s="40" t="n">
        <f aca="false">IF(P$111=0,-Assumptions!$C$29*Assumptions!$E$36/100,0)+IF(AND(P$111&gt;=2,MOD(P$111,2)=0,P$111&lt;=IF($C116=1,$C$5-2,12)),Assumptions!$C$29*Assumptions!$D$36/2,0)+IF($C116=1,IF(P$111=$C$6,Assumptions!$C$29*$C$109,0),IF(P$111=12,Assumptions!$C$29*$E116/100,0))</f>
        <v>0</v>
      </c>
      <c r="Q116" s="40" t="n">
        <f aca="false">IF(Q$111=0,-Assumptions!$C$29*Assumptions!$E$36/100,0)+IF(AND(Q$111&gt;=2,MOD(Q$111,2)=0,Q$111&lt;=IF($C116=1,$C$5-2,12)),Assumptions!$C$29*Assumptions!$D$36/2,0)+IF($C116=1,IF(Q$111=$C$6,Assumptions!$C$29*$C$109,0),IF(Q$111=12,Assumptions!$C$29*$E116/100,0))</f>
        <v>0</v>
      </c>
      <c r="R116" s="40" t="n">
        <f aca="false">IF(R$111=0,-Assumptions!$C$29*Assumptions!$E$36/100,0)+IF(AND(R$111&gt;=2,MOD(R$111,2)=0,R$111&lt;=IF($C116=1,$C$5-2,12)),Assumptions!$C$29*Assumptions!$D$36/2,0)+IF($C116=1,IF(R$111=$C$6,Assumptions!$C$29*$C$109,0),IF(R$111=12,Assumptions!$C$29*$E116/100,0))</f>
        <v>0</v>
      </c>
      <c r="S116" s="40" t="n">
        <f aca="false">IF(S$111=0,-Assumptions!$C$29*Assumptions!$E$36/100,0)+IF(AND(S$111&gt;=2,MOD(S$111,2)=0,S$111&lt;=IF($C116=1,$C$5-2,12)),Assumptions!$C$29*Assumptions!$D$36/2,0)+IF($C116=1,IF(S$111=$C$6,Assumptions!$C$29*$C$109,0),IF(S$111=12,Assumptions!$C$29*$E116/100,0))</f>
        <v>5000</v>
      </c>
      <c r="T116" s="40" t="n">
        <f aca="false">IF(T$111=0,-Assumptions!$C$29*Assumptions!$E$36/100,0)+IF(AND(T$111&gt;=2,MOD(T$111,2)=0,T$111&lt;=IF($C116=1,$C$5-2,12)),Assumptions!$C$29*Assumptions!$D$36/2,0)+IF($C116=1,IF(T$111=$C$6,Assumptions!$C$29*$C$109,0),IF(T$111=12,Assumptions!$C$29*$E116/100,0))</f>
        <v>0</v>
      </c>
      <c r="U116" s="40" t="n">
        <f aca="false">IF(U$111=0,-Assumptions!$C$29*Assumptions!$E$36/100,0)+IF(AND(U$111&gt;=2,MOD(U$111,2)=0,U$111&lt;=IF($C116=1,$C$5-2,12)),Assumptions!$C$29*Assumptions!$D$36/2,0)+IF($C116=1,IF(U$111=$C$6,Assumptions!$C$29*$C$109,0),IF(U$111=12,Assumptions!$C$29*$E116/100,0))</f>
        <v>0</v>
      </c>
      <c r="V116" s="40" t="n">
        <f aca="false">IF(V$111=0,-Assumptions!$C$29*Assumptions!$E$36/100,0)+IF(AND(V$111&gt;=2,MOD(V$111,2)=0,V$111&lt;=IF($C116=1,$C$5-2,12)),Assumptions!$C$29*Assumptions!$D$36/2,0)+IF($C116=1,IF(V$111=$C$6,Assumptions!$C$29*$C$109,0),IF(V$111=12,Assumptions!$C$29*$E116/100,0))</f>
        <v>0</v>
      </c>
      <c r="W116" s="40" t="n">
        <f aca="false">IF(W$111=0,-Assumptions!$C$29*Assumptions!$E$36/100,0)+IF(AND(W$111&gt;=2,MOD(W$111,2)=0,W$111&lt;=IF($C116=1,$C$5-2,12)),Assumptions!$C$29*Assumptions!$D$36/2,0)+IF($C116=1,IF(W$111=$C$6,Assumptions!$C$29*$C$109,0),IF(W$111=12,Assumptions!$C$29*$E116/100,0))</f>
        <v>0</v>
      </c>
      <c r="X116" s="40" t="n">
        <f aca="false">IF(X$111=0,-Assumptions!$C$29*Assumptions!$E$36/100,0)+IF(AND(X$111&gt;=2,MOD(X$111,2)=0,X$111&lt;=IF($C116=1,$C$5-2,12)),Assumptions!$C$29*Assumptions!$D$36/2,0)+IF($C116=1,IF(X$111=$C$6,Assumptions!$C$29*$C$109,0),IF(X$111=12,Assumptions!$C$29*$E116/100,0))</f>
        <v>0</v>
      </c>
      <c r="Y116" s="40" t="n">
        <f aca="false">IF(Y$111=0,-Assumptions!$C$29*Assumptions!$E$36/100,0)+IF(AND(Y$111&gt;=2,MOD(Y$111,2)=0,Y$111&lt;=IF($C116=1,$C$5-2,12)),Assumptions!$C$29*Assumptions!$D$36/2,0)+IF($C116=1,IF(Y$111=$C$6,Assumptions!$C$29*$C$109,0),IF(Y$111=12,Assumptions!$C$29*$E116/100,0))</f>
        <v>0</v>
      </c>
    </row>
    <row r="117" customFormat="false" ht="15" hidden="false" customHeight="false" outlineLevel="0" collapsed="false">
      <c r="B117" s="9" t="s">
        <v>52</v>
      </c>
      <c r="C117" s="28" t="n">
        <f aca="false">IF($C$14&lt;=$C$110,1,0)</f>
        <v>1</v>
      </c>
      <c r="D117" s="19" t="n">
        <f aca="false">Assumptions!$F$37</f>
        <v>11750</v>
      </c>
      <c r="E117" s="39" t="n">
        <f aca="false">PV($F117/2,(Assumptions!$C$30*4-12)/2,-Assumptions!$D$37*100/2,-100)</f>
        <v>97.2427387979842</v>
      </c>
      <c r="F117" s="17" t="n">
        <f aca="false">RATE(Assumptions!$C$30*2,Assumptions!$D$37*100/2,-Assumptions!$E$37,100)*2</f>
        <v>0.100561753609911</v>
      </c>
      <c r="G117" s="26" t="n">
        <f aca="false">SUM(I117:Y117)</f>
        <v>-5687.5</v>
      </c>
      <c r="H117" s="17" t="n">
        <f aca="false">(1+IRR(I117:Y117,IF(SUM(I117:Y117)&lt;0,-0.05,0.01)))^4-1</f>
        <v>-0.254569160102313</v>
      </c>
      <c r="I117" s="40" t="n">
        <f aca="false">IF(I$111=0,-Assumptions!$C$29*Assumptions!$E$37/100,0)+IF(AND(I$111&gt;=2,MOD(I$111,2)=0,I$111&lt;=IF($C117=1,$C$5-2,12)),Assumptions!$C$29*Assumptions!$D$37/2,0)+IF($C117=1,IF(I$111=$C$6,Assumptions!$C$29*$C$109,0),IF(I$111=12,Assumptions!$C$29*$E117/100,0))</f>
        <v>-11750</v>
      </c>
      <c r="J117" s="40" t="n">
        <f aca="false">IF(J$111=0,-Assumptions!$C$29*Assumptions!$E$37/100,0)+IF(AND(J$111&gt;=2,MOD(J$111,2)=0,J$111&lt;=IF($C117=1,$C$5-2,12)),Assumptions!$C$29*Assumptions!$D$37/2,0)+IF($C117=1,IF(J$111=$C$6,Assumptions!$C$29*$C$109,0),IF(J$111=12,Assumptions!$C$29*$E117/100,0))</f>
        <v>0</v>
      </c>
      <c r="K117" s="40" t="n">
        <f aca="false">IF(K$111=0,-Assumptions!$C$29*Assumptions!$E$37/100,0)+IF(AND(K$111&gt;=2,MOD(K$111,2)=0,K$111&lt;=IF($C117=1,$C$5-2,12)),Assumptions!$C$29*Assumptions!$D$37/2,0)+IF($C117=1,IF(K$111=$C$6,Assumptions!$C$29*$C$109,0),IF(K$111=12,Assumptions!$C$29*$E117/100,0))</f>
        <v>531.25</v>
      </c>
      <c r="L117" s="40" t="n">
        <f aca="false">IF(L$111=0,-Assumptions!$C$29*Assumptions!$E$37/100,0)+IF(AND(L$111&gt;=2,MOD(L$111,2)=0,L$111&lt;=IF($C117=1,$C$5-2,12)),Assumptions!$C$29*Assumptions!$D$37/2,0)+IF($C117=1,IF(L$111=$C$6,Assumptions!$C$29*$C$109,0),IF(L$111=12,Assumptions!$C$29*$E117/100,0))</f>
        <v>0</v>
      </c>
      <c r="M117" s="40" t="n">
        <f aca="false">IF(M$111=0,-Assumptions!$C$29*Assumptions!$E$37/100,0)+IF(AND(M$111&gt;=2,MOD(M$111,2)=0,M$111&lt;=IF($C117=1,$C$5-2,12)),Assumptions!$C$29*Assumptions!$D$37/2,0)+IF($C117=1,IF(M$111=$C$6,Assumptions!$C$29*$C$109,0),IF(M$111=12,Assumptions!$C$29*$E117/100,0))</f>
        <v>531.25</v>
      </c>
      <c r="N117" s="40" t="n">
        <f aca="false">IF(N$111=0,-Assumptions!$C$29*Assumptions!$E$37/100,0)+IF(AND(N$111&gt;=2,MOD(N$111,2)=0,N$111&lt;=IF($C117=1,$C$5-2,12)),Assumptions!$C$29*Assumptions!$D$37/2,0)+IF($C117=1,IF(N$111=$C$6,Assumptions!$C$29*$C$109,0),IF(N$111=12,Assumptions!$C$29*$E117/100,0))</f>
        <v>0</v>
      </c>
      <c r="O117" s="40" t="n">
        <f aca="false">IF(O$111=0,-Assumptions!$C$29*Assumptions!$E$37/100,0)+IF(AND(O$111&gt;=2,MOD(O$111,2)=0,O$111&lt;=IF($C117=1,$C$5-2,12)),Assumptions!$C$29*Assumptions!$D$37/2,0)+IF($C117=1,IF(O$111=$C$6,Assumptions!$C$29*$C$109,0),IF(O$111=12,Assumptions!$C$29*$E117/100,0))</f>
        <v>0</v>
      </c>
      <c r="P117" s="40" t="n">
        <f aca="false">IF(P$111=0,-Assumptions!$C$29*Assumptions!$E$37/100,0)+IF(AND(P$111&gt;=2,MOD(P$111,2)=0,P$111&lt;=IF($C117=1,$C$5-2,12)),Assumptions!$C$29*Assumptions!$D$37/2,0)+IF($C117=1,IF(P$111=$C$6,Assumptions!$C$29*$C$109,0),IF(P$111=12,Assumptions!$C$29*$E117/100,0))</f>
        <v>0</v>
      </c>
      <c r="Q117" s="40" t="n">
        <f aca="false">IF(Q$111=0,-Assumptions!$C$29*Assumptions!$E$37/100,0)+IF(AND(Q$111&gt;=2,MOD(Q$111,2)=0,Q$111&lt;=IF($C117=1,$C$5-2,12)),Assumptions!$C$29*Assumptions!$D$37/2,0)+IF($C117=1,IF(Q$111=$C$6,Assumptions!$C$29*$C$109,0),IF(Q$111=12,Assumptions!$C$29*$E117/100,0))</f>
        <v>0</v>
      </c>
      <c r="R117" s="40" t="n">
        <f aca="false">IF(R$111=0,-Assumptions!$C$29*Assumptions!$E$37/100,0)+IF(AND(R$111&gt;=2,MOD(R$111,2)=0,R$111&lt;=IF($C117=1,$C$5-2,12)),Assumptions!$C$29*Assumptions!$D$37/2,0)+IF($C117=1,IF(R$111=$C$6,Assumptions!$C$29*$C$109,0),IF(R$111=12,Assumptions!$C$29*$E117/100,0))</f>
        <v>0</v>
      </c>
      <c r="S117" s="40" t="n">
        <f aca="false">IF(S$111=0,-Assumptions!$C$29*Assumptions!$E$37/100,0)+IF(AND(S$111&gt;=2,MOD(S$111,2)=0,S$111&lt;=IF($C117=1,$C$5-2,12)),Assumptions!$C$29*Assumptions!$D$37/2,0)+IF($C117=1,IF(S$111=$C$6,Assumptions!$C$29*$C$109,0),IF(S$111=12,Assumptions!$C$29*$E117/100,0))</f>
        <v>5000</v>
      </c>
      <c r="T117" s="40" t="n">
        <f aca="false">IF(T$111=0,-Assumptions!$C$29*Assumptions!$E$37/100,0)+IF(AND(T$111&gt;=2,MOD(T$111,2)=0,T$111&lt;=IF($C117=1,$C$5-2,12)),Assumptions!$C$29*Assumptions!$D$37/2,0)+IF($C117=1,IF(T$111=$C$6,Assumptions!$C$29*$C$109,0),IF(T$111=12,Assumptions!$C$29*$E117/100,0))</f>
        <v>0</v>
      </c>
      <c r="U117" s="40" t="n">
        <f aca="false">IF(U$111=0,-Assumptions!$C$29*Assumptions!$E$37/100,0)+IF(AND(U$111&gt;=2,MOD(U$111,2)=0,U$111&lt;=IF($C117=1,$C$5-2,12)),Assumptions!$C$29*Assumptions!$D$37/2,0)+IF($C117=1,IF(U$111=$C$6,Assumptions!$C$29*$C$109,0),IF(U$111=12,Assumptions!$C$29*$E117/100,0))</f>
        <v>0</v>
      </c>
      <c r="V117" s="40" t="n">
        <f aca="false">IF(V$111=0,-Assumptions!$C$29*Assumptions!$E$37/100,0)+IF(AND(V$111&gt;=2,MOD(V$111,2)=0,V$111&lt;=IF($C117=1,$C$5-2,12)),Assumptions!$C$29*Assumptions!$D$37/2,0)+IF($C117=1,IF(V$111=$C$6,Assumptions!$C$29*$C$109,0),IF(V$111=12,Assumptions!$C$29*$E117/100,0))</f>
        <v>0</v>
      </c>
      <c r="W117" s="40" t="n">
        <f aca="false">IF(W$111=0,-Assumptions!$C$29*Assumptions!$E$37/100,0)+IF(AND(W$111&gt;=2,MOD(W$111,2)=0,W$111&lt;=IF($C117=1,$C$5-2,12)),Assumptions!$C$29*Assumptions!$D$37/2,0)+IF($C117=1,IF(W$111=$C$6,Assumptions!$C$29*$C$109,0),IF(W$111=12,Assumptions!$C$29*$E117/100,0))</f>
        <v>0</v>
      </c>
      <c r="X117" s="40" t="n">
        <f aca="false">IF(X$111=0,-Assumptions!$C$29*Assumptions!$E$37/100,0)+IF(AND(X$111&gt;=2,MOD(X$111,2)=0,X$111&lt;=IF($C117=1,$C$5-2,12)),Assumptions!$C$29*Assumptions!$D$37/2,0)+IF($C117=1,IF(X$111=$C$6,Assumptions!$C$29*$C$109,0),IF(X$111=12,Assumptions!$C$29*$E117/100,0))</f>
        <v>0</v>
      </c>
      <c r="Y117" s="40" t="n">
        <f aca="false">IF(Y$111=0,-Assumptions!$C$29*Assumptions!$E$37/100,0)+IF(AND(Y$111&gt;=2,MOD(Y$111,2)=0,Y$111&lt;=IF($C117=1,$C$5-2,12)),Assumptions!$C$29*Assumptions!$D$37/2,0)+IF($C117=1,IF(Y$111=$C$6,Assumptions!$C$29*$C$109,0),IF(Y$111=12,Assumptions!$C$29*$E117/100,0))</f>
        <v>0</v>
      </c>
    </row>
    <row r="118" customFormat="false" ht="15" hidden="false" customHeight="false" outlineLevel="0" collapsed="false">
      <c r="B118" s="29" t="s">
        <v>154</v>
      </c>
      <c r="D118" s="41" t="n">
        <f aca="false">SUM(D112:D117)</f>
        <v>73000</v>
      </c>
      <c r="G118" s="41" t="n">
        <f aca="false">SUM(I118:Y118)</f>
        <v>-639.984789558992</v>
      </c>
      <c r="H118" s="30" t="n">
        <f aca="false">(1+IRR(I118:Y118,IF(SUM(I118:Y118)&lt;0,-0.05,0.01)))^4-1</f>
        <v>-0.00327681431979043</v>
      </c>
      <c r="I118" s="42" t="n">
        <f aca="false">SUM(I112:I117)</f>
        <v>-73000</v>
      </c>
      <c r="J118" s="42" t="n">
        <f aca="false">SUM(J112:J117)</f>
        <v>0</v>
      </c>
      <c r="K118" s="42" t="n">
        <f aca="false">SUM(K112:K117)</f>
        <v>2812.5</v>
      </c>
      <c r="L118" s="42" t="n">
        <f aca="false">SUM(L112:L117)</f>
        <v>0</v>
      </c>
      <c r="M118" s="42" t="n">
        <f aca="false">SUM(M112:M117)</f>
        <v>2812.5</v>
      </c>
      <c r="N118" s="42" t="n">
        <f aca="false">SUM(N112:N117)</f>
        <v>0</v>
      </c>
      <c r="O118" s="42" t="n">
        <f aca="false">SUM(O112:O117)</f>
        <v>1781.25</v>
      </c>
      <c r="P118" s="42" t="n">
        <f aca="false">SUM(P112:P117)</f>
        <v>0</v>
      </c>
      <c r="Q118" s="42" t="n">
        <f aca="false">SUM(Q112:Q117)</f>
        <v>1781.25</v>
      </c>
      <c r="R118" s="42" t="n">
        <f aca="false">SUM(R112:R117)</f>
        <v>0</v>
      </c>
      <c r="S118" s="42" t="n">
        <f aca="false">SUM(S112:S117)</f>
        <v>11781.25</v>
      </c>
      <c r="T118" s="42" t="n">
        <f aca="false">SUM(T112:T117)</f>
        <v>0</v>
      </c>
      <c r="U118" s="42" t="n">
        <f aca="false">SUM(U112:U117)</f>
        <v>51391.265210441</v>
      </c>
      <c r="V118" s="42" t="n">
        <f aca="false">SUM(V112:V117)</f>
        <v>0</v>
      </c>
      <c r="W118" s="42" t="n">
        <f aca="false">SUM(W112:W117)</f>
        <v>0</v>
      </c>
      <c r="X118" s="42" t="n">
        <f aca="false">SUM(X112:X117)</f>
        <v>0</v>
      </c>
      <c r="Y118" s="42" t="n">
        <f aca="false">SUM(Y112:Y117)</f>
        <v>0</v>
      </c>
    </row>
    <row r="120" customFormat="false" ht="15" hidden="false" customHeight="false" outlineLevel="0" collapsed="false">
      <c r="B120" s="7" t="s">
        <v>162</v>
      </c>
      <c r="C120" s="8"/>
      <c r="D120" s="8"/>
      <c r="E120" s="8"/>
      <c r="F120" s="8"/>
      <c r="G120" s="8"/>
      <c r="H120" s="8"/>
      <c r="I120" s="8"/>
      <c r="J120" s="8"/>
      <c r="K120" s="8"/>
      <c r="L120" s="8"/>
      <c r="M120" s="8"/>
      <c r="N120" s="8"/>
      <c r="O120" s="8"/>
      <c r="P120" s="8"/>
      <c r="Q120" s="8"/>
      <c r="R120" s="8"/>
      <c r="S120" s="8"/>
      <c r="T120" s="8"/>
      <c r="U120" s="8"/>
      <c r="V120" s="8"/>
      <c r="W120" s="8"/>
      <c r="X120" s="8"/>
      <c r="Y120" s="8"/>
    </row>
    <row r="121" customFormat="false" ht="15" hidden="false" customHeight="false" outlineLevel="0" collapsed="false">
      <c r="B121" s="9" t="s">
        <v>117</v>
      </c>
      <c r="C121" s="22" t="n">
        <f aca="false">$B$19</f>
        <v>0.4</v>
      </c>
    </row>
    <row r="122" customFormat="false" ht="15" hidden="false" customHeight="false" outlineLevel="0" collapsed="false">
      <c r="B122" s="9" t="s">
        <v>148</v>
      </c>
      <c r="C122" s="28" t="n">
        <f aca="false">F$17</f>
        <v>3</v>
      </c>
    </row>
    <row r="123" customFormat="false" ht="30" hidden="false" customHeight="true" outlineLevel="0" collapsed="false">
      <c r="B123" s="13" t="s">
        <v>32</v>
      </c>
      <c r="C123" s="14" t="s">
        <v>149</v>
      </c>
      <c r="D123" s="14" t="s">
        <v>46</v>
      </c>
      <c r="E123" s="14" t="s">
        <v>150</v>
      </c>
      <c r="F123" s="14" t="s">
        <v>151</v>
      </c>
      <c r="G123" s="14" t="s">
        <v>152</v>
      </c>
      <c r="H123" s="14" t="s">
        <v>153</v>
      </c>
      <c r="I123" s="38" t="n">
        <v>0</v>
      </c>
      <c r="J123" s="38" t="n">
        <v>1</v>
      </c>
      <c r="K123" s="38" t="n">
        <v>2</v>
      </c>
      <c r="L123" s="38" t="n">
        <v>3</v>
      </c>
      <c r="M123" s="38" t="n">
        <v>4</v>
      </c>
      <c r="N123" s="38" t="n">
        <v>5</v>
      </c>
      <c r="O123" s="38" t="n">
        <v>6</v>
      </c>
      <c r="P123" s="38" t="n">
        <v>7</v>
      </c>
      <c r="Q123" s="38" t="n">
        <v>8</v>
      </c>
      <c r="R123" s="38" t="n">
        <v>9</v>
      </c>
      <c r="S123" s="38" t="n">
        <v>10</v>
      </c>
      <c r="T123" s="38" t="n">
        <v>11</v>
      </c>
      <c r="U123" s="38" t="n">
        <v>12</v>
      </c>
      <c r="V123" s="38" t="n">
        <v>13</v>
      </c>
      <c r="W123" s="38" t="n">
        <v>14</v>
      </c>
      <c r="X123" s="38" t="n">
        <v>15</v>
      </c>
      <c r="Y123" s="38" t="n">
        <v>16</v>
      </c>
    </row>
    <row r="124" customFormat="false" ht="15" hidden="false" customHeight="false" outlineLevel="0" collapsed="false">
      <c r="B124" s="9" t="s">
        <v>47</v>
      </c>
      <c r="C124" s="28" t="n">
        <f aca="false">IF($C$9&lt;=$C$122,1,0)</f>
        <v>0</v>
      </c>
      <c r="D124" s="19" t="n">
        <f aca="false">Assumptions!$F$32</f>
        <v>12375</v>
      </c>
      <c r="E124" s="39" t="n">
        <f aca="false">PV($F124/2,(Assumptions!$C$30*4-12)/2,-Assumptions!$D$32*100/2,-100)</f>
        <v>99.5584003138178</v>
      </c>
      <c r="F124" s="17" t="n">
        <f aca="false">RATE(Assumptions!$C$30*2,Assumptions!$D$32*100/2,-Assumptions!$E$32,100)*2</f>
        <v>0.0699042470751673</v>
      </c>
      <c r="G124" s="26" t="n">
        <f aca="false">SUM(I124:Y124)</f>
        <v>2601.05003922723</v>
      </c>
      <c r="H124" s="17" t="n">
        <f aca="false">(1+IRR(I124:Y124,IF(SUM(I124:Y124)&lt;0,-0.05,0.01)))^4-1</f>
        <v>0.0711258980149541</v>
      </c>
      <c r="I124" s="40" t="n">
        <f aca="false">IF(I$123=0,-Assumptions!$C$29*Assumptions!$E$32/100,0)+IF(AND(I$123&gt;=2,MOD(I$123,2)=0,I$123&lt;=IF($C124=1,$C$5-2,12)),Assumptions!$C$29*Assumptions!$D$32/2,0)+IF($C124=1,IF(I$123=$C$6,Assumptions!$C$29*$C$121,0),IF(I$123=12,Assumptions!$C$29*$E124/100,0))</f>
        <v>-12375</v>
      </c>
      <c r="J124" s="40" t="n">
        <f aca="false">IF(J$123=0,-Assumptions!$C$29*Assumptions!$E$32/100,0)+IF(AND(J$123&gt;=2,MOD(J$123,2)=0,J$123&lt;=IF($C124=1,$C$5-2,12)),Assumptions!$C$29*Assumptions!$D$32/2,0)+IF($C124=1,IF(J$123=$C$6,Assumptions!$C$29*$C$121,0),IF(J$123=12,Assumptions!$C$29*$E124/100,0))</f>
        <v>0</v>
      </c>
      <c r="K124" s="40" t="n">
        <f aca="false">IF(K$123=0,-Assumptions!$C$29*Assumptions!$E$32/100,0)+IF(AND(K$123&gt;=2,MOD(K$123,2)=0,K$123&lt;=IF($C124=1,$C$5-2,12)),Assumptions!$C$29*Assumptions!$D$32/2,0)+IF($C124=1,IF(K$123=$C$6,Assumptions!$C$29*$C$121,0),IF(K$123=12,Assumptions!$C$29*$E124/100,0))</f>
        <v>421.875</v>
      </c>
      <c r="L124" s="40" t="n">
        <f aca="false">IF(L$123=0,-Assumptions!$C$29*Assumptions!$E$32/100,0)+IF(AND(L$123&gt;=2,MOD(L$123,2)=0,L$123&lt;=IF($C124=1,$C$5-2,12)),Assumptions!$C$29*Assumptions!$D$32/2,0)+IF($C124=1,IF(L$123=$C$6,Assumptions!$C$29*$C$121,0),IF(L$123=12,Assumptions!$C$29*$E124/100,0))</f>
        <v>0</v>
      </c>
      <c r="M124" s="40" t="n">
        <f aca="false">IF(M$123=0,-Assumptions!$C$29*Assumptions!$E$32/100,0)+IF(AND(M$123&gt;=2,MOD(M$123,2)=0,M$123&lt;=IF($C124=1,$C$5-2,12)),Assumptions!$C$29*Assumptions!$D$32/2,0)+IF($C124=1,IF(M$123=$C$6,Assumptions!$C$29*$C$121,0),IF(M$123=12,Assumptions!$C$29*$E124/100,0))</f>
        <v>421.875</v>
      </c>
      <c r="N124" s="40" t="n">
        <f aca="false">IF(N$123=0,-Assumptions!$C$29*Assumptions!$E$32/100,0)+IF(AND(N$123&gt;=2,MOD(N$123,2)=0,N$123&lt;=IF($C124=1,$C$5-2,12)),Assumptions!$C$29*Assumptions!$D$32/2,0)+IF($C124=1,IF(N$123=$C$6,Assumptions!$C$29*$C$121,0),IF(N$123=12,Assumptions!$C$29*$E124/100,0))</f>
        <v>0</v>
      </c>
      <c r="O124" s="40" t="n">
        <f aca="false">IF(O$123=0,-Assumptions!$C$29*Assumptions!$E$32/100,0)+IF(AND(O$123&gt;=2,MOD(O$123,2)=0,O$123&lt;=IF($C124=1,$C$5-2,12)),Assumptions!$C$29*Assumptions!$D$32/2,0)+IF($C124=1,IF(O$123=$C$6,Assumptions!$C$29*$C$121,0),IF(O$123=12,Assumptions!$C$29*$E124/100,0))</f>
        <v>421.875</v>
      </c>
      <c r="P124" s="40" t="n">
        <f aca="false">IF(P$123=0,-Assumptions!$C$29*Assumptions!$E$32/100,0)+IF(AND(P$123&gt;=2,MOD(P$123,2)=0,P$123&lt;=IF($C124=1,$C$5-2,12)),Assumptions!$C$29*Assumptions!$D$32/2,0)+IF($C124=1,IF(P$123=$C$6,Assumptions!$C$29*$C$121,0),IF(P$123=12,Assumptions!$C$29*$E124/100,0))</f>
        <v>0</v>
      </c>
      <c r="Q124" s="40" t="n">
        <f aca="false">IF(Q$123=0,-Assumptions!$C$29*Assumptions!$E$32/100,0)+IF(AND(Q$123&gt;=2,MOD(Q$123,2)=0,Q$123&lt;=IF($C124=1,$C$5-2,12)),Assumptions!$C$29*Assumptions!$D$32/2,0)+IF($C124=1,IF(Q$123=$C$6,Assumptions!$C$29*$C$121,0),IF(Q$123=12,Assumptions!$C$29*$E124/100,0))</f>
        <v>421.875</v>
      </c>
      <c r="R124" s="40" t="n">
        <f aca="false">IF(R$123=0,-Assumptions!$C$29*Assumptions!$E$32/100,0)+IF(AND(R$123&gt;=2,MOD(R$123,2)=0,R$123&lt;=IF($C124=1,$C$5-2,12)),Assumptions!$C$29*Assumptions!$D$32/2,0)+IF($C124=1,IF(R$123=$C$6,Assumptions!$C$29*$C$121,0),IF(R$123=12,Assumptions!$C$29*$E124/100,0))</f>
        <v>0</v>
      </c>
      <c r="S124" s="40" t="n">
        <f aca="false">IF(S$123=0,-Assumptions!$C$29*Assumptions!$E$32/100,0)+IF(AND(S$123&gt;=2,MOD(S$123,2)=0,S$123&lt;=IF($C124=1,$C$5-2,12)),Assumptions!$C$29*Assumptions!$D$32/2,0)+IF($C124=1,IF(S$123=$C$6,Assumptions!$C$29*$C$121,0),IF(S$123=12,Assumptions!$C$29*$E124/100,0))</f>
        <v>421.875</v>
      </c>
      <c r="T124" s="40" t="n">
        <f aca="false">IF(T$123=0,-Assumptions!$C$29*Assumptions!$E$32/100,0)+IF(AND(T$123&gt;=2,MOD(T$123,2)=0,T$123&lt;=IF($C124=1,$C$5-2,12)),Assumptions!$C$29*Assumptions!$D$32/2,0)+IF($C124=1,IF(T$123=$C$6,Assumptions!$C$29*$C$121,0),IF(T$123=12,Assumptions!$C$29*$E124/100,0))</f>
        <v>0</v>
      </c>
      <c r="U124" s="40" t="n">
        <f aca="false">IF(U$123=0,-Assumptions!$C$29*Assumptions!$E$32/100,0)+IF(AND(U$123&gt;=2,MOD(U$123,2)=0,U$123&lt;=IF($C124=1,$C$5-2,12)),Assumptions!$C$29*Assumptions!$D$32/2,0)+IF($C124=1,IF(U$123=$C$6,Assumptions!$C$29*$C$121,0),IF(U$123=12,Assumptions!$C$29*$E124/100,0))</f>
        <v>12866.6750392272</v>
      </c>
      <c r="V124" s="40" t="n">
        <f aca="false">IF(V$123=0,-Assumptions!$C$29*Assumptions!$E$32/100,0)+IF(AND(V$123&gt;=2,MOD(V$123,2)=0,V$123&lt;=IF($C124=1,$C$5-2,12)),Assumptions!$C$29*Assumptions!$D$32/2,0)+IF($C124=1,IF(V$123=$C$6,Assumptions!$C$29*$C$121,0),IF(V$123=12,Assumptions!$C$29*$E124/100,0))</f>
        <v>0</v>
      </c>
      <c r="W124" s="40" t="n">
        <f aca="false">IF(W$123=0,-Assumptions!$C$29*Assumptions!$E$32/100,0)+IF(AND(W$123&gt;=2,MOD(W$123,2)=0,W$123&lt;=IF($C124=1,$C$5-2,12)),Assumptions!$C$29*Assumptions!$D$32/2,0)+IF($C124=1,IF(W$123=$C$6,Assumptions!$C$29*$C$121,0),IF(W$123=12,Assumptions!$C$29*$E124/100,0))</f>
        <v>0</v>
      </c>
      <c r="X124" s="40" t="n">
        <f aca="false">IF(X$123=0,-Assumptions!$C$29*Assumptions!$E$32/100,0)+IF(AND(X$123&gt;=2,MOD(X$123,2)=0,X$123&lt;=IF($C124=1,$C$5-2,12)),Assumptions!$C$29*Assumptions!$D$32/2,0)+IF($C124=1,IF(X$123=$C$6,Assumptions!$C$29*$C$121,0),IF(X$123=12,Assumptions!$C$29*$E124/100,0))</f>
        <v>0</v>
      </c>
      <c r="Y124" s="40" t="n">
        <f aca="false">IF(Y$123=0,-Assumptions!$C$29*Assumptions!$E$32/100,0)+IF(AND(Y$123&gt;=2,MOD(Y$123,2)=0,Y$123&lt;=IF($C124=1,$C$5-2,12)),Assumptions!$C$29*Assumptions!$D$32/2,0)+IF($C124=1,IF(Y$123=$C$6,Assumptions!$C$29*$C$121,0),IF(Y$123=12,Assumptions!$C$29*$E124/100,0))</f>
        <v>0</v>
      </c>
    </row>
    <row r="125" customFormat="false" ht="15" hidden="false" customHeight="false" outlineLevel="0" collapsed="false">
      <c r="B125" s="9" t="s">
        <v>48</v>
      </c>
      <c r="C125" s="28" t="n">
        <f aca="false">IF($C$10&lt;=$C$122,1,0)</f>
        <v>0</v>
      </c>
      <c r="D125" s="19" t="n">
        <f aca="false">Assumptions!$F$33</f>
        <v>12312.5</v>
      </c>
      <c r="E125" s="39" t="n">
        <f aca="false">PV($F125/2,(Assumptions!$C$30*4-12)/2,-Assumptions!$D$33*100/2,-100)</f>
        <v>99.3343027458663</v>
      </c>
      <c r="F125" s="17" t="n">
        <f aca="false">RATE(Assumptions!$C$30*2,Assumptions!$D$33*100/2,-Assumptions!$E$33,100)*2</f>
        <v>0.0736404123832243</v>
      </c>
      <c r="G125" s="26" t="n">
        <f aca="false">SUM(I125:Y125)</f>
        <v>2729.28784323328</v>
      </c>
      <c r="H125" s="17" t="n">
        <f aca="false">(1+IRR(I125:Y125,IF(SUM(I125:Y125)&lt;0,-0.05,0.01)))^4-1</f>
        <v>0.0749961399672177</v>
      </c>
      <c r="I125" s="40" t="n">
        <f aca="false">IF(I$123=0,-Assumptions!$C$29*Assumptions!$E$33/100,0)+IF(AND(I$123&gt;=2,MOD(I$123,2)=0,I$123&lt;=IF($C125=1,$C$5-2,12)),Assumptions!$C$29*Assumptions!$D$33/2,0)+IF($C125=1,IF(I$123=$C$6,Assumptions!$C$29*$C$121,0),IF(I$123=12,Assumptions!$C$29*$E125/100,0))</f>
        <v>-12312.5</v>
      </c>
      <c r="J125" s="40" t="n">
        <f aca="false">IF(J$123=0,-Assumptions!$C$29*Assumptions!$E$33/100,0)+IF(AND(J$123&gt;=2,MOD(J$123,2)=0,J$123&lt;=IF($C125=1,$C$5-2,12)),Assumptions!$C$29*Assumptions!$D$33/2,0)+IF($C125=1,IF(J$123=$C$6,Assumptions!$C$29*$C$121,0),IF(J$123=12,Assumptions!$C$29*$E125/100,0))</f>
        <v>0</v>
      </c>
      <c r="K125" s="40" t="n">
        <f aca="false">IF(K$123=0,-Assumptions!$C$29*Assumptions!$E$33/100,0)+IF(AND(K$123&gt;=2,MOD(K$123,2)=0,K$123&lt;=IF($C125=1,$C$5-2,12)),Assumptions!$C$29*Assumptions!$D$33/2,0)+IF($C125=1,IF(K$123=$C$6,Assumptions!$C$29*$C$121,0),IF(K$123=12,Assumptions!$C$29*$E125/100,0))</f>
        <v>437.5</v>
      </c>
      <c r="L125" s="40" t="n">
        <f aca="false">IF(L$123=0,-Assumptions!$C$29*Assumptions!$E$33/100,0)+IF(AND(L$123&gt;=2,MOD(L$123,2)=0,L$123&lt;=IF($C125=1,$C$5-2,12)),Assumptions!$C$29*Assumptions!$D$33/2,0)+IF($C125=1,IF(L$123=$C$6,Assumptions!$C$29*$C$121,0),IF(L$123=12,Assumptions!$C$29*$E125/100,0))</f>
        <v>0</v>
      </c>
      <c r="M125" s="40" t="n">
        <f aca="false">IF(M$123=0,-Assumptions!$C$29*Assumptions!$E$33/100,0)+IF(AND(M$123&gt;=2,MOD(M$123,2)=0,M$123&lt;=IF($C125=1,$C$5-2,12)),Assumptions!$C$29*Assumptions!$D$33/2,0)+IF($C125=1,IF(M$123=$C$6,Assumptions!$C$29*$C$121,0),IF(M$123=12,Assumptions!$C$29*$E125/100,0))</f>
        <v>437.5</v>
      </c>
      <c r="N125" s="40" t="n">
        <f aca="false">IF(N$123=0,-Assumptions!$C$29*Assumptions!$E$33/100,0)+IF(AND(N$123&gt;=2,MOD(N$123,2)=0,N$123&lt;=IF($C125=1,$C$5-2,12)),Assumptions!$C$29*Assumptions!$D$33/2,0)+IF($C125=1,IF(N$123=$C$6,Assumptions!$C$29*$C$121,0),IF(N$123=12,Assumptions!$C$29*$E125/100,0))</f>
        <v>0</v>
      </c>
      <c r="O125" s="40" t="n">
        <f aca="false">IF(O$123=0,-Assumptions!$C$29*Assumptions!$E$33/100,0)+IF(AND(O$123&gt;=2,MOD(O$123,2)=0,O$123&lt;=IF($C125=1,$C$5-2,12)),Assumptions!$C$29*Assumptions!$D$33/2,0)+IF($C125=1,IF(O$123=$C$6,Assumptions!$C$29*$C$121,0),IF(O$123=12,Assumptions!$C$29*$E125/100,0))</f>
        <v>437.5</v>
      </c>
      <c r="P125" s="40" t="n">
        <f aca="false">IF(P$123=0,-Assumptions!$C$29*Assumptions!$E$33/100,0)+IF(AND(P$123&gt;=2,MOD(P$123,2)=0,P$123&lt;=IF($C125=1,$C$5-2,12)),Assumptions!$C$29*Assumptions!$D$33/2,0)+IF($C125=1,IF(P$123=$C$6,Assumptions!$C$29*$C$121,0),IF(P$123=12,Assumptions!$C$29*$E125/100,0))</f>
        <v>0</v>
      </c>
      <c r="Q125" s="40" t="n">
        <f aca="false">IF(Q$123=0,-Assumptions!$C$29*Assumptions!$E$33/100,0)+IF(AND(Q$123&gt;=2,MOD(Q$123,2)=0,Q$123&lt;=IF($C125=1,$C$5-2,12)),Assumptions!$C$29*Assumptions!$D$33/2,0)+IF($C125=1,IF(Q$123=$C$6,Assumptions!$C$29*$C$121,0),IF(Q$123=12,Assumptions!$C$29*$E125/100,0))</f>
        <v>437.5</v>
      </c>
      <c r="R125" s="40" t="n">
        <f aca="false">IF(R$123=0,-Assumptions!$C$29*Assumptions!$E$33/100,0)+IF(AND(R$123&gt;=2,MOD(R$123,2)=0,R$123&lt;=IF($C125=1,$C$5-2,12)),Assumptions!$C$29*Assumptions!$D$33/2,0)+IF($C125=1,IF(R$123=$C$6,Assumptions!$C$29*$C$121,0),IF(R$123=12,Assumptions!$C$29*$E125/100,0))</f>
        <v>0</v>
      </c>
      <c r="S125" s="40" t="n">
        <f aca="false">IF(S$123=0,-Assumptions!$C$29*Assumptions!$E$33/100,0)+IF(AND(S$123&gt;=2,MOD(S$123,2)=0,S$123&lt;=IF($C125=1,$C$5-2,12)),Assumptions!$C$29*Assumptions!$D$33/2,0)+IF($C125=1,IF(S$123=$C$6,Assumptions!$C$29*$C$121,0),IF(S$123=12,Assumptions!$C$29*$E125/100,0))</f>
        <v>437.5</v>
      </c>
      <c r="T125" s="40" t="n">
        <f aca="false">IF(T$123=0,-Assumptions!$C$29*Assumptions!$E$33/100,0)+IF(AND(T$123&gt;=2,MOD(T$123,2)=0,T$123&lt;=IF($C125=1,$C$5-2,12)),Assumptions!$C$29*Assumptions!$D$33/2,0)+IF($C125=1,IF(T$123=$C$6,Assumptions!$C$29*$C$121,0),IF(T$123=12,Assumptions!$C$29*$E125/100,0))</f>
        <v>0</v>
      </c>
      <c r="U125" s="40" t="n">
        <f aca="false">IF(U$123=0,-Assumptions!$C$29*Assumptions!$E$33/100,0)+IF(AND(U$123&gt;=2,MOD(U$123,2)=0,U$123&lt;=IF($C125=1,$C$5-2,12)),Assumptions!$C$29*Assumptions!$D$33/2,0)+IF($C125=1,IF(U$123=$C$6,Assumptions!$C$29*$C$121,0),IF(U$123=12,Assumptions!$C$29*$E125/100,0))</f>
        <v>12854.2878432333</v>
      </c>
      <c r="V125" s="40" t="n">
        <f aca="false">IF(V$123=0,-Assumptions!$C$29*Assumptions!$E$33/100,0)+IF(AND(V$123&gt;=2,MOD(V$123,2)=0,V$123&lt;=IF($C125=1,$C$5-2,12)),Assumptions!$C$29*Assumptions!$D$33/2,0)+IF($C125=1,IF(V$123=$C$6,Assumptions!$C$29*$C$121,0),IF(V$123=12,Assumptions!$C$29*$E125/100,0))</f>
        <v>0</v>
      </c>
      <c r="W125" s="40" t="n">
        <f aca="false">IF(W$123=0,-Assumptions!$C$29*Assumptions!$E$33/100,0)+IF(AND(W$123&gt;=2,MOD(W$123,2)=0,W$123&lt;=IF($C125=1,$C$5-2,12)),Assumptions!$C$29*Assumptions!$D$33/2,0)+IF($C125=1,IF(W$123=$C$6,Assumptions!$C$29*$C$121,0),IF(W$123=12,Assumptions!$C$29*$E125/100,0))</f>
        <v>0</v>
      </c>
      <c r="X125" s="40" t="n">
        <f aca="false">IF(X$123=0,-Assumptions!$C$29*Assumptions!$E$33/100,0)+IF(AND(X$123&gt;=2,MOD(X$123,2)=0,X$123&lt;=IF($C125=1,$C$5-2,12)),Assumptions!$C$29*Assumptions!$D$33/2,0)+IF($C125=1,IF(X$123=$C$6,Assumptions!$C$29*$C$121,0),IF(X$123=12,Assumptions!$C$29*$E125/100,0))</f>
        <v>0</v>
      </c>
      <c r="Y125" s="40" t="n">
        <f aca="false">IF(Y$123=0,-Assumptions!$C$29*Assumptions!$E$33/100,0)+IF(AND(Y$123&gt;=2,MOD(Y$123,2)=0,Y$123&lt;=IF($C125=1,$C$5-2,12)),Assumptions!$C$29*Assumptions!$D$33/2,0)+IF($C125=1,IF(Y$123=$C$6,Assumptions!$C$29*$C$121,0),IF(Y$123=12,Assumptions!$C$29*$E125/100,0))</f>
        <v>0</v>
      </c>
    </row>
    <row r="126" customFormat="false" ht="15" hidden="false" customHeight="false" outlineLevel="0" collapsed="false">
      <c r="B126" s="9" t="s">
        <v>49</v>
      </c>
      <c r="C126" s="28" t="n">
        <f aca="false">IF($C$11&lt;=$C$122,1,0)</f>
        <v>0</v>
      </c>
      <c r="D126" s="19" t="n">
        <f aca="false">Assumptions!$F$34</f>
        <v>12250</v>
      </c>
      <c r="E126" s="39" t="n">
        <f aca="false">PV($F126/2,(Assumptions!$C$30*4-12)/2,-Assumptions!$D$34*100/2,-100)</f>
        <v>99.1079856396595</v>
      </c>
      <c r="F126" s="17" t="n">
        <f aca="false">RATE(Assumptions!$C$30*2,Assumptions!$D$34*100/2,-Assumptions!$E$34,100)*2</f>
        <v>0.0773997713205988</v>
      </c>
      <c r="G126" s="26" t="n">
        <f aca="false">SUM(I126:Y126)</f>
        <v>2857.24820495744</v>
      </c>
      <c r="H126" s="17" t="n">
        <f aca="false">(1+IRR(I126:Y126,IF(SUM(I126:Y126)&lt;0,-0.05,0.01)))^4-1</f>
        <v>0.0788974524707193</v>
      </c>
      <c r="I126" s="40" t="n">
        <f aca="false">IF(I$123=0,-Assumptions!$C$29*Assumptions!$E$34/100,0)+IF(AND(I$123&gt;=2,MOD(I$123,2)=0,I$123&lt;=IF($C126=1,$C$5-2,12)),Assumptions!$C$29*Assumptions!$D$34/2,0)+IF($C126=1,IF(I$123=$C$6,Assumptions!$C$29*$C$121,0),IF(I$123=12,Assumptions!$C$29*$E126/100,0))</f>
        <v>-12250</v>
      </c>
      <c r="J126" s="40" t="n">
        <f aca="false">IF(J$123=0,-Assumptions!$C$29*Assumptions!$E$34/100,0)+IF(AND(J$123&gt;=2,MOD(J$123,2)=0,J$123&lt;=IF($C126=1,$C$5-2,12)),Assumptions!$C$29*Assumptions!$D$34/2,0)+IF($C126=1,IF(J$123=$C$6,Assumptions!$C$29*$C$121,0),IF(J$123=12,Assumptions!$C$29*$E126/100,0))</f>
        <v>0</v>
      </c>
      <c r="K126" s="40" t="n">
        <f aca="false">IF(K$123=0,-Assumptions!$C$29*Assumptions!$E$34/100,0)+IF(AND(K$123&gt;=2,MOD(K$123,2)=0,K$123&lt;=IF($C126=1,$C$5-2,12)),Assumptions!$C$29*Assumptions!$D$34/2,0)+IF($C126=1,IF(K$123=$C$6,Assumptions!$C$29*$C$121,0),IF(K$123=12,Assumptions!$C$29*$E126/100,0))</f>
        <v>453.125</v>
      </c>
      <c r="L126" s="40" t="n">
        <f aca="false">IF(L$123=0,-Assumptions!$C$29*Assumptions!$E$34/100,0)+IF(AND(L$123&gt;=2,MOD(L$123,2)=0,L$123&lt;=IF($C126=1,$C$5-2,12)),Assumptions!$C$29*Assumptions!$D$34/2,0)+IF($C126=1,IF(L$123=$C$6,Assumptions!$C$29*$C$121,0),IF(L$123=12,Assumptions!$C$29*$E126/100,0))</f>
        <v>0</v>
      </c>
      <c r="M126" s="40" t="n">
        <f aca="false">IF(M$123=0,-Assumptions!$C$29*Assumptions!$E$34/100,0)+IF(AND(M$123&gt;=2,MOD(M$123,2)=0,M$123&lt;=IF($C126=1,$C$5-2,12)),Assumptions!$C$29*Assumptions!$D$34/2,0)+IF($C126=1,IF(M$123=$C$6,Assumptions!$C$29*$C$121,0),IF(M$123=12,Assumptions!$C$29*$E126/100,0))</f>
        <v>453.125</v>
      </c>
      <c r="N126" s="40" t="n">
        <f aca="false">IF(N$123=0,-Assumptions!$C$29*Assumptions!$E$34/100,0)+IF(AND(N$123&gt;=2,MOD(N$123,2)=0,N$123&lt;=IF($C126=1,$C$5-2,12)),Assumptions!$C$29*Assumptions!$D$34/2,0)+IF($C126=1,IF(N$123=$C$6,Assumptions!$C$29*$C$121,0),IF(N$123=12,Assumptions!$C$29*$E126/100,0))</f>
        <v>0</v>
      </c>
      <c r="O126" s="40" t="n">
        <f aca="false">IF(O$123=0,-Assumptions!$C$29*Assumptions!$E$34/100,0)+IF(AND(O$123&gt;=2,MOD(O$123,2)=0,O$123&lt;=IF($C126=1,$C$5-2,12)),Assumptions!$C$29*Assumptions!$D$34/2,0)+IF($C126=1,IF(O$123=$C$6,Assumptions!$C$29*$C$121,0),IF(O$123=12,Assumptions!$C$29*$E126/100,0))</f>
        <v>453.125</v>
      </c>
      <c r="P126" s="40" t="n">
        <f aca="false">IF(P$123=0,-Assumptions!$C$29*Assumptions!$E$34/100,0)+IF(AND(P$123&gt;=2,MOD(P$123,2)=0,P$123&lt;=IF($C126=1,$C$5-2,12)),Assumptions!$C$29*Assumptions!$D$34/2,0)+IF($C126=1,IF(P$123=$C$6,Assumptions!$C$29*$C$121,0),IF(P$123=12,Assumptions!$C$29*$E126/100,0))</f>
        <v>0</v>
      </c>
      <c r="Q126" s="40" t="n">
        <f aca="false">IF(Q$123=0,-Assumptions!$C$29*Assumptions!$E$34/100,0)+IF(AND(Q$123&gt;=2,MOD(Q$123,2)=0,Q$123&lt;=IF($C126=1,$C$5-2,12)),Assumptions!$C$29*Assumptions!$D$34/2,0)+IF($C126=1,IF(Q$123=$C$6,Assumptions!$C$29*$C$121,0),IF(Q$123=12,Assumptions!$C$29*$E126/100,0))</f>
        <v>453.125</v>
      </c>
      <c r="R126" s="40" t="n">
        <f aca="false">IF(R$123=0,-Assumptions!$C$29*Assumptions!$E$34/100,0)+IF(AND(R$123&gt;=2,MOD(R$123,2)=0,R$123&lt;=IF($C126=1,$C$5-2,12)),Assumptions!$C$29*Assumptions!$D$34/2,0)+IF($C126=1,IF(R$123=$C$6,Assumptions!$C$29*$C$121,0),IF(R$123=12,Assumptions!$C$29*$E126/100,0))</f>
        <v>0</v>
      </c>
      <c r="S126" s="40" t="n">
        <f aca="false">IF(S$123=0,-Assumptions!$C$29*Assumptions!$E$34/100,0)+IF(AND(S$123&gt;=2,MOD(S$123,2)=0,S$123&lt;=IF($C126=1,$C$5-2,12)),Assumptions!$C$29*Assumptions!$D$34/2,0)+IF($C126=1,IF(S$123=$C$6,Assumptions!$C$29*$C$121,0),IF(S$123=12,Assumptions!$C$29*$E126/100,0))</f>
        <v>453.125</v>
      </c>
      <c r="T126" s="40" t="n">
        <f aca="false">IF(T$123=0,-Assumptions!$C$29*Assumptions!$E$34/100,0)+IF(AND(T$123&gt;=2,MOD(T$123,2)=0,T$123&lt;=IF($C126=1,$C$5-2,12)),Assumptions!$C$29*Assumptions!$D$34/2,0)+IF($C126=1,IF(T$123=$C$6,Assumptions!$C$29*$C$121,0),IF(T$123=12,Assumptions!$C$29*$E126/100,0))</f>
        <v>0</v>
      </c>
      <c r="U126" s="40" t="n">
        <f aca="false">IF(U$123=0,-Assumptions!$C$29*Assumptions!$E$34/100,0)+IF(AND(U$123&gt;=2,MOD(U$123,2)=0,U$123&lt;=IF($C126=1,$C$5-2,12)),Assumptions!$C$29*Assumptions!$D$34/2,0)+IF($C126=1,IF(U$123=$C$6,Assumptions!$C$29*$C$121,0),IF(U$123=12,Assumptions!$C$29*$E126/100,0))</f>
        <v>12841.6232049574</v>
      </c>
      <c r="V126" s="40" t="n">
        <f aca="false">IF(V$123=0,-Assumptions!$C$29*Assumptions!$E$34/100,0)+IF(AND(V$123&gt;=2,MOD(V$123,2)=0,V$123&lt;=IF($C126=1,$C$5-2,12)),Assumptions!$C$29*Assumptions!$D$34/2,0)+IF($C126=1,IF(V$123=$C$6,Assumptions!$C$29*$C$121,0),IF(V$123=12,Assumptions!$C$29*$E126/100,0))</f>
        <v>0</v>
      </c>
      <c r="W126" s="40" t="n">
        <f aca="false">IF(W$123=0,-Assumptions!$C$29*Assumptions!$E$34/100,0)+IF(AND(W$123&gt;=2,MOD(W$123,2)=0,W$123&lt;=IF($C126=1,$C$5-2,12)),Assumptions!$C$29*Assumptions!$D$34/2,0)+IF($C126=1,IF(W$123=$C$6,Assumptions!$C$29*$C$121,0),IF(W$123=12,Assumptions!$C$29*$E126/100,0))</f>
        <v>0</v>
      </c>
      <c r="X126" s="40" t="n">
        <f aca="false">IF(X$123=0,-Assumptions!$C$29*Assumptions!$E$34/100,0)+IF(AND(X$123&gt;=2,MOD(X$123,2)=0,X$123&lt;=IF($C126=1,$C$5-2,12)),Assumptions!$C$29*Assumptions!$D$34/2,0)+IF($C126=1,IF(X$123=$C$6,Assumptions!$C$29*$C$121,0),IF(X$123=12,Assumptions!$C$29*$E126/100,0))</f>
        <v>0</v>
      </c>
      <c r="Y126" s="40" t="n">
        <f aca="false">IF(Y$123=0,-Assumptions!$C$29*Assumptions!$E$34/100,0)+IF(AND(Y$123&gt;=2,MOD(Y$123,2)=0,Y$123&lt;=IF($C126=1,$C$5-2,12)),Assumptions!$C$29*Assumptions!$D$34/2,0)+IF($C126=1,IF(Y$123=$C$6,Assumptions!$C$29*$C$121,0),IF(Y$123=12,Assumptions!$C$29*$E126/100,0))</f>
        <v>0</v>
      </c>
    </row>
    <row r="127" customFormat="false" ht="15" hidden="false" customHeight="false" outlineLevel="0" collapsed="false">
      <c r="B127" s="9" t="s">
        <v>50</v>
      </c>
      <c r="C127" s="28" t="n">
        <f aca="false">IF($C$12&lt;=$C$122,1,0)</f>
        <v>1</v>
      </c>
      <c r="D127" s="19" t="n">
        <f aca="false">Assumptions!$F$35</f>
        <v>12187.5</v>
      </c>
      <c r="E127" s="39" t="n">
        <f aca="false">PV($F127/2,(Assumptions!$C$30*4-12)/2,-Assumptions!$D$35*100/2,-100)</f>
        <v>98.8794329841845</v>
      </c>
      <c r="F127" s="17" t="n">
        <f aca="false">RATE(Assumptions!$C$30*2,Assumptions!$D$35*100/2,-Assumptions!$E$35,100)*2</f>
        <v>0.0811827080590467</v>
      </c>
      <c r="G127" s="26" t="n">
        <f aca="false">SUM(I127:Y127)</f>
        <v>-6250</v>
      </c>
      <c r="H127" s="17" t="n">
        <f aca="false">(1+IRR(I127:Y127,IF(SUM(I127:Y127)&lt;0,-0.05,0.01)))^4-1</f>
        <v>-0.270391171436401</v>
      </c>
      <c r="I127" s="40" t="n">
        <f aca="false">IF(I$123=0,-Assumptions!$C$29*Assumptions!$E$35/100,0)+IF(AND(I$123&gt;=2,MOD(I$123,2)=0,I$123&lt;=IF($C127=1,$C$5-2,12)),Assumptions!$C$29*Assumptions!$D$35/2,0)+IF($C127=1,IF(I$123=$C$6,Assumptions!$C$29*$C$121,0),IF(I$123=12,Assumptions!$C$29*$E127/100,0))</f>
        <v>-12187.5</v>
      </c>
      <c r="J127" s="40" t="n">
        <f aca="false">IF(J$123=0,-Assumptions!$C$29*Assumptions!$E$35/100,0)+IF(AND(J$123&gt;=2,MOD(J$123,2)=0,J$123&lt;=IF($C127=1,$C$5-2,12)),Assumptions!$C$29*Assumptions!$D$35/2,0)+IF($C127=1,IF(J$123=$C$6,Assumptions!$C$29*$C$121,0),IF(J$123=12,Assumptions!$C$29*$E127/100,0))</f>
        <v>0</v>
      </c>
      <c r="K127" s="40" t="n">
        <f aca="false">IF(K$123=0,-Assumptions!$C$29*Assumptions!$E$35/100,0)+IF(AND(K$123&gt;=2,MOD(K$123,2)=0,K$123&lt;=IF($C127=1,$C$5-2,12)),Assumptions!$C$29*Assumptions!$D$35/2,0)+IF($C127=1,IF(K$123=$C$6,Assumptions!$C$29*$C$121,0),IF(K$123=12,Assumptions!$C$29*$E127/100,0))</f>
        <v>468.75</v>
      </c>
      <c r="L127" s="40" t="n">
        <f aca="false">IF(L$123=0,-Assumptions!$C$29*Assumptions!$E$35/100,0)+IF(AND(L$123&gt;=2,MOD(L$123,2)=0,L$123&lt;=IF($C127=1,$C$5-2,12)),Assumptions!$C$29*Assumptions!$D$35/2,0)+IF($C127=1,IF(L$123=$C$6,Assumptions!$C$29*$C$121,0),IF(L$123=12,Assumptions!$C$29*$E127/100,0))</f>
        <v>0</v>
      </c>
      <c r="M127" s="40" t="n">
        <f aca="false">IF(M$123=0,-Assumptions!$C$29*Assumptions!$E$35/100,0)+IF(AND(M$123&gt;=2,MOD(M$123,2)=0,M$123&lt;=IF($C127=1,$C$5-2,12)),Assumptions!$C$29*Assumptions!$D$35/2,0)+IF($C127=1,IF(M$123=$C$6,Assumptions!$C$29*$C$121,0),IF(M$123=12,Assumptions!$C$29*$E127/100,0))</f>
        <v>468.75</v>
      </c>
      <c r="N127" s="40" t="n">
        <f aca="false">IF(N$123=0,-Assumptions!$C$29*Assumptions!$E$35/100,0)+IF(AND(N$123&gt;=2,MOD(N$123,2)=0,N$123&lt;=IF($C127=1,$C$5-2,12)),Assumptions!$C$29*Assumptions!$D$35/2,0)+IF($C127=1,IF(N$123=$C$6,Assumptions!$C$29*$C$121,0),IF(N$123=12,Assumptions!$C$29*$E127/100,0))</f>
        <v>0</v>
      </c>
      <c r="O127" s="40" t="n">
        <f aca="false">IF(O$123=0,-Assumptions!$C$29*Assumptions!$E$35/100,0)+IF(AND(O$123&gt;=2,MOD(O$123,2)=0,O$123&lt;=IF($C127=1,$C$5-2,12)),Assumptions!$C$29*Assumptions!$D$35/2,0)+IF($C127=1,IF(O$123=$C$6,Assumptions!$C$29*$C$121,0),IF(O$123=12,Assumptions!$C$29*$E127/100,0))</f>
        <v>0</v>
      </c>
      <c r="P127" s="40" t="n">
        <f aca="false">IF(P$123=0,-Assumptions!$C$29*Assumptions!$E$35/100,0)+IF(AND(P$123&gt;=2,MOD(P$123,2)=0,P$123&lt;=IF($C127=1,$C$5-2,12)),Assumptions!$C$29*Assumptions!$D$35/2,0)+IF($C127=1,IF(P$123=$C$6,Assumptions!$C$29*$C$121,0),IF(P$123=12,Assumptions!$C$29*$E127/100,0))</f>
        <v>0</v>
      </c>
      <c r="Q127" s="40" t="n">
        <f aca="false">IF(Q$123=0,-Assumptions!$C$29*Assumptions!$E$35/100,0)+IF(AND(Q$123&gt;=2,MOD(Q$123,2)=0,Q$123&lt;=IF($C127=1,$C$5-2,12)),Assumptions!$C$29*Assumptions!$D$35/2,0)+IF($C127=1,IF(Q$123=$C$6,Assumptions!$C$29*$C$121,0),IF(Q$123=12,Assumptions!$C$29*$E127/100,0))</f>
        <v>0</v>
      </c>
      <c r="R127" s="40" t="n">
        <f aca="false">IF(R$123=0,-Assumptions!$C$29*Assumptions!$E$35/100,0)+IF(AND(R$123&gt;=2,MOD(R$123,2)=0,R$123&lt;=IF($C127=1,$C$5-2,12)),Assumptions!$C$29*Assumptions!$D$35/2,0)+IF($C127=1,IF(R$123=$C$6,Assumptions!$C$29*$C$121,0),IF(R$123=12,Assumptions!$C$29*$E127/100,0))</f>
        <v>0</v>
      </c>
      <c r="S127" s="40" t="n">
        <f aca="false">IF(S$123=0,-Assumptions!$C$29*Assumptions!$E$35/100,0)+IF(AND(S$123&gt;=2,MOD(S$123,2)=0,S$123&lt;=IF($C127=1,$C$5-2,12)),Assumptions!$C$29*Assumptions!$D$35/2,0)+IF($C127=1,IF(S$123=$C$6,Assumptions!$C$29*$C$121,0),IF(S$123=12,Assumptions!$C$29*$E127/100,0))</f>
        <v>5000</v>
      </c>
      <c r="T127" s="40" t="n">
        <f aca="false">IF(T$123=0,-Assumptions!$C$29*Assumptions!$E$35/100,0)+IF(AND(T$123&gt;=2,MOD(T$123,2)=0,T$123&lt;=IF($C127=1,$C$5-2,12)),Assumptions!$C$29*Assumptions!$D$35/2,0)+IF($C127=1,IF(T$123=$C$6,Assumptions!$C$29*$C$121,0),IF(T$123=12,Assumptions!$C$29*$E127/100,0))</f>
        <v>0</v>
      </c>
      <c r="U127" s="40" t="n">
        <f aca="false">IF(U$123=0,-Assumptions!$C$29*Assumptions!$E$35/100,0)+IF(AND(U$123&gt;=2,MOD(U$123,2)=0,U$123&lt;=IF($C127=1,$C$5-2,12)),Assumptions!$C$29*Assumptions!$D$35/2,0)+IF($C127=1,IF(U$123=$C$6,Assumptions!$C$29*$C$121,0),IF(U$123=12,Assumptions!$C$29*$E127/100,0))</f>
        <v>0</v>
      </c>
      <c r="V127" s="40" t="n">
        <f aca="false">IF(V$123=0,-Assumptions!$C$29*Assumptions!$E$35/100,0)+IF(AND(V$123&gt;=2,MOD(V$123,2)=0,V$123&lt;=IF($C127=1,$C$5-2,12)),Assumptions!$C$29*Assumptions!$D$35/2,0)+IF($C127=1,IF(V$123=$C$6,Assumptions!$C$29*$C$121,0),IF(V$123=12,Assumptions!$C$29*$E127/100,0))</f>
        <v>0</v>
      </c>
      <c r="W127" s="40" t="n">
        <f aca="false">IF(W$123=0,-Assumptions!$C$29*Assumptions!$E$35/100,0)+IF(AND(W$123&gt;=2,MOD(W$123,2)=0,W$123&lt;=IF($C127=1,$C$5-2,12)),Assumptions!$C$29*Assumptions!$D$35/2,0)+IF($C127=1,IF(W$123=$C$6,Assumptions!$C$29*$C$121,0),IF(W$123=12,Assumptions!$C$29*$E127/100,0))</f>
        <v>0</v>
      </c>
      <c r="X127" s="40" t="n">
        <f aca="false">IF(X$123=0,-Assumptions!$C$29*Assumptions!$E$35/100,0)+IF(AND(X$123&gt;=2,MOD(X$123,2)=0,X$123&lt;=IF($C127=1,$C$5-2,12)),Assumptions!$C$29*Assumptions!$D$35/2,0)+IF($C127=1,IF(X$123=$C$6,Assumptions!$C$29*$C$121,0),IF(X$123=12,Assumptions!$C$29*$E127/100,0))</f>
        <v>0</v>
      </c>
      <c r="Y127" s="40" t="n">
        <f aca="false">IF(Y$123=0,-Assumptions!$C$29*Assumptions!$E$35/100,0)+IF(AND(Y$123&gt;=2,MOD(Y$123,2)=0,Y$123&lt;=IF($C127=1,$C$5-2,12)),Assumptions!$C$29*Assumptions!$D$35/2,0)+IF($C127=1,IF(Y$123=$C$6,Assumptions!$C$29*$C$121,0),IF(Y$123=12,Assumptions!$C$29*$E127/100,0))</f>
        <v>0</v>
      </c>
    </row>
    <row r="128" customFormat="false" ht="15" hidden="false" customHeight="false" outlineLevel="0" collapsed="false">
      <c r="B128" s="9" t="s">
        <v>51</v>
      </c>
      <c r="C128" s="28" t="n">
        <f aca="false">IF($C$13&lt;=$C$122,1,0)</f>
        <v>1</v>
      </c>
      <c r="D128" s="19" t="n">
        <f aca="false">Assumptions!$F$36</f>
        <v>12125</v>
      </c>
      <c r="E128" s="39" t="n">
        <f aca="false">PV($F128/2,(Assumptions!$C$30*4-12)/2,-Assumptions!$D$36*100/2,-100)</f>
        <v>98.6441572961372</v>
      </c>
      <c r="F128" s="17" t="n">
        <f aca="false">RATE(Assumptions!$C$30*2,Assumptions!$D$36*100/2,-Assumptions!$E$36,100)*2</f>
        <v>0.0875368825411204</v>
      </c>
      <c r="G128" s="26" t="n">
        <f aca="false">SUM(I128:Y128)</f>
        <v>-6125</v>
      </c>
      <c r="H128" s="17" t="n">
        <f aca="false">(1+IRR(I128:Y128,IF(SUM(I128:Y128)&lt;0,-0.05,0.01)))^4-1</f>
        <v>-0.266722541760838</v>
      </c>
      <c r="I128" s="40" t="n">
        <f aca="false">IF(I$123=0,-Assumptions!$C$29*Assumptions!$E$36/100,0)+IF(AND(I$123&gt;=2,MOD(I$123,2)=0,I$123&lt;=IF($C128=1,$C$5-2,12)),Assumptions!$C$29*Assumptions!$D$36/2,0)+IF($C128=1,IF(I$123=$C$6,Assumptions!$C$29*$C$121,0),IF(I$123=12,Assumptions!$C$29*$E128/100,0))</f>
        <v>-12125</v>
      </c>
      <c r="J128" s="40" t="n">
        <f aca="false">IF(J$123=0,-Assumptions!$C$29*Assumptions!$E$36/100,0)+IF(AND(J$123&gt;=2,MOD(J$123,2)=0,J$123&lt;=IF($C128=1,$C$5-2,12)),Assumptions!$C$29*Assumptions!$D$36/2,0)+IF($C128=1,IF(J$123=$C$6,Assumptions!$C$29*$C$121,0),IF(J$123=12,Assumptions!$C$29*$E128/100,0))</f>
        <v>0</v>
      </c>
      <c r="K128" s="40" t="n">
        <f aca="false">IF(K$123=0,-Assumptions!$C$29*Assumptions!$E$36/100,0)+IF(AND(K$123&gt;=2,MOD(K$123,2)=0,K$123&lt;=IF($C128=1,$C$5-2,12)),Assumptions!$C$29*Assumptions!$D$36/2,0)+IF($C128=1,IF(K$123=$C$6,Assumptions!$C$29*$C$121,0),IF(K$123=12,Assumptions!$C$29*$E128/100,0))</f>
        <v>500</v>
      </c>
      <c r="L128" s="40" t="n">
        <f aca="false">IF(L$123=0,-Assumptions!$C$29*Assumptions!$E$36/100,0)+IF(AND(L$123&gt;=2,MOD(L$123,2)=0,L$123&lt;=IF($C128=1,$C$5-2,12)),Assumptions!$C$29*Assumptions!$D$36/2,0)+IF($C128=1,IF(L$123=$C$6,Assumptions!$C$29*$C$121,0),IF(L$123=12,Assumptions!$C$29*$E128/100,0))</f>
        <v>0</v>
      </c>
      <c r="M128" s="40" t="n">
        <f aca="false">IF(M$123=0,-Assumptions!$C$29*Assumptions!$E$36/100,0)+IF(AND(M$123&gt;=2,MOD(M$123,2)=0,M$123&lt;=IF($C128=1,$C$5-2,12)),Assumptions!$C$29*Assumptions!$D$36/2,0)+IF($C128=1,IF(M$123=$C$6,Assumptions!$C$29*$C$121,0),IF(M$123=12,Assumptions!$C$29*$E128/100,0))</f>
        <v>500</v>
      </c>
      <c r="N128" s="40" t="n">
        <f aca="false">IF(N$123=0,-Assumptions!$C$29*Assumptions!$E$36/100,0)+IF(AND(N$123&gt;=2,MOD(N$123,2)=0,N$123&lt;=IF($C128=1,$C$5-2,12)),Assumptions!$C$29*Assumptions!$D$36/2,0)+IF($C128=1,IF(N$123=$C$6,Assumptions!$C$29*$C$121,0),IF(N$123=12,Assumptions!$C$29*$E128/100,0))</f>
        <v>0</v>
      </c>
      <c r="O128" s="40" t="n">
        <f aca="false">IF(O$123=0,-Assumptions!$C$29*Assumptions!$E$36/100,0)+IF(AND(O$123&gt;=2,MOD(O$123,2)=0,O$123&lt;=IF($C128=1,$C$5-2,12)),Assumptions!$C$29*Assumptions!$D$36/2,0)+IF($C128=1,IF(O$123=$C$6,Assumptions!$C$29*$C$121,0),IF(O$123=12,Assumptions!$C$29*$E128/100,0))</f>
        <v>0</v>
      </c>
      <c r="P128" s="40" t="n">
        <f aca="false">IF(P$123=0,-Assumptions!$C$29*Assumptions!$E$36/100,0)+IF(AND(P$123&gt;=2,MOD(P$123,2)=0,P$123&lt;=IF($C128=1,$C$5-2,12)),Assumptions!$C$29*Assumptions!$D$36/2,0)+IF($C128=1,IF(P$123=$C$6,Assumptions!$C$29*$C$121,0),IF(P$123=12,Assumptions!$C$29*$E128/100,0))</f>
        <v>0</v>
      </c>
      <c r="Q128" s="40" t="n">
        <f aca="false">IF(Q$123=0,-Assumptions!$C$29*Assumptions!$E$36/100,0)+IF(AND(Q$123&gt;=2,MOD(Q$123,2)=0,Q$123&lt;=IF($C128=1,$C$5-2,12)),Assumptions!$C$29*Assumptions!$D$36/2,0)+IF($C128=1,IF(Q$123=$C$6,Assumptions!$C$29*$C$121,0),IF(Q$123=12,Assumptions!$C$29*$E128/100,0))</f>
        <v>0</v>
      </c>
      <c r="R128" s="40" t="n">
        <f aca="false">IF(R$123=0,-Assumptions!$C$29*Assumptions!$E$36/100,0)+IF(AND(R$123&gt;=2,MOD(R$123,2)=0,R$123&lt;=IF($C128=1,$C$5-2,12)),Assumptions!$C$29*Assumptions!$D$36/2,0)+IF($C128=1,IF(R$123=$C$6,Assumptions!$C$29*$C$121,0),IF(R$123=12,Assumptions!$C$29*$E128/100,0))</f>
        <v>0</v>
      </c>
      <c r="S128" s="40" t="n">
        <f aca="false">IF(S$123=0,-Assumptions!$C$29*Assumptions!$E$36/100,0)+IF(AND(S$123&gt;=2,MOD(S$123,2)=0,S$123&lt;=IF($C128=1,$C$5-2,12)),Assumptions!$C$29*Assumptions!$D$36/2,0)+IF($C128=1,IF(S$123=$C$6,Assumptions!$C$29*$C$121,0),IF(S$123=12,Assumptions!$C$29*$E128/100,0))</f>
        <v>5000</v>
      </c>
      <c r="T128" s="40" t="n">
        <f aca="false">IF(T$123=0,-Assumptions!$C$29*Assumptions!$E$36/100,0)+IF(AND(T$123&gt;=2,MOD(T$123,2)=0,T$123&lt;=IF($C128=1,$C$5-2,12)),Assumptions!$C$29*Assumptions!$D$36/2,0)+IF($C128=1,IF(T$123=$C$6,Assumptions!$C$29*$C$121,0),IF(T$123=12,Assumptions!$C$29*$E128/100,0))</f>
        <v>0</v>
      </c>
      <c r="U128" s="40" t="n">
        <f aca="false">IF(U$123=0,-Assumptions!$C$29*Assumptions!$E$36/100,0)+IF(AND(U$123&gt;=2,MOD(U$123,2)=0,U$123&lt;=IF($C128=1,$C$5-2,12)),Assumptions!$C$29*Assumptions!$D$36/2,0)+IF($C128=1,IF(U$123=$C$6,Assumptions!$C$29*$C$121,0),IF(U$123=12,Assumptions!$C$29*$E128/100,0))</f>
        <v>0</v>
      </c>
      <c r="V128" s="40" t="n">
        <f aca="false">IF(V$123=0,-Assumptions!$C$29*Assumptions!$E$36/100,0)+IF(AND(V$123&gt;=2,MOD(V$123,2)=0,V$123&lt;=IF($C128=1,$C$5-2,12)),Assumptions!$C$29*Assumptions!$D$36/2,0)+IF($C128=1,IF(V$123=$C$6,Assumptions!$C$29*$C$121,0),IF(V$123=12,Assumptions!$C$29*$E128/100,0))</f>
        <v>0</v>
      </c>
      <c r="W128" s="40" t="n">
        <f aca="false">IF(W$123=0,-Assumptions!$C$29*Assumptions!$E$36/100,0)+IF(AND(W$123&gt;=2,MOD(W$123,2)=0,W$123&lt;=IF($C128=1,$C$5-2,12)),Assumptions!$C$29*Assumptions!$D$36/2,0)+IF($C128=1,IF(W$123=$C$6,Assumptions!$C$29*$C$121,0),IF(W$123=12,Assumptions!$C$29*$E128/100,0))</f>
        <v>0</v>
      </c>
      <c r="X128" s="40" t="n">
        <f aca="false">IF(X$123=0,-Assumptions!$C$29*Assumptions!$E$36/100,0)+IF(AND(X$123&gt;=2,MOD(X$123,2)=0,X$123&lt;=IF($C128=1,$C$5-2,12)),Assumptions!$C$29*Assumptions!$D$36/2,0)+IF($C128=1,IF(X$123=$C$6,Assumptions!$C$29*$C$121,0),IF(X$123=12,Assumptions!$C$29*$E128/100,0))</f>
        <v>0</v>
      </c>
      <c r="Y128" s="40" t="n">
        <f aca="false">IF(Y$123=0,-Assumptions!$C$29*Assumptions!$E$36/100,0)+IF(AND(Y$123&gt;=2,MOD(Y$123,2)=0,Y$123&lt;=IF($C128=1,$C$5-2,12)),Assumptions!$C$29*Assumptions!$D$36/2,0)+IF($C128=1,IF(Y$123=$C$6,Assumptions!$C$29*$C$121,0),IF(Y$123=12,Assumptions!$C$29*$E128/100,0))</f>
        <v>0</v>
      </c>
    </row>
    <row r="129" customFormat="false" ht="15" hidden="false" customHeight="false" outlineLevel="0" collapsed="false">
      <c r="B129" s="9" t="s">
        <v>52</v>
      </c>
      <c r="C129" s="28" t="n">
        <f aca="false">IF($C$14&lt;=$C$122,1,0)</f>
        <v>1</v>
      </c>
      <c r="D129" s="19" t="n">
        <f aca="false">Assumptions!$F$37</f>
        <v>11750</v>
      </c>
      <c r="E129" s="39" t="n">
        <f aca="false">PV($F129/2,(Assumptions!$C$30*4-12)/2,-Assumptions!$D$37*100/2,-100)</f>
        <v>97.2427387979842</v>
      </c>
      <c r="F129" s="17" t="n">
        <f aca="false">RATE(Assumptions!$C$30*2,Assumptions!$D$37*100/2,-Assumptions!$E$37,100)*2</f>
        <v>0.100561753609911</v>
      </c>
      <c r="G129" s="26" t="n">
        <f aca="false">SUM(I129:Y129)</f>
        <v>-5687.5</v>
      </c>
      <c r="H129" s="17" t="n">
        <f aca="false">(1+IRR(I129:Y129,IF(SUM(I129:Y129)&lt;0,-0.05,0.01)))^4-1</f>
        <v>-0.254569160102313</v>
      </c>
      <c r="I129" s="40" t="n">
        <f aca="false">IF(I$123=0,-Assumptions!$C$29*Assumptions!$E$37/100,0)+IF(AND(I$123&gt;=2,MOD(I$123,2)=0,I$123&lt;=IF($C129=1,$C$5-2,12)),Assumptions!$C$29*Assumptions!$D$37/2,0)+IF($C129=1,IF(I$123=$C$6,Assumptions!$C$29*$C$121,0),IF(I$123=12,Assumptions!$C$29*$E129/100,0))</f>
        <v>-11750</v>
      </c>
      <c r="J129" s="40" t="n">
        <f aca="false">IF(J$123=0,-Assumptions!$C$29*Assumptions!$E$37/100,0)+IF(AND(J$123&gt;=2,MOD(J$123,2)=0,J$123&lt;=IF($C129=1,$C$5-2,12)),Assumptions!$C$29*Assumptions!$D$37/2,0)+IF($C129=1,IF(J$123=$C$6,Assumptions!$C$29*$C$121,0),IF(J$123=12,Assumptions!$C$29*$E129/100,0))</f>
        <v>0</v>
      </c>
      <c r="K129" s="40" t="n">
        <f aca="false">IF(K$123=0,-Assumptions!$C$29*Assumptions!$E$37/100,0)+IF(AND(K$123&gt;=2,MOD(K$123,2)=0,K$123&lt;=IF($C129=1,$C$5-2,12)),Assumptions!$C$29*Assumptions!$D$37/2,0)+IF($C129=1,IF(K$123=$C$6,Assumptions!$C$29*$C$121,0),IF(K$123=12,Assumptions!$C$29*$E129/100,0))</f>
        <v>531.25</v>
      </c>
      <c r="L129" s="40" t="n">
        <f aca="false">IF(L$123=0,-Assumptions!$C$29*Assumptions!$E$37/100,0)+IF(AND(L$123&gt;=2,MOD(L$123,2)=0,L$123&lt;=IF($C129=1,$C$5-2,12)),Assumptions!$C$29*Assumptions!$D$37/2,0)+IF($C129=1,IF(L$123=$C$6,Assumptions!$C$29*$C$121,0),IF(L$123=12,Assumptions!$C$29*$E129/100,0))</f>
        <v>0</v>
      </c>
      <c r="M129" s="40" t="n">
        <f aca="false">IF(M$123=0,-Assumptions!$C$29*Assumptions!$E$37/100,0)+IF(AND(M$123&gt;=2,MOD(M$123,2)=0,M$123&lt;=IF($C129=1,$C$5-2,12)),Assumptions!$C$29*Assumptions!$D$37/2,0)+IF($C129=1,IF(M$123=$C$6,Assumptions!$C$29*$C$121,0),IF(M$123=12,Assumptions!$C$29*$E129/100,0))</f>
        <v>531.25</v>
      </c>
      <c r="N129" s="40" t="n">
        <f aca="false">IF(N$123=0,-Assumptions!$C$29*Assumptions!$E$37/100,0)+IF(AND(N$123&gt;=2,MOD(N$123,2)=0,N$123&lt;=IF($C129=1,$C$5-2,12)),Assumptions!$C$29*Assumptions!$D$37/2,0)+IF($C129=1,IF(N$123=$C$6,Assumptions!$C$29*$C$121,0),IF(N$123=12,Assumptions!$C$29*$E129/100,0))</f>
        <v>0</v>
      </c>
      <c r="O129" s="40" t="n">
        <f aca="false">IF(O$123=0,-Assumptions!$C$29*Assumptions!$E$37/100,0)+IF(AND(O$123&gt;=2,MOD(O$123,2)=0,O$123&lt;=IF($C129=1,$C$5-2,12)),Assumptions!$C$29*Assumptions!$D$37/2,0)+IF($C129=1,IF(O$123=$C$6,Assumptions!$C$29*$C$121,0),IF(O$123=12,Assumptions!$C$29*$E129/100,0))</f>
        <v>0</v>
      </c>
      <c r="P129" s="40" t="n">
        <f aca="false">IF(P$123=0,-Assumptions!$C$29*Assumptions!$E$37/100,0)+IF(AND(P$123&gt;=2,MOD(P$123,2)=0,P$123&lt;=IF($C129=1,$C$5-2,12)),Assumptions!$C$29*Assumptions!$D$37/2,0)+IF($C129=1,IF(P$123=$C$6,Assumptions!$C$29*$C$121,0),IF(P$123=12,Assumptions!$C$29*$E129/100,0))</f>
        <v>0</v>
      </c>
      <c r="Q129" s="40" t="n">
        <f aca="false">IF(Q$123=0,-Assumptions!$C$29*Assumptions!$E$37/100,0)+IF(AND(Q$123&gt;=2,MOD(Q$123,2)=0,Q$123&lt;=IF($C129=1,$C$5-2,12)),Assumptions!$C$29*Assumptions!$D$37/2,0)+IF($C129=1,IF(Q$123=$C$6,Assumptions!$C$29*$C$121,0),IF(Q$123=12,Assumptions!$C$29*$E129/100,0))</f>
        <v>0</v>
      </c>
      <c r="R129" s="40" t="n">
        <f aca="false">IF(R$123=0,-Assumptions!$C$29*Assumptions!$E$37/100,0)+IF(AND(R$123&gt;=2,MOD(R$123,2)=0,R$123&lt;=IF($C129=1,$C$5-2,12)),Assumptions!$C$29*Assumptions!$D$37/2,0)+IF($C129=1,IF(R$123=$C$6,Assumptions!$C$29*$C$121,0),IF(R$123=12,Assumptions!$C$29*$E129/100,0))</f>
        <v>0</v>
      </c>
      <c r="S129" s="40" t="n">
        <f aca="false">IF(S$123=0,-Assumptions!$C$29*Assumptions!$E$37/100,0)+IF(AND(S$123&gt;=2,MOD(S$123,2)=0,S$123&lt;=IF($C129=1,$C$5-2,12)),Assumptions!$C$29*Assumptions!$D$37/2,0)+IF($C129=1,IF(S$123=$C$6,Assumptions!$C$29*$C$121,0),IF(S$123=12,Assumptions!$C$29*$E129/100,0))</f>
        <v>5000</v>
      </c>
      <c r="T129" s="40" t="n">
        <f aca="false">IF(T$123=0,-Assumptions!$C$29*Assumptions!$E$37/100,0)+IF(AND(T$123&gt;=2,MOD(T$123,2)=0,T$123&lt;=IF($C129=1,$C$5-2,12)),Assumptions!$C$29*Assumptions!$D$37/2,0)+IF($C129=1,IF(T$123=$C$6,Assumptions!$C$29*$C$121,0),IF(T$123=12,Assumptions!$C$29*$E129/100,0))</f>
        <v>0</v>
      </c>
      <c r="U129" s="40" t="n">
        <f aca="false">IF(U$123=0,-Assumptions!$C$29*Assumptions!$E$37/100,0)+IF(AND(U$123&gt;=2,MOD(U$123,2)=0,U$123&lt;=IF($C129=1,$C$5-2,12)),Assumptions!$C$29*Assumptions!$D$37/2,0)+IF($C129=1,IF(U$123=$C$6,Assumptions!$C$29*$C$121,0),IF(U$123=12,Assumptions!$C$29*$E129/100,0))</f>
        <v>0</v>
      </c>
      <c r="V129" s="40" t="n">
        <f aca="false">IF(V$123=0,-Assumptions!$C$29*Assumptions!$E$37/100,0)+IF(AND(V$123&gt;=2,MOD(V$123,2)=0,V$123&lt;=IF($C129=1,$C$5-2,12)),Assumptions!$C$29*Assumptions!$D$37/2,0)+IF($C129=1,IF(V$123=$C$6,Assumptions!$C$29*$C$121,0),IF(V$123=12,Assumptions!$C$29*$E129/100,0))</f>
        <v>0</v>
      </c>
      <c r="W129" s="40" t="n">
        <f aca="false">IF(W$123=0,-Assumptions!$C$29*Assumptions!$E$37/100,0)+IF(AND(W$123&gt;=2,MOD(W$123,2)=0,W$123&lt;=IF($C129=1,$C$5-2,12)),Assumptions!$C$29*Assumptions!$D$37/2,0)+IF($C129=1,IF(W$123=$C$6,Assumptions!$C$29*$C$121,0),IF(W$123=12,Assumptions!$C$29*$E129/100,0))</f>
        <v>0</v>
      </c>
      <c r="X129" s="40" t="n">
        <f aca="false">IF(X$123=0,-Assumptions!$C$29*Assumptions!$E$37/100,0)+IF(AND(X$123&gt;=2,MOD(X$123,2)=0,X$123&lt;=IF($C129=1,$C$5-2,12)),Assumptions!$C$29*Assumptions!$D$37/2,0)+IF($C129=1,IF(X$123=$C$6,Assumptions!$C$29*$C$121,0),IF(X$123=12,Assumptions!$C$29*$E129/100,0))</f>
        <v>0</v>
      </c>
      <c r="Y129" s="40" t="n">
        <f aca="false">IF(Y$123=0,-Assumptions!$C$29*Assumptions!$E$37/100,0)+IF(AND(Y$123&gt;=2,MOD(Y$123,2)=0,Y$123&lt;=IF($C129=1,$C$5-2,12)),Assumptions!$C$29*Assumptions!$D$37/2,0)+IF($C129=1,IF(Y$123=$C$6,Assumptions!$C$29*$C$121,0),IF(Y$123=12,Assumptions!$C$29*$E129/100,0))</f>
        <v>0</v>
      </c>
    </row>
    <row r="130" customFormat="false" ht="15" hidden="false" customHeight="false" outlineLevel="0" collapsed="false">
      <c r="B130" s="29" t="s">
        <v>154</v>
      </c>
      <c r="D130" s="41" t="n">
        <f aca="false">SUM(D124:D129)</f>
        <v>73000</v>
      </c>
      <c r="G130" s="41" t="n">
        <f aca="false">SUM(I130:Y130)</f>
        <v>-9874.91391258205</v>
      </c>
      <c r="H130" s="30" t="n">
        <f aca="false">(1+IRR(I130:Y130,IF(SUM(I130:Y130)&lt;0,-0.05,0.01)))^4-1</f>
        <v>-0.0537585023773277</v>
      </c>
      <c r="I130" s="42" t="n">
        <f aca="false">SUM(I124:I129)</f>
        <v>-73000</v>
      </c>
      <c r="J130" s="42" t="n">
        <f aca="false">SUM(J124:J129)</f>
        <v>0</v>
      </c>
      <c r="K130" s="42" t="n">
        <f aca="false">SUM(K124:K129)</f>
        <v>2812.5</v>
      </c>
      <c r="L130" s="42" t="n">
        <f aca="false">SUM(L124:L129)</f>
        <v>0</v>
      </c>
      <c r="M130" s="42" t="n">
        <f aca="false">SUM(M124:M129)</f>
        <v>2812.5</v>
      </c>
      <c r="N130" s="42" t="n">
        <f aca="false">SUM(N124:N129)</f>
        <v>0</v>
      </c>
      <c r="O130" s="42" t="n">
        <f aca="false">SUM(O124:O129)</f>
        <v>1312.5</v>
      </c>
      <c r="P130" s="42" t="n">
        <f aca="false">SUM(P124:P129)</f>
        <v>0</v>
      </c>
      <c r="Q130" s="42" t="n">
        <f aca="false">SUM(Q124:Q129)</f>
        <v>1312.5</v>
      </c>
      <c r="R130" s="42" t="n">
        <f aca="false">SUM(R124:R129)</f>
        <v>0</v>
      </c>
      <c r="S130" s="42" t="n">
        <f aca="false">SUM(S124:S129)</f>
        <v>16312.5</v>
      </c>
      <c r="T130" s="42" t="n">
        <f aca="false">SUM(T124:T129)</f>
        <v>0</v>
      </c>
      <c r="U130" s="42" t="n">
        <f aca="false">SUM(U124:U129)</f>
        <v>38562.586087418</v>
      </c>
      <c r="V130" s="42" t="n">
        <f aca="false">SUM(V124:V129)</f>
        <v>0</v>
      </c>
      <c r="W130" s="42" t="n">
        <f aca="false">SUM(W124:W129)</f>
        <v>0</v>
      </c>
      <c r="X130" s="42" t="n">
        <f aca="false">SUM(X124:X129)</f>
        <v>0</v>
      </c>
      <c r="Y130" s="42" t="n">
        <f aca="false">SUM(Y124:Y129)</f>
        <v>0</v>
      </c>
    </row>
    <row r="132" customFormat="false" ht="15" hidden="false" customHeight="false" outlineLevel="0" collapsed="false">
      <c r="B132" s="7" t="s">
        <v>163</v>
      </c>
      <c r="C132" s="8"/>
      <c r="D132" s="8"/>
      <c r="E132" s="8"/>
      <c r="F132" s="8"/>
      <c r="G132" s="8"/>
      <c r="H132" s="8"/>
      <c r="I132" s="8"/>
      <c r="J132" s="8"/>
      <c r="K132" s="8"/>
      <c r="L132" s="8"/>
      <c r="M132" s="8"/>
      <c r="N132" s="8"/>
      <c r="O132" s="8"/>
      <c r="P132" s="8"/>
      <c r="Q132" s="8"/>
      <c r="R132" s="8"/>
      <c r="S132" s="8"/>
      <c r="T132" s="8"/>
      <c r="U132" s="8"/>
      <c r="V132" s="8"/>
      <c r="W132" s="8"/>
      <c r="X132" s="8"/>
      <c r="Y132" s="8"/>
    </row>
    <row r="133" customFormat="false" ht="15" hidden="false" customHeight="false" outlineLevel="0" collapsed="false">
      <c r="B133" s="9" t="s">
        <v>117</v>
      </c>
      <c r="C133" s="22" t="n">
        <f aca="false">$B$19</f>
        <v>0.4</v>
      </c>
    </row>
    <row r="134" customFormat="false" ht="15" hidden="false" customHeight="false" outlineLevel="0" collapsed="false">
      <c r="B134" s="9" t="s">
        <v>148</v>
      </c>
      <c r="C134" s="28" t="n">
        <f aca="false">G$17</f>
        <v>4</v>
      </c>
    </row>
    <row r="135" customFormat="false" ht="30" hidden="false" customHeight="true" outlineLevel="0" collapsed="false">
      <c r="B135" s="13" t="s">
        <v>32</v>
      </c>
      <c r="C135" s="14" t="s">
        <v>149</v>
      </c>
      <c r="D135" s="14" t="s">
        <v>46</v>
      </c>
      <c r="E135" s="14" t="s">
        <v>150</v>
      </c>
      <c r="F135" s="14" t="s">
        <v>151</v>
      </c>
      <c r="G135" s="14" t="s">
        <v>152</v>
      </c>
      <c r="H135" s="14" t="s">
        <v>153</v>
      </c>
      <c r="I135" s="38" t="n">
        <v>0</v>
      </c>
      <c r="J135" s="38" t="n">
        <v>1</v>
      </c>
      <c r="K135" s="38" t="n">
        <v>2</v>
      </c>
      <c r="L135" s="38" t="n">
        <v>3</v>
      </c>
      <c r="M135" s="38" t="n">
        <v>4</v>
      </c>
      <c r="N135" s="38" t="n">
        <v>5</v>
      </c>
      <c r="O135" s="38" t="n">
        <v>6</v>
      </c>
      <c r="P135" s="38" t="n">
        <v>7</v>
      </c>
      <c r="Q135" s="38" t="n">
        <v>8</v>
      </c>
      <c r="R135" s="38" t="n">
        <v>9</v>
      </c>
      <c r="S135" s="38" t="n">
        <v>10</v>
      </c>
      <c r="T135" s="38" t="n">
        <v>11</v>
      </c>
      <c r="U135" s="38" t="n">
        <v>12</v>
      </c>
      <c r="V135" s="38" t="n">
        <v>13</v>
      </c>
      <c r="W135" s="38" t="n">
        <v>14</v>
      </c>
      <c r="X135" s="38" t="n">
        <v>15</v>
      </c>
      <c r="Y135" s="38" t="n">
        <v>16</v>
      </c>
    </row>
    <row r="136" customFormat="false" ht="15" hidden="false" customHeight="false" outlineLevel="0" collapsed="false">
      <c r="B136" s="9" t="s">
        <v>47</v>
      </c>
      <c r="C136" s="28" t="n">
        <f aca="false">IF($C$9&lt;=$C$134,1,0)</f>
        <v>0</v>
      </c>
      <c r="D136" s="19" t="n">
        <f aca="false">Assumptions!$F$32</f>
        <v>12375</v>
      </c>
      <c r="E136" s="39" t="n">
        <f aca="false">PV($F136/2,(Assumptions!$C$30*4-12)/2,-Assumptions!$D$32*100/2,-100)</f>
        <v>99.5584003138178</v>
      </c>
      <c r="F136" s="17" t="n">
        <f aca="false">RATE(Assumptions!$C$30*2,Assumptions!$D$32*100/2,-Assumptions!$E$32,100)*2</f>
        <v>0.0699042470751673</v>
      </c>
      <c r="G136" s="26" t="n">
        <f aca="false">SUM(I136:Y136)</f>
        <v>2601.05003922723</v>
      </c>
      <c r="H136" s="17" t="n">
        <f aca="false">(1+IRR(I136:Y136,IF(SUM(I136:Y136)&lt;0,-0.05,0.01)))^4-1</f>
        <v>0.0711258980149541</v>
      </c>
      <c r="I136" s="40" t="n">
        <f aca="false">IF(I$135=0,-Assumptions!$C$29*Assumptions!$E$32/100,0)+IF(AND(I$135&gt;=2,MOD(I$135,2)=0,I$135&lt;=IF($C136=1,$C$5-2,12)),Assumptions!$C$29*Assumptions!$D$32/2,0)+IF($C136=1,IF(I$135=$C$6,Assumptions!$C$29*$C$133,0),IF(I$135=12,Assumptions!$C$29*$E136/100,0))</f>
        <v>-12375</v>
      </c>
      <c r="J136" s="40" t="n">
        <f aca="false">IF(J$135=0,-Assumptions!$C$29*Assumptions!$E$32/100,0)+IF(AND(J$135&gt;=2,MOD(J$135,2)=0,J$135&lt;=IF($C136=1,$C$5-2,12)),Assumptions!$C$29*Assumptions!$D$32/2,0)+IF($C136=1,IF(J$135=$C$6,Assumptions!$C$29*$C$133,0),IF(J$135=12,Assumptions!$C$29*$E136/100,0))</f>
        <v>0</v>
      </c>
      <c r="K136" s="40" t="n">
        <f aca="false">IF(K$135=0,-Assumptions!$C$29*Assumptions!$E$32/100,0)+IF(AND(K$135&gt;=2,MOD(K$135,2)=0,K$135&lt;=IF($C136=1,$C$5-2,12)),Assumptions!$C$29*Assumptions!$D$32/2,0)+IF($C136=1,IF(K$135=$C$6,Assumptions!$C$29*$C$133,0),IF(K$135=12,Assumptions!$C$29*$E136/100,0))</f>
        <v>421.875</v>
      </c>
      <c r="L136" s="40" t="n">
        <f aca="false">IF(L$135=0,-Assumptions!$C$29*Assumptions!$E$32/100,0)+IF(AND(L$135&gt;=2,MOD(L$135,2)=0,L$135&lt;=IF($C136=1,$C$5-2,12)),Assumptions!$C$29*Assumptions!$D$32/2,0)+IF($C136=1,IF(L$135=$C$6,Assumptions!$C$29*$C$133,0),IF(L$135=12,Assumptions!$C$29*$E136/100,0))</f>
        <v>0</v>
      </c>
      <c r="M136" s="40" t="n">
        <f aca="false">IF(M$135=0,-Assumptions!$C$29*Assumptions!$E$32/100,0)+IF(AND(M$135&gt;=2,MOD(M$135,2)=0,M$135&lt;=IF($C136=1,$C$5-2,12)),Assumptions!$C$29*Assumptions!$D$32/2,0)+IF($C136=1,IF(M$135=$C$6,Assumptions!$C$29*$C$133,0),IF(M$135=12,Assumptions!$C$29*$E136/100,0))</f>
        <v>421.875</v>
      </c>
      <c r="N136" s="40" t="n">
        <f aca="false">IF(N$135=0,-Assumptions!$C$29*Assumptions!$E$32/100,0)+IF(AND(N$135&gt;=2,MOD(N$135,2)=0,N$135&lt;=IF($C136=1,$C$5-2,12)),Assumptions!$C$29*Assumptions!$D$32/2,0)+IF($C136=1,IF(N$135=$C$6,Assumptions!$C$29*$C$133,0),IF(N$135=12,Assumptions!$C$29*$E136/100,0))</f>
        <v>0</v>
      </c>
      <c r="O136" s="40" t="n">
        <f aca="false">IF(O$135=0,-Assumptions!$C$29*Assumptions!$E$32/100,0)+IF(AND(O$135&gt;=2,MOD(O$135,2)=0,O$135&lt;=IF($C136=1,$C$5-2,12)),Assumptions!$C$29*Assumptions!$D$32/2,0)+IF($C136=1,IF(O$135=$C$6,Assumptions!$C$29*$C$133,0),IF(O$135=12,Assumptions!$C$29*$E136/100,0))</f>
        <v>421.875</v>
      </c>
      <c r="P136" s="40" t="n">
        <f aca="false">IF(P$135=0,-Assumptions!$C$29*Assumptions!$E$32/100,0)+IF(AND(P$135&gt;=2,MOD(P$135,2)=0,P$135&lt;=IF($C136=1,$C$5-2,12)),Assumptions!$C$29*Assumptions!$D$32/2,0)+IF($C136=1,IF(P$135=$C$6,Assumptions!$C$29*$C$133,0),IF(P$135=12,Assumptions!$C$29*$E136/100,0))</f>
        <v>0</v>
      </c>
      <c r="Q136" s="40" t="n">
        <f aca="false">IF(Q$135=0,-Assumptions!$C$29*Assumptions!$E$32/100,0)+IF(AND(Q$135&gt;=2,MOD(Q$135,2)=0,Q$135&lt;=IF($C136=1,$C$5-2,12)),Assumptions!$C$29*Assumptions!$D$32/2,0)+IF($C136=1,IF(Q$135=$C$6,Assumptions!$C$29*$C$133,0),IF(Q$135=12,Assumptions!$C$29*$E136/100,0))</f>
        <v>421.875</v>
      </c>
      <c r="R136" s="40" t="n">
        <f aca="false">IF(R$135=0,-Assumptions!$C$29*Assumptions!$E$32/100,0)+IF(AND(R$135&gt;=2,MOD(R$135,2)=0,R$135&lt;=IF($C136=1,$C$5-2,12)),Assumptions!$C$29*Assumptions!$D$32/2,0)+IF($C136=1,IF(R$135=$C$6,Assumptions!$C$29*$C$133,0),IF(R$135=12,Assumptions!$C$29*$E136/100,0))</f>
        <v>0</v>
      </c>
      <c r="S136" s="40" t="n">
        <f aca="false">IF(S$135=0,-Assumptions!$C$29*Assumptions!$E$32/100,0)+IF(AND(S$135&gt;=2,MOD(S$135,2)=0,S$135&lt;=IF($C136=1,$C$5-2,12)),Assumptions!$C$29*Assumptions!$D$32/2,0)+IF($C136=1,IF(S$135=$C$6,Assumptions!$C$29*$C$133,0),IF(S$135=12,Assumptions!$C$29*$E136/100,0))</f>
        <v>421.875</v>
      </c>
      <c r="T136" s="40" t="n">
        <f aca="false">IF(T$135=0,-Assumptions!$C$29*Assumptions!$E$32/100,0)+IF(AND(T$135&gt;=2,MOD(T$135,2)=0,T$135&lt;=IF($C136=1,$C$5-2,12)),Assumptions!$C$29*Assumptions!$D$32/2,0)+IF($C136=1,IF(T$135=$C$6,Assumptions!$C$29*$C$133,0),IF(T$135=12,Assumptions!$C$29*$E136/100,0))</f>
        <v>0</v>
      </c>
      <c r="U136" s="40" t="n">
        <f aca="false">IF(U$135=0,-Assumptions!$C$29*Assumptions!$E$32/100,0)+IF(AND(U$135&gt;=2,MOD(U$135,2)=0,U$135&lt;=IF($C136=1,$C$5-2,12)),Assumptions!$C$29*Assumptions!$D$32/2,0)+IF($C136=1,IF(U$135=$C$6,Assumptions!$C$29*$C$133,0),IF(U$135=12,Assumptions!$C$29*$E136/100,0))</f>
        <v>12866.6750392272</v>
      </c>
      <c r="V136" s="40" t="n">
        <f aca="false">IF(V$135=0,-Assumptions!$C$29*Assumptions!$E$32/100,0)+IF(AND(V$135&gt;=2,MOD(V$135,2)=0,V$135&lt;=IF($C136=1,$C$5-2,12)),Assumptions!$C$29*Assumptions!$D$32/2,0)+IF($C136=1,IF(V$135=$C$6,Assumptions!$C$29*$C$133,0),IF(V$135=12,Assumptions!$C$29*$E136/100,0))</f>
        <v>0</v>
      </c>
      <c r="W136" s="40" t="n">
        <f aca="false">IF(W$135=0,-Assumptions!$C$29*Assumptions!$E$32/100,0)+IF(AND(W$135&gt;=2,MOD(W$135,2)=0,W$135&lt;=IF($C136=1,$C$5-2,12)),Assumptions!$C$29*Assumptions!$D$32/2,0)+IF($C136=1,IF(W$135=$C$6,Assumptions!$C$29*$C$133,0),IF(W$135=12,Assumptions!$C$29*$E136/100,0))</f>
        <v>0</v>
      </c>
      <c r="X136" s="40" t="n">
        <f aca="false">IF(X$135=0,-Assumptions!$C$29*Assumptions!$E$32/100,0)+IF(AND(X$135&gt;=2,MOD(X$135,2)=0,X$135&lt;=IF($C136=1,$C$5-2,12)),Assumptions!$C$29*Assumptions!$D$32/2,0)+IF($C136=1,IF(X$135=$C$6,Assumptions!$C$29*$C$133,0),IF(X$135=12,Assumptions!$C$29*$E136/100,0))</f>
        <v>0</v>
      </c>
      <c r="Y136" s="40" t="n">
        <f aca="false">IF(Y$135=0,-Assumptions!$C$29*Assumptions!$E$32/100,0)+IF(AND(Y$135&gt;=2,MOD(Y$135,2)=0,Y$135&lt;=IF($C136=1,$C$5-2,12)),Assumptions!$C$29*Assumptions!$D$32/2,0)+IF($C136=1,IF(Y$135=$C$6,Assumptions!$C$29*$C$133,0),IF(Y$135=12,Assumptions!$C$29*$E136/100,0))</f>
        <v>0</v>
      </c>
    </row>
    <row r="137" customFormat="false" ht="15" hidden="false" customHeight="false" outlineLevel="0" collapsed="false">
      <c r="B137" s="9" t="s">
        <v>48</v>
      </c>
      <c r="C137" s="28" t="n">
        <f aca="false">IF($C$10&lt;=$C$134,1,0)</f>
        <v>0</v>
      </c>
      <c r="D137" s="19" t="n">
        <f aca="false">Assumptions!$F$33</f>
        <v>12312.5</v>
      </c>
      <c r="E137" s="39" t="n">
        <f aca="false">PV($F137/2,(Assumptions!$C$30*4-12)/2,-Assumptions!$D$33*100/2,-100)</f>
        <v>99.3343027458663</v>
      </c>
      <c r="F137" s="17" t="n">
        <f aca="false">RATE(Assumptions!$C$30*2,Assumptions!$D$33*100/2,-Assumptions!$E$33,100)*2</f>
        <v>0.0736404123832243</v>
      </c>
      <c r="G137" s="26" t="n">
        <f aca="false">SUM(I137:Y137)</f>
        <v>2729.28784323328</v>
      </c>
      <c r="H137" s="17" t="n">
        <f aca="false">(1+IRR(I137:Y137,IF(SUM(I137:Y137)&lt;0,-0.05,0.01)))^4-1</f>
        <v>0.0749961399672177</v>
      </c>
      <c r="I137" s="40" t="n">
        <f aca="false">IF(I$135=0,-Assumptions!$C$29*Assumptions!$E$33/100,0)+IF(AND(I$135&gt;=2,MOD(I$135,2)=0,I$135&lt;=IF($C137=1,$C$5-2,12)),Assumptions!$C$29*Assumptions!$D$33/2,0)+IF($C137=1,IF(I$135=$C$6,Assumptions!$C$29*$C$133,0),IF(I$135=12,Assumptions!$C$29*$E137/100,0))</f>
        <v>-12312.5</v>
      </c>
      <c r="J137" s="40" t="n">
        <f aca="false">IF(J$135=0,-Assumptions!$C$29*Assumptions!$E$33/100,0)+IF(AND(J$135&gt;=2,MOD(J$135,2)=0,J$135&lt;=IF($C137=1,$C$5-2,12)),Assumptions!$C$29*Assumptions!$D$33/2,0)+IF($C137=1,IF(J$135=$C$6,Assumptions!$C$29*$C$133,0),IF(J$135=12,Assumptions!$C$29*$E137/100,0))</f>
        <v>0</v>
      </c>
      <c r="K137" s="40" t="n">
        <f aca="false">IF(K$135=0,-Assumptions!$C$29*Assumptions!$E$33/100,0)+IF(AND(K$135&gt;=2,MOD(K$135,2)=0,K$135&lt;=IF($C137=1,$C$5-2,12)),Assumptions!$C$29*Assumptions!$D$33/2,0)+IF($C137=1,IF(K$135=$C$6,Assumptions!$C$29*$C$133,0),IF(K$135=12,Assumptions!$C$29*$E137/100,0))</f>
        <v>437.5</v>
      </c>
      <c r="L137" s="40" t="n">
        <f aca="false">IF(L$135=0,-Assumptions!$C$29*Assumptions!$E$33/100,0)+IF(AND(L$135&gt;=2,MOD(L$135,2)=0,L$135&lt;=IF($C137=1,$C$5-2,12)),Assumptions!$C$29*Assumptions!$D$33/2,0)+IF($C137=1,IF(L$135=$C$6,Assumptions!$C$29*$C$133,0),IF(L$135=12,Assumptions!$C$29*$E137/100,0))</f>
        <v>0</v>
      </c>
      <c r="M137" s="40" t="n">
        <f aca="false">IF(M$135=0,-Assumptions!$C$29*Assumptions!$E$33/100,0)+IF(AND(M$135&gt;=2,MOD(M$135,2)=0,M$135&lt;=IF($C137=1,$C$5-2,12)),Assumptions!$C$29*Assumptions!$D$33/2,0)+IF($C137=1,IF(M$135=$C$6,Assumptions!$C$29*$C$133,0),IF(M$135=12,Assumptions!$C$29*$E137/100,0))</f>
        <v>437.5</v>
      </c>
      <c r="N137" s="40" t="n">
        <f aca="false">IF(N$135=0,-Assumptions!$C$29*Assumptions!$E$33/100,0)+IF(AND(N$135&gt;=2,MOD(N$135,2)=0,N$135&lt;=IF($C137=1,$C$5-2,12)),Assumptions!$C$29*Assumptions!$D$33/2,0)+IF($C137=1,IF(N$135=$C$6,Assumptions!$C$29*$C$133,0),IF(N$135=12,Assumptions!$C$29*$E137/100,0))</f>
        <v>0</v>
      </c>
      <c r="O137" s="40" t="n">
        <f aca="false">IF(O$135=0,-Assumptions!$C$29*Assumptions!$E$33/100,0)+IF(AND(O$135&gt;=2,MOD(O$135,2)=0,O$135&lt;=IF($C137=1,$C$5-2,12)),Assumptions!$C$29*Assumptions!$D$33/2,0)+IF($C137=1,IF(O$135=$C$6,Assumptions!$C$29*$C$133,0),IF(O$135=12,Assumptions!$C$29*$E137/100,0))</f>
        <v>437.5</v>
      </c>
      <c r="P137" s="40" t="n">
        <f aca="false">IF(P$135=0,-Assumptions!$C$29*Assumptions!$E$33/100,0)+IF(AND(P$135&gt;=2,MOD(P$135,2)=0,P$135&lt;=IF($C137=1,$C$5-2,12)),Assumptions!$C$29*Assumptions!$D$33/2,0)+IF($C137=1,IF(P$135=$C$6,Assumptions!$C$29*$C$133,0),IF(P$135=12,Assumptions!$C$29*$E137/100,0))</f>
        <v>0</v>
      </c>
      <c r="Q137" s="40" t="n">
        <f aca="false">IF(Q$135=0,-Assumptions!$C$29*Assumptions!$E$33/100,0)+IF(AND(Q$135&gt;=2,MOD(Q$135,2)=0,Q$135&lt;=IF($C137=1,$C$5-2,12)),Assumptions!$C$29*Assumptions!$D$33/2,0)+IF($C137=1,IF(Q$135=$C$6,Assumptions!$C$29*$C$133,0),IF(Q$135=12,Assumptions!$C$29*$E137/100,0))</f>
        <v>437.5</v>
      </c>
      <c r="R137" s="40" t="n">
        <f aca="false">IF(R$135=0,-Assumptions!$C$29*Assumptions!$E$33/100,0)+IF(AND(R$135&gt;=2,MOD(R$135,2)=0,R$135&lt;=IF($C137=1,$C$5-2,12)),Assumptions!$C$29*Assumptions!$D$33/2,0)+IF($C137=1,IF(R$135=$C$6,Assumptions!$C$29*$C$133,0),IF(R$135=12,Assumptions!$C$29*$E137/100,0))</f>
        <v>0</v>
      </c>
      <c r="S137" s="40" t="n">
        <f aca="false">IF(S$135=0,-Assumptions!$C$29*Assumptions!$E$33/100,0)+IF(AND(S$135&gt;=2,MOD(S$135,2)=0,S$135&lt;=IF($C137=1,$C$5-2,12)),Assumptions!$C$29*Assumptions!$D$33/2,0)+IF($C137=1,IF(S$135=$C$6,Assumptions!$C$29*$C$133,0),IF(S$135=12,Assumptions!$C$29*$E137/100,0))</f>
        <v>437.5</v>
      </c>
      <c r="T137" s="40" t="n">
        <f aca="false">IF(T$135=0,-Assumptions!$C$29*Assumptions!$E$33/100,0)+IF(AND(T$135&gt;=2,MOD(T$135,2)=0,T$135&lt;=IF($C137=1,$C$5-2,12)),Assumptions!$C$29*Assumptions!$D$33/2,0)+IF($C137=1,IF(T$135=$C$6,Assumptions!$C$29*$C$133,0),IF(T$135=12,Assumptions!$C$29*$E137/100,0))</f>
        <v>0</v>
      </c>
      <c r="U137" s="40" t="n">
        <f aca="false">IF(U$135=0,-Assumptions!$C$29*Assumptions!$E$33/100,0)+IF(AND(U$135&gt;=2,MOD(U$135,2)=0,U$135&lt;=IF($C137=1,$C$5-2,12)),Assumptions!$C$29*Assumptions!$D$33/2,0)+IF($C137=1,IF(U$135=$C$6,Assumptions!$C$29*$C$133,0),IF(U$135=12,Assumptions!$C$29*$E137/100,0))</f>
        <v>12854.2878432333</v>
      </c>
      <c r="V137" s="40" t="n">
        <f aca="false">IF(V$135=0,-Assumptions!$C$29*Assumptions!$E$33/100,0)+IF(AND(V$135&gt;=2,MOD(V$135,2)=0,V$135&lt;=IF($C137=1,$C$5-2,12)),Assumptions!$C$29*Assumptions!$D$33/2,0)+IF($C137=1,IF(V$135=$C$6,Assumptions!$C$29*$C$133,0),IF(V$135=12,Assumptions!$C$29*$E137/100,0))</f>
        <v>0</v>
      </c>
      <c r="W137" s="40" t="n">
        <f aca="false">IF(W$135=0,-Assumptions!$C$29*Assumptions!$E$33/100,0)+IF(AND(W$135&gt;=2,MOD(W$135,2)=0,W$135&lt;=IF($C137=1,$C$5-2,12)),Assumptions!$C$29*Assumptions!$D$33/2,0)+IF($C137=1,IF(W$135=$C$6,Assumptions!$C$29*$C$133,0),IF(W$135=12,Assumptions!$C$29*$E137/100,0))</f>
        <v>0</v>
      </c>
      <c r="X137" s="40" t="n">
        <f aca="false">IF(X$135=0,-Assumptions!$C$29*Assumptions!$E$33/100,0)+IF(AND(X$135&gt;=2,MOD(X$135,2)=0,X$135&lt;=IF($C137=1,$C$5-2,12)),Assumptions!$C$29*Assumptions!$D$33/2,0)+IF($C137=1,IF(X$135=$C$6,Assumptions!$C$29*$C$133,0),IF(X$135=12,Assumptions!$C$29*$E137/100,0))</f>
        <v>0</v>
      </c>
      <c r="Y137" s="40" t="n">
        <f aca="false">IF(Y$135=0,-Assumptions!$C$29*Assumptions!$E$33/100,0)+IF(AND(Y$135&gt;=2,MOD(Y$135,2)=0,Y$135&lt;=IF($C137=1,$C$5-2,12)),Assumptions!$C$29*Assumptions!$D$33/2,0)+IF($C137=1,IF(Y$135=$C$6,Assumptions!$C$29*$C$133,0),IF(Y$135=12,Assumptions!$C$29*$E137/100,0))</f>
        <v>0</v>
      </c>
    </row>
    <row r="138" customFormat="false" ht="15" hidden="false" customHeight="false" outlineLevel="0" collapsed="false">
      <c r="B138" s="9" t="s">
        <v>49</v>
      </c>
      <c r="C138" s="28" t="n">
        <f aca="false">IF($C$11&lt;=$C$134,1,0)</f>
        <v>1</v>
      </c>
      <c r="D138" s="19" t="n">
        <f aca="false">Assumptions!$F$34</f>
        <v>12250</v>
      </c>
      <c r="E138" s="39" t="n">
        <f aca="false">PV($F138/2,(Assumptions!$C$30*4-12)/2,-Assumptions!$D$34*100/2,-100)</f>
        <v>99.1079856396595</v>
      </c>
      <c r="F138" s="17" t="n">
        <f aca="false">RATE(Assumptions!$C$30*2,Assumptions!$D$34*100/2,-Assumptions!$E$34,100)*2</f>
        <v>0.0773997713205988</v>
      </c>
      <c r="G138" s="26" t="n">
        <f aca="false">SUM(I138:Y138)</f>
        <v>-6343.75</v>
      </c>
      <c r="H138" s="17" t="n">
        <f aca="false">(1+IRR(I138:Y138,IF(SUM(I138:Y138)&lt;0,-0.05,0.01)))^4-1</f>
        <v>-0.273002873857995</v>
      </c>
      <c r="I138" s="40" t="n">
        <f aca="false">IF(I$135=0,-Assumptions!$C$29*Assumptions!$E$34/100,0)+IF(AND(I$135&gt;=2,MOD(I$135,2)=0,I$135&lt;=IF($C138=1,$C$5-2,12)),Assumptions!$C$29*Assumptions!$D$34/2,0)+IF($C138=1,IF(I$135=$C$6,Assumptions!$C$29*$C$133,0),IF(I$135=12,Assumptions!$C$29*$E138/100,0))</f>
        <v>-12250</v>
      </c>
      <c r="J138" s="40" t="n">
        <f aca="false">IF(J$135=0,-Assumptions!$C$29*Assumptions!$E$34/100,0)+IF(AND(J$135&gt;=2,MOD(J$135,2)=0,J$135&lt;=IF($C138=1,$C$5-2,12)),Assumptions!$C$29*Assumptions!$D$34/2,0)+IF($C138=1,IF(J$135=$C$6,Assumptions!$C$29*$C$133,0),IF(J$135=12,Assumptions!$C$29*$E138/100,0))</f>
        <v>0</v>
      </c>
      <c r="K138" s="40" t="n">
        <f aca="false">IF(K$135=0,-Assumptions!$C$29*Assumptions!$E$34/100,0)+IF(AND(K$135&gt;=2,MOD(K$135,2)=0,K$135&lt;=IF($C138=1,$C$5-2,12)),Assumptions!$C$29*Assumptions!$D$34/2,0)+IF($C138=1,IF(K$135=$C$6,Assumptions!$C$29*$C$133,0),IF(K$135=12,Assumptions!$C$29*$E138/100,0))</f>
        <v>453.125</v>
      </c>
      <c r="L138" s="40" t="n">
        <f aca="false">IF(L$135=0,-Assumptions!$C$29*Assumptions!$E$34/100,0)+IF(AND(L$135&gt;=2,MOD(L$135,2)=0,L$135&lt;=IF($C138=1,$C$5-2,12)),Assumptions!$C$29*Assumptions!$D$34/2,0)+IF($C138=1,IF(L$135=$C$6,Assumptions!$C$29*$C$133,0),IF(L$135=12,Assumptions!$C$29*$E138/100,0))</f>
        <v>0</v>
      </c>
      <c r="M138" s="40" t="n">
        <f aca="false">IF(M$135=0,-Assumptions!$C$29*Assumptions!$E$34/100,0)+IF(AND(M$135&gt;=2,MOD(M$135,2)=0,M$135&lt;=IF($C138=1,$C$5-2,12)),Assumptions!$C$29*Assumptions!$D$34/2,0)+IF($C138=1,IF(M$135=$C$6,Assumptions!$C$29*$C$133,0),IF(M$135=12,Assumptions!$C$29*$E138/100,0))</f>
        <v>453.125</v>
      </c>
      <c r="N138" s="40" t="n">
        <f aca="false">IF(N$135=0,-Assumptions!$C$29*Assumptions!$E$34/100,0)+IF(AND(N$135&gt;=2,MOD(N$135,2)=0,N$135&lt;=IF($C138=1,$C$5-2,12)),Assumptions!$C$29*Assumptions!$D$34/2,0)+IF($C138=1,IF(N$135=$C$6,Assumptions!$C$29*$C$133,0),IF(N$135=12,Assumptions!$C$29*$E138/100,0))</f>
        <v>0</v>
      </c>
      <c r="O138" s="40" t="n">
        <f aca="false">IF(O$135=0,-Assumptions!$C$29*Assumptions!$E$34/100,0)+IF(AND(O$135&gt;=2,MOD(O$135,2)=0,O$135&lt;=IF($C138=1,$C$5-2,12)),Assumptions!$C$29*Assumptions!$D$34/2,0)+IF($C138=1,IF(O$135=$C$6,Assumptions!$C$29*$C$133,0),IF(O$135=12,Assumptions!$C$29*$E138/100,0))</f>
        <v>0</v>
      </c>
      <c r="P138" s="40" t="n">
        <f aca="false">IF(P$135=0,-Assumptions!$C$29*Assumptions!$E$34/100,0)+IF(AND(P$135&gt;=2,MOD(P$135,2)=0,P$135&lt;=IF($C138=1,$C$5-2,12)),Assumptions!$C$29*Assumptions!$D$34/2,0)+IF($C138=1,IF(P$135=$C$6,Assumptions!$C$29*$C$133,0),IF(P$135=12,Assumptions!$C$29*$E138/100,0))</f>
        <v>0</v>
      </c>
      <c r="Q138" s="40" t="n">
        <f aca="false">IF(Q$135=0,-Assumptions!$C$29*Assumptions!$E$34/100,0)+IF(AND(Q$135&gt;=2,MOD(Q$135,2)=0,Q$135&lt;=IF($C138=1,$C$5-2,12)),Assumptions!$C$29*Assumptions!$D$34/2,0)+IF($C138=1,IF(Q$135=$C$6,Assumptions!$C$29*$C$133,0),IF(Q$135=12,Assumptions!$C$29*$E138/100,0))</f>
        <v>0</v>
      </c>
      <c r="R138" s="40" t="n">
        <f aca="false">IF(R$135=0,-Assumptions!$C$29*Assumptions!$E$34/100,0)+IF(AND(R$135&gt;=2,MOD(R$135,2)=0,R$135&lt;=IF($C138=1,$C$5-2,12)),Assumptions!$C$29*Assumptions!$D$34/2,0)+IF($C138=1,IF(R$135=$C$6,Assumptions!$C$29*$C$133,0),IF(R$135=12,Assumptions!$C$29*$E138/100,0))</f>
        <v>0</v>
      </c>
      <c r="S138" s="40" t="n">
        <f aca="false">IF(S$135=0,-Assumptions!$C$29*Assumptions!$E$34/100,0)+IF(AND(S$135&gt;=2,MOD(S$135,2)=0,S$135&lt;=IF($C138=1,$C$5-2,12)),Assumptions!$C$29*Assumptions!$D$34/2,0)+IF($C138=1,IF(S$135=$C$6,Assumptions!$C$29*$C$133,0),IF(S$135=12,Assumptions!$C$29*$E138/100,0))</f>
        <v>5000</v>
      </c>
      <c r="T138" s="40" t="n">
        <f aca="false">IF(T$135=0,-Assumptions!$C$29*Assumptions!$E$34/100,0)+IF(AND(T$135&gt;=2,MOD(T$135,2)=0,T$135&lt;=IF($C138=1,$C$5-2,12)),Assumptions!$C$29*Assumptions!$D$34/2,0)+IF($C138=1,IF(T$135=$C$6,Assumptions!$C$29*$C$133,0),IF(T$135=12,Assumptions!$C$29*$E138/100,0))</f>
        <v>0</v>
      </c>
      <c r="U138" s="40" t="n">
        <f aca="false">IF(U$135=0,-Assumptions!$C$29*Assumptions!$E$34/100,0)+IF(AND(U$135&gt;=2,MOD(U$135,2)=0,U$135&lt;=IF($C138=1,$C$5-2,12)),Assumptions!$C$29*Assumptions!$D$34/2,0)+IF($C138=1,IF(U$135=$C$6,Assumptions!$C$29*$C$133,0),IF(U$135=12,Assumptions!$C$29*$E138/100,0))</f>
        <v>0</v>
      </c>
      <c r="V138" s="40" t="n">
        <f aca="false">IF(V$135=0,-Assumptions!$C$29*Assumptions!$E$34/100,0)+IF(AND(V$135&gt;=2,MOD(V$135,2)=0,V$135&lt;=IF($C138=1,$C$5-2,12)),Assumptions!$C$29*Assumptions!$D$34/2,0)+IF($C138=1,IF(V$135=$C$6,Assumptions!$C$29*$C$133,0),IF(V$135=12,Assumptions!$C$29*$E138/100,0))</f>
        <v>0</v>
      </c>
      <c r="W138" s="40" t="n">
        <f aca="false">IF(W$135=0,-Assumptions!$C$29*Assumptions!$E$34/100,0)+IF(AND(W$135&gt;=2,MOD(W$135,2)=0,W$135&lt;=IF($C138=1,$C$5-2,12)),Assumptions!$C$29*Assumptions!$D$34/2,0)+IF($C138=1,IF(W$135=$C$6,Assumptions!$C$29*$C$133,0),IF(W$135=12,Assumptions!$C$29*$E138/100,0))</f>
        <v>0</v>
      </c>
      <c r="X138" s="40" t="n">
        <f aca="false">IF(X$135=0,-Assumptions!$C$29*Assumptions!$E$34/100,0)+IF(AND(X$135&gt;=2,MOD(X$135,2)=0,X$135&lt;=IF($C138=1,$C$5-2,12)),Assumptions!$C$29*Assumptions!$D$34/2,0)+IF($C138=1,IF(X$135=$C$6,Assumptions!$C$29*$C$133,0),IF(X$135=12,Assumptions!$C$29*$E138/100,0))</f>
        <v>0</v>
      </c>
      <c r="Y138" s="40" t="n">
        <f aca="false">IF(Y$135=0,-Assumptions!$C$29*Assumptions!$E$34/100,0)+IF(AND(Y$135&gt;=2,MOD(Y$135,2)=0,Y$135&lt;=IF($C138=1,$C$5-2,12)),Assumptions!$C$29*Assumptions!$D$34/2,0)+IF($C138=1,IF(Y$135=$C$6,Assumptions!$C$29*$C$133,0),IF(Y$135=12,Assumptions!$C$29*$E138/100,0))</f>
        <v>0</v>
      </c>
    </row>
    <row r="139" customFormat="false" ht="15" hidden="false" customHeight="false" outlineLevel="0" collapsed="false">
      <c r="B139" s="9" t="s">
        <v>50</v>
      </c>
      <c r="C139" s="28" t="n">
        <f aca="false">IF($C$12&lt;=$C$134,1,0)</f>
        <v>1</v>
      </c>
      <c r="D139" s="19" t="n">
        <f aca="false">Assumptions!$F$35</f>
        <v>12187.5</v>
      </c>
      <c r="E139" s="39" t="n">
        <f aca="false">PV($F139/2,(Assumptions!$C$30*4-12)/2,-Assumptions!$D$35*100/2,-100)</f>
        <v>98.8794329841845</v>
      </c>
      <c r="F139" s="17" t="n">
        <f aca="false">RATE(Assumptions!$C$30*2,Assumptions!$D$35*100/2,-Assumptions!$E$35,100)*2</f>
        <v>0.0811827080590467</v>
      </c>
      <c r="G139" s="26" t="n">
        <f aca="false">SUM(I139:Y139)</f>
        <v>-6250</v>
      </c>
      <c r="H139" s="17" t="n">
        <f aca="false">(1+IRR(I139:Y139,IF(SUM(I139:Y139)&lt;0,-0.05,0.01)))^4-1</f>
        <v>-0.270391171436401</v>
      </c>
      <c r="I139" s="40" t="n">
        <f aca="false">IF(I$135=0,-Assumptions!$C$29*Assumptions!$E$35/100,0)+IF(AND(I$135&gt;=2,MOD(I$135,2)=0,I$135&lt;=IF($C139=1,$C$5-2,12)),Assumptions!$C$29*Assumptions!$D$35/2,0)+IF($C139=1,IF(I$135=$C$6,Assumptions!$C$29*$C$133,0),IF(I$135=12,Assumptions!$C$29*$E139/100,0))</f>
        <v>-12187.5</v>
      </c>
      <c r="J139" s="40" t="n">
        <f aca="false">IF(J$135=0,-Assumptions!$C$29*Assumptions!$E$35/100,0)+IF(AND(J$135&gt;=2,MOD(J$135,2)=0,J$135&lt;=IF($C139=1,$C$5-2,12)),Assumptions!$C$29*Assumptions!$D$35/2,0)+IF($C139=1,IF(J$135=$C$6,Assumptions!$C$29*$C$133,0),IF(J$135=12,Assumptions!$C$29*$E139/100,0))</f>
        <v>0</v>
      </c>
      <c r="K139" s="40" t="n">
        <f aca="false">IF(K$135=0,-Assumptions!$C$29*Assumptions!$E$35/100,0)+IF(AND(K$135&gt;=2,MOD(K$135,2)=0,K$135&lt;=IF($C139=1,$C$5-2,12)),Assumptions!$C$29*Assumptions!$D$35/2,0)+IF($C139=1,IF(K$135=$C$6,Assumptions!$C$29*$C$133,0),IF(K$135=12,Assumptions!$C$29*$E139/100,0))</f>
        <v>468.75</v>
      </c>
      <c r="L139" s="40" t="n">
        <f aca="false">IF(L$135=0,-Assumptions!$C$29*Assumptions!$E$35/100,0)+IF(AND(L$135&gt;=2,MOD(L$135,2)=0,L$135&lt;=IF($C139=1,$C$5-2,12)),Assumptions!$C$29*Assumptions!$D$35/2,0)+IF($C139=1,IF(L$135=$C$6,Assumptions!$C$29*$C$133,0),IF(L$135=12,Assumptions!$C$29*$E139/100,0))</f>
        <v>0</v>
      </c>
      <c r="M139" s="40" t="n">
        <f aca="false">IF(M$135=0,-Assumptions!$C$29*Assumptions!$E$35/100,0)+IF(AND(M$135&gt;=2,MOD(M$135,2)=0,M$135&lt;=IF($C139=1,$C$5-2,12)),Assumptions!$C$29*Assumptions!$D$35/2,0)+IF($C139=1,IF(M$135=$C$6,Assumptions!$C$29*$C$133,0),IF(M$135=12,Assumptions!$C$29*$E139/100,0))</f>
        <v>468.75</v>
      </c>
      <c r="N139" s="40" t="n">
        <f aca="false">IF(N$135=0,-Assumptions!$C$29*Assumptions!$E$35/100,0)+IF(AND(N$135&gt;=2,MOD(N$135,2)=0,N$135&lt;=IF($C139=1,$C$5-2,12)),Assumptions!$C$29*Assumptions!$D$35/2,0)+IF($C139=1,IF(N$135=$C$6,Assumptions!$C$29*$C$133,0),IF(N$135=12,Assumptions!$C$29*$E139/100,0))</f>
        <v>0</v>
      </c>
      <c r="O139" s="40" t="n">
        <f aca="false">IF(O$135=0,-Assumptions!$C$29*Assumptions!$E$35/100,0)+IF(AND(O$135&gt;=2,MOD(O$135,2)=0,O$135&lt;=IF($C139=1,$C$5-2,12)),Assumptions!$C$29*Assumptions!$D$35/2,0)+IF($C139=1,IF(O$135=$C$6,Assumptions!$C$29*$C$133,0),IF(O$135=12,Assumptions!$C$29*$E139/100,0))</f>
        <v>0</v>
      </c>
      <c r="P139" s="40" t="n">
        <f aca="false">IF(P$135=0,-Assumptions!$C$29*Assumptions!$E$35/100,0)+IF(AND(P$135&gt;=2,MOD(P$135,2)=0,P$135&lt;=IF($C139=1,$C$5-2,12)),Assumptions!$C$29*Assumptions!$D$35/2,0)+IF($C139=1,IF(P$135=$C$6,Assumptions!$C$29*$C$133,0),IF(P$135=12,Assumptions!$C$29*$E139/100,0))</f>
        <v>0</v>
      </c>
      <c r="Q139" s="40" t="n">
        <f aca="false">IF(Q$135=0,-Assumptions!$C$29*Assumptions!$E$35/100,0)+IF(AND(Q$135&gt;=2,MOD(Q$135,2)=0,Q$135&lt;=IF($C139=1,$C$5-2,12)),Assumptions!$C$29*Assumptions!$D$35/2,0)+IF($C139=1,IF(Q$135=$C$6,Assumptions!$C$29*$C$133,0),IF(Q$135=12,Assumptions!$C$29*$E139/100,0))</f>
        <v>0</v>
      </c>
      <c r="R139" s="40" t="n">
        <f aca="false">IF(R$135=0,-Assumptions!$C$29*Assumptions!$E$35/100,0)+IF(AND(R$135&gt;=2,MOD(R$135,2)=0,R$135&lt;=IF($C139=1,$C$5-2,12)),Assumptions!$C$29*Assumptions!$D$35/2,0)+IF($C139=1,IF(R$135=$C$6,Assumptions!$C$29*$C$133,0),IF(R$135=12,Assumptions!$C$29*$E139/100,0))</f>
        <v>0</v>
      </c>
      <c r="S139" s="40" t="n">
        <f aca="false">IF(S$135=0,-Assumptions!$C$29*Assumptions!$E$35/100,0)+IF(AND(S$135&gt;=2,MOD(S$135,2)=0,S$135&lt;=IF($C139=1,$C$5-2,12)),Assumptions!$C$29*Assumptions!$D$35/2,0)+IF($C139=1,IF(S$135=$C$6,Assumptions!$C$29*$C$133,0),IF(S$135=12,Assumptions!$C$29*$E139/100,0))</f>
        <v>5000</v>
      </c>
      <c r="T139" s="40" t="n">
        <f aca="false">IF(T$135=0,-Assumptions!$C$29*Assumptions!$E$35/100,0)+IF(AND(T$135&gt;=2,MOD(T$135,2)=0,T$135&lt;=IF($C139=1,$C$5-2,12)),Assumptions!$C$29*Assumptions!$D$35/2,0)+IF($C139=1,IF(T$135=$C$6,Assumptions!$C$29*$C$133,0),IF(T$135=12,Assumptions!$C$29*$E139/100,0))</f>
        <v>0</v>
      </c>
      <c r="U139" s="40" t="n">
        <f aca="false">IF(U$135=0,-Assumptions!$C$29*Assumptions!$E$35/100,0)+IF(AND(U$135&gt;=2,MOD(U$135,2)=0,U$135&lt;=IF($C139=1,$C$5-2,12)),Assumptions!$C$29*Assumptions!$D$35/2,0)+IF($C139=1,IF(U$135=$C$6,Assumptions!$C$29*$C$133,0),IF(U$135=12,Assumptions!$C$29*$E139/100,0))</f>
        <v>0</v>
      </c>
      <c r="V139" s="40" t="n">
        <f aca="false">IF(V$135=0,-Assumptions!$C$29*Assumptions!$E$35/100,0)+IF(AND(V$135&gt;=2,MOD(V$135,2)=0,V$135&lt;=IF($C139=1,$C$5-2,12)),Assumptions!$C$29*Assumptions!$D$35/2,0)+IF($C139=1,IF(V$135=$C$6,Assumptions!$C$29*$C$133,0),IF(V$135=12,Assumptions!$C$29*$E139/100,0))</f>
        <v>0</v>
      </c>
      <c r="W139" s="40" t="n">
        <f aca="false">IF(W$135=0,-Assumptions!$C$29*Assumptions!$E$35/100,0)+IF(AND(W$135&gt;=2,MOD(W$135,2)=0,W$135&lt;=IF($C139=1,$C$5-2,12)),Assumptions!$C$29*Assumptions!$D$35/2,0)+IF($C139=1,IF(W$135=$C$6,Assumptions!$C$29*$C$133,0),IF(W$135=12,Assumptions!$C$29*$E139/100,0))</f>
        <v>0</v>
      </c>
      <c r="X139" s="40" t="n">
        <f aca="false">IF(X$135=0,-Assumptions!$C$29*Assumptions!$E$35/100,0)+IF(AND(X$135&gt;=2,MOD(X$135,2)=0,X$135&lt;=IF($C139=1,$C$5-2,12)),Assumptions!$C$29*Assumptions!$D$35/2,0)+IF($C139=1,IF(X$135=$C$6,Assumptions!$C$29*$C$133,0),IF(X$135=12,Assumptions!$C$29*$E139/100,0))</f>
        <v>0</v>
      </c>
      <c r="Y139" s="40" t="n">
        <f aca="false">IF(Y$135=0,-Assumptions!$C$29*Assumptions!$E$35/100,0)+IF(AND(Y$135&gt;=2,MOD(Y$135,2)=0,Y$135&lt;=IF($C139=1,$C$5-2,12)),Assumptions!$C$29*Assumptions!$D$35/2,0)+IF($C139=1,IF(Y$135=$C$6,Assumptions!$C$29*$C$133,0),IF(Y$135=12,Assumptions!$C$29*$E139/100,0))</f>
        <v>0</v>
      </c>
    </row>
    <row r="140" customFormat="false" ht="15" hidden="false" customHeight="false" outlineLevel="0" collapsed="false">
      <c r="B140" s="9" t="s">
        <v>51</v>
      </c>
      <c r="C140" s="28" t="n">
        <f aca="false">IF($C$13&lt;=$C$134,1,0)</f>
        <v>1</v>
      </c>
      <c r="D140" s="19" t="n">
        <f aca="false">Assumptions!$F$36</f>
        <v>12125</v>
      </c>
      <c r="E140" s="39" t="n">
        <f aca="false">PV($F140/2,(Assumptions!$C$30*4-12)/2,-Assumptions!$D$36*100/2,-100)</f>
        <v>98.6441572961372</v>
      </c>
      <c r="F140" s="17" t="n">
        <f aca="false">RATE(Assumptions!$C$30*2,Assumptions!$D$36*100/2,-Assumptions!$E$36,100)*2</f>
        <v>0.0875368825411204</v>
      </c>
      <c r="G140" s="26" t="n">
        <f aca="false">SUM(I140:Y140)</f>
        <v>-6125</v>
      </c>
      <c r="H140" s="17" t="n">
        <f aca="false">(1+IRR(I140:Y140,IF(SUM(I140:Y140)&lt;0,-0.05,0.01)))^4-1</f>
        <v>-0.266722541760838</v>
      </c>
      <c r="I140" s="40" t="n">
        <f aca="false">IF(I$135=0,-Assumptions!$C$29*Assumptions!$E$36/100,0)+IF(AND(I$135&gt;=2,MOD(I$135,2)=0,I$135&lt;=IF($C140=1,$C$5-2,12)),Assumptions!$C$29*Assumptions!$D$36/2,0)+IF($C140=1,IF(I$135=$C$6,Assumptions!$C$29*$C$133,0),IF(I$135=12,Assumptions!$C$29*$E140/100,0))</f>
        <v>-12125</v>
      </c>
      <c r="J140" s="40" t="n">
        <f aca="false">IF(J$135=0,-Assumptions!$C$29*Assumptions!$E$36/100,0)+IF(AND(J$135&gt;=2,MOD(J$135,2)=0,J$135&lt;=IF($C140=1,$C$5-2,12)),Assumptions!$C$29*Assumptions!$D$36/2,0)+IF($C140=1,IF(J$135=$C$6,Assumptions!$C$29*$C$133,0),IF(J$135=12,Assumptions!$C$29*$E140/100,0))</f>
        <v>0</v>
      </c>
      <c r="K140" s="40" t="n">
        <f aca="false">IF(K$135=0,-Assumptions!$C$29*Assumptions!$E$36/100,0)+IF(AND(K$135&gt;=2,MOD(K$135,2)=0,K$135&lt;=IF($C140=1,$C$5-2,12)),Assumptions!$C$29*Assumptions!$D$36/2,0)+IF($C140=1,IF(K$135=$C$6,Assumptions!$C$29*$C$133,0),IF(K$135=12,Assumptions!$C$29*$E140/100,0))</f>
        <v>500</v>
      </c>
      <c r="L140" s="40" t="n">
        <f aca="false">IF(L$135=0,-Assumptions!$C$29*Assumptions!$E$36/100,0)+IF(AND(L$135&gt;=2,MOD(L$135,2)=0,L$135&lt;=IF($C140=1,$C$5-2,12)),Assumptions!$C$29*Assumptions!$D$36/2,0)+IF($C140=1,IF(L$135=$C$6,Assumptions!$C$29*$C$133,0),IF(L$135=12,Assumptions!$C$29*$E140/100,0))</f>
        <v>0</v>
      </c>
      <c r="M140" s="40" t="n">
        <f aca="false">IF(M$135=0,-Assumptions!$C$29*Assumptions!$E$36/100,0)+IF(AND(M$135&gt;=2,MOD(M$135,2)=0,M$135&lt;=IF($C140=1,$C$5-2,12)),Assumptions!$C$29*Assumptions!$D$36/2,0)+IF($C140=1,IF(M$135=$C$6,Assumptions!$C$29*$C$133,0),IF(M$135=12,Assumptions!$C$29*$E140/100,0))</f>
        <v>500</v>
      </c>
      <c r="N140" s="40" t="n">
        <f aca="false">IF(N$135=0,-Assumptions!$C$29*Assumptions!$E$36/100,0)+IF(AND(N$135&gt;=2,MOD(N$135,2)=0,N$135&lt;=IF($C140=1,$C$5-2,12)),Assumptions!$C$29*Assumptions!$D$36/2,0)+IF($C140=1,IF(N$135=$C$6,Assumptions!$C$29*$C$133,0),IF(N$135=12,Assumptions!$C$29*$E140/100,0))</f>
        <v>0</v>
      </c>
      <c r="O140" s="40" t="n">
        <f aca="false">IF(O$135=0,-Assumptions!$C$29*Assumptions!$E$36/100,0)+IF(AND(O$135&gt;=2,MOD(O$135,2)=0,O$135&lt;=IF($C140=1,$C$5-2,12)),Assumptions!$C$29*Assumptions!$D$36/2,0)+IF($C140=1,IF(O$135=$C$6,Assumptions!$C$29*$C$133,0),IF(O$135=12,Assumptions!$C$29*$E140/100,0))</f>
        <v>0</v>
      </c>
      <c r="P140" s="40" t="n">
        <f aca="false">IF(P$135=0,-Assumptions!$C$29*Assumptions!$E$36/100,0)+IF(AND(P$135&gt;=2,MOD(P$135,2)=0,P$135&lt;=IF($C140=1,$C$5-2,12)),Assumptions!$C$29*Assumptions!$D$36/2,0)+IF($C140=1,IF(P$135=$C$6,Assumptions!$C$29*$C$133,0),IF(P$135=12,Assumptions!$C$29*$E140/100,0))</f>
        <v>0</v>
      </c>
      <c r="Q140" s="40" t="n">
        <f aca="false">IF(Q$135=0,-Assumptions!$C$29*Assumptions!$E$36/100,0)+IF(AND(Q$135&gt;=2,MOD(Q$135,2)=0,Q$135&lt;=IF($C140=1,$C$5-2,12)),Assumptions!$C$29*Assumptions!$D$36/2,0)+IF($C140=1,IF(Q$135=$C$6,Assumptions!$C$29*$C$133,0),IF(Q$135=12,Assumptions!$C$29*$E140/100,0))</f>
        <v>0</v>
      </c>
      <c r="R140" s="40" t="n">
        <f aca="false">IF(R$135=0,-Assumptions!$C$29*Assumptions!$E$36/100,0)+IF(AND(R$135&gt;=2,MOD(R$135,2)=0,R$135&lt;=IF($C140=1,$C$5-2,12)),Assumptions!$C$29*Assumptions!$D$36/2,0)+IF($C140=1,IF(R$135=$C$6,Assumptions!$C$29*$C$133,0),IF(R$135=12,Assumptions!$C$29*$E140/100,0))</f>
        <v>0</v>
      </c>
      <c r="S140" s="40" t="n">
        <f aca="false">IF(S$135=0,-Assumptions!$C$29*Assumptions!$E$36/100,0)+IF(AND(S$135&gt;=2,MOD(S$135,2)=0,S$135&lt;=IF($C140=1,$C$5-2,12)),Assumptions!$C$29*Assumptions!$D$36/2,0)+IF($C140=1,IF(S$135=$C$6,Assumptions!$C$29*$C$133,0),IF(S$135=12,Assumptions!$C$29*$E140/100,0))</f>
        <v>5000</v>
      </c>
      <c r="T140" s="40" t="n">
        <f aca="false">IF(T$135=0,-Assumptions!$C$29*Assumptions!$E$36/100,0)+IF(AND(T$135&gt;=2,MOD(T$135,2)=0,T$135&lt;=IF($C140=1,$C$5-2,12)),Assumptions!$C$29*Assumptions!$D$36/2,0)+IF($C140=1,IF(T$135=$C$6,Assumptions!$C$29*$C$133,0),IF(T$135=12,Assumptions!$C$29*$E140/100,0))</f>
        <v>0</v>
      </c>
      <c r="U140" s="40" t="n">
        <f aca="false">IF(U$135=0,-Assumptions!$C$29*Assumptions!$E$36/100,0)+IF(AND(U$135&gt;=2,MOD(U$135,2)=0,U$135&lt;=IF($C140=1,$C$5-2,12)),Assumptions!$C$29*Assumptions!$D$36/2,0)+IF($C140=1,IF(U$135=$C$6,Assumptions!$C$29*$C$133,0),IF(U$135=12,Assumptions!$C$29*$E140/100,0))</f>
        <v>0</v>
      </c>
      <c r="V140" s="40" t="n">
        <f aca="false">IF(V$135=0,-Assumptions!$C$29*Assumptions!$E$36/100,0)+IF(AND(V$135&gt;=2,MOD(V$135,2)=0,V$135&lt;=IF($C140=1,$C$5-2,12)),Assumptions!$C$29*Assumptions!$D$36/2,0)+IF($C140=1,IF(V$135=$C$6,Assumptions!$C$29*$C$133,0),IF(V$135=12,Assumptions!$C$29*$E140/100,0))</f>
        <v>0</v>
      </c>
      <c r="W140" s="40" t="n">
        <f aca="false">IF(W$135=0,-Assumptions!$C$29*Assumptions!$E$36/100,0)+IF(AND(W$135&gt;=2,MOD(W$135,2)=0,W$135&lt;=IF($C140=1,$C$5-2,12)),Assumptions!$C$29*Assumptions!$D$36/2,0)+IF($C140=1,IF(W$135=$C$6,Assumptions!$C$29*$C$133,0),IF(W$135=12,Assumptions!$C$29*$E140/100,0))</f>
        <v>0</v>
      </c>
      <c r="X140" s="40" t="n">
        <f aca="false">IF(X$135=0,-Assumptions!$C$29*Assumptions!$E$36/100,0)+IF(AND(X$135&gt;=2,MOD(X$135,2)=0,X$135&lt;=IF($C140=1,$C$5-2,12)),Assumptions!$C$29*Assumptions!$D$36/2,0)+IF($C140=1,IF(X$135=$C$6,Assumptions!$C$29*$C$133,0),IF(X$135=12,Assumptions!$C$29*$E140/100,0))</f>
        <v>0</v>
      </c>
      <c r="Y140" s="40" t="n">
        <f aca="false">IF(Y$135=0,-Assumptions!$C$29*Assumptions!$E$36/100,0)+IF(AND(Y$135&gt;=2,MOD(Y$135,2)=0,Y$135&lt;=IF($C140=1,$C$5-2,12)),Assumptions!$C$29*Assumptions!$D$36/2,0)+IF($C140=1,IF(Y$135=$C$6,Assumptions!$C$29*$C$133,0),IF(Y$135=12,Assumptions!$C$29*$E140/100,0))</f>
        <v>0</v>
      </c>
    </row>
    <row r="141" customFormat="false" ht="15" hidden="false" customHeight="false" outlineLevel="0" collapsed="false">
      <c r="B141" s="9" t="s">
        <v>52</v>
      </c>
      <c r="C141" s="28" t="n">
        <f aca="false">IF($C$14&lt;=$C$134,1,0)</f>
        <v>1</v>
      </c>
      <c r="D141" s="19" t="n">
        <f aca="false">Assumptions!$F$37</f>
        <v>11750</v>
      </c>
      <c r="E141" s="39" t="n">
        <f aca="false">PV($F141/2,(Assumptions!$C$30*4-12)/2,-Assumptions!$D$37*100/2,-100)</f>
        <v>97.2427387979842</v>
      </c>
      <c r="F141" s="17" t="n">
        <f aca="false">RATE(Assumptions!$C$30*2,Assumptions!$D$37*100/2,-Assumptions!$E$37,100)*2</f>
        <v>0.100561753609911</v>
      </c>
      <c r="G141" s="26" t="n">
        <f aca="false">SUM(I141:Y141)</f>
        <v>-5687.5</v>
      </c>
      <c r="H141" s="17" t="n">
        <f aca="false">(1+IRR(I141:Y141,IF(SUM(I141:Y141)&lt;0,-0.05,0.01)))^4-1</f>
        <v>-0.254569160102313</v>
      </c>
      <c r="I141" s="40" t="n">
        <f aca="false">IF(I$135=0,-Assumptions!$C$29*Assumptions!$E$37/100,0)+IF(AND(I$135&gt;=2,MOD(I$135,2)=0,I$135&lt;=IF($C141=1,$C$5-2,12)),Assumptions!$C$29*Assumptions!$D$37/2,0)+IF($C141=1,IF(I$135=$C$6,Assumptions!$C$29*$C$133,0),IF(I$135=12,Assumptions!$C$29*$E141/100,0))</f>
        <v>-11750</v>
      </c>
      <c r="J141" s="40" t="n">
        <f aca="false">IF(J$135=0,-Assumptions!$C$29*Assumptions!$E$37/100,0)+IF(AND(J$135&gt;=2,MOD(J$135,2)=0,J$135&lt;=IF($C141=1,$C$5-2,12)),Assumptions!$C$29*Assumptions!$D$37/2,0)+IF($C141=1,IF(J$135=$C$6,Assumptions!$C$29*$C$133,0),IF(J$135=12,Assumptions!$C$29*$E141/100,0))</f>
        <v>0</v>
      </c>
      <c r="K141" s="40" t="n">
        <f aca="false">IF(K$135=0,-Assumptions!$C$29*Assumptions!$E$37/100,0)+IF(AND(K$135&gt;=2,MOD(K$135,2)=0,K$135&lt;=IF($C141=1,$C$5-2,12)),Assumptions!$C$29*Assumptions!$D$37/2,0)+IF($C141=1,IF(K$135=$C$6,Assumptions!$C$29*$C$133,0),IF(K$135=12,Assumptions!$C$29*$E141/100,0))</f>
        <v>531.25</v>
      </c>
      <c r="L141" s="40" t="n">
        <f aca="false">IF(L$135=0,-Assumptions!$C$29*Assumptions!$E$37/100,0)+IF(AND(L$135&gt;=2,MOD(L$135,2)=0,L$135&lt;=IF($C141=1,$C$5-2,12)),Assumptions!$C$29*Assumptions!$D$37/2,0)+IF($C141=1,IF(L$135=$C$6,Assumptions!$C$29*$C$133,0),IF(L$135=12,Assumptions!$C$29*$E141/100,0))</f>
        <v>0</v>
      </c>
      <c r="M141" s="40" t="n">
        <f aca="false">IF(M$135=0,-Assumptions!$C$29*Assumptions!$E$37/100,0)+IF(AND(M$135&gt;=2,MOD(M$135,2)=0,M$135&lt;=IF($C141=1,$C$5-2,12)),Assumptions!$C$29*Assumptions!$D$37/2,0)+IF($C141=1,IF(M$135=$C$6,Assumptions!$C$29*$C$133,0),IF(M$135=12,Assumptions!$C$29*$E141/100,0))</f>
        <v>531.25</v>
      </c>
      <c r="N141" s="40" t="n">
        <f aca="false">IF(N$135=0,-Assumptions!$C$29*Assumptions!$E$37/100,0)+IF(AND(N$135&gt;=2,MOD(N$135,2)=0,N$135&lt;=IF($C141=1,$C$5-2,12)),Assumptions!$C$29*Assumptions!$D$37/2,0)+IF($C141=1,IF(N$135=$C$6,Assumptions!$C$29*$C$133,0),IF(N$135=12,Assumptions!$C$29*$E141/100,0))</f>
        <v>0</v>
      </c>
      <c r="O141" s="40" t="n">
        <f aca="false">IF(O$135=0,-Assumptions!$C$29*Assumptions!$E$37/100,0)+IF(AND(O$135&gt;=2,MOD(O$135,2)=0,O$135&lt;=IF($C141=1,$C$5-2,12)),Assumptions!$C$29*Assumptions!$D$37/2,0)+IF($C141=1,IF(O$135=$C$6,Assumptions!$C$29*$C$133,0),IF(O$135=12,Assumptions!$C$29*$E141/100,0))</f>
        <v>0</v>
      </c>
      <c r="P141" s="40" t="n">
        <f aca="false">IF(P$135=0,-Assumptions!$C$29*Assumptions!$E$37/100,0)+IF(AND(P$135&gt;=2,MOD(P$135,2)=0,P$135&lt;=IF($C141=1,$C$5-2,12)),Assumptions!$C$29*Assumptions!$D$37/2,0)+IF($C141=1,IF(P$135=$C$6,Assumptions!$C$29*$C$133,0),IF(P$135=12,Assumptions!$C$29*$E141/100,0))</f>
        <v>0</v>
      </c>
      <c r="Q141" s="40" t="n">
        <f aca="false">IF(Q$135=0,-Assumptions!$C$29*Assumptions!$E$37/100,0)+IF(AND(Q$135&gt;=2,MOD(Q$135,2)=0,Q$135&lt;=IF($C141=1,$C$5-2,12)),Assumptions!$C$29*Assumptions!$D$37/2,0)+IF($C141=1,IF(Q$135=$C$6,Assumptions!$C$29*$C$133,0),IF(Q$135=12,Assumptions!$C$29*$E141/100,0))</f>
        <v>0</v>
      </c>
      <c r="R141" s="40" t="n">
        <f aca="false">IF(R$135=0,-Assumptions!$C$29*Assumptions!$E$37/100,0)+IF(AND(R$135&gt;=2,MOD(R$135,2)=0,R$135&lt;=IF($C141=1,$C$5-2,12)),Assumptions!$C$29*Assumptions!$D$37/2,0)+IF($C141=1,IF(R$135=$C$6,Assumptions!$C$29*$C$133,0),IF(R$135=12,Assumptions!$C$29*$E141/100,0))</f>
        <v>0</v>
      </c>
      <c r="S141" s="40" t="n">
        <f aca="false">IF(S$135=0,-Assumptions!$C$29*Assumptions!$E$37/100,0)+IF(AND(S$135&gt;=2,MOD(S$135,2)=0,S$135&lt;=IF($C141=1,$C$5-2,12)),Assumptions!$C$29*Assumptions!$D$37/2,0)+IF($C141=1,IF(S$135=$C$6,Assumptions!$C$29*$C$133,0),IF(S$135=12,Assumptions!$C$29*$E141/100,0))</f>
        <v>5000</v>
      </c>
      <c r="T141" s="40" t="n">
        <f aca="false">IF(T$135=0,-Assumptions!$C$29*Assumptions!$E$37/100,0)+IF(AND(T$135&gt;=2,MOD(T$135,2)=0,T$135&lt;=IF($C141=1,$C$5-2,12)),Assumptions!$C$29*Assumptions!$D$37/2,0)+IF($C141=1,IF(T$135=$C$6,Assumptions!$C$29*$C$133,0),IF(T$135=12,Assumptions!$C$29*$E141/100,0))</f>
        <v>0</v>
      </c>
      <c r="U141" s="40" t="n">
        <f aca="false">IF(U$135=0,-Assumptions!$C$29*Assumptions!$E$37/100,0)+IF(AND(U$135&gt;=2,MOD(U$135,2)=0,U$135&lt;=IF($C141=1,$C$5-2,12)),Assumptions!$C$29*Assumptions!$D$37/2,0)+IF($C141=1,IF(U$135=$C$6,Assumptions!$C$29*$C$133,0),IF(U$135=12,Assumptions!$C$29*$E141/100,0))</f>
        <v>0</v>
      </c>
      <c r="V141" s="40" t="n">
        <f aca="false">IF(V$135=0,-Assumptions!$C$29*Assumptions!$E$37/100,0)+IF(AND(V$135&gt;=2,MOD(V$135,2)=0,V$135&lt;=IF($C141=1,$C$5-2,12)),Assumptions!$C$29*Assumptions!$D$37/2,0)+IF($C141=1,IF(V$135=$C$6,Assumptions!$C$29*$C$133,0),IF(V$135=12,Assumptions!$C$29*$E141/100,0))</f>
        <v>0</v>
      </c>
      <c r="W141" s="40" t="n">
        <f aca="false">IF(W$135=0,-Assumptions!$C$29*Assumptions!$E$37/100,0)+IF(AND(W$135&gt;=2,MOD(W$135,2)=0,W$135&lt;=IF($C141=1,$C$5-2,12)),Assumptions!$C$29*Assumptions!$D$37/2,0)+IF($C141=1,IF(W$135=$C$6,Assumptions!$C$29*$C$133,0),IF(W$135=12,Assumptions!$C$29*$E141/100,0))</f>
        <v>0</v>
      </c>
      <c r="X141" s="40" t="n">
        <f aca="false">IF(X$135=0,-Assumptions!$C$29*Assumptions!$E$37/100,0)+IF(AND(X$135&gt;=2,MOD(X$135,2)=0,X$135&lt;=IF($C141=1,$C$5-2,12)),Assumptions!$C$29*Assumptions!$D$37/2,0)+IF($C141=1,IF(X$135=$C$6,Assumptions!$C$29*$C$133,0),IF(X$135=12,Assumptions!$C$29*$E141/100,0))</f>
        <v>0</v>
      </c>
      <c r="Y141" s="40" t="n">
        <f aca="false">IF(Y$135=0,-Assumptions!$C$29*Assumptions!$E$37/100,0)+IF(AND(Y$135&gt;=2,MOD(Y$135,2)=0,Y$135&lt;=IF($C141=1,$C$5-2,12)),Assumptions!$C$29*Assumptions!$D$37/2,0)+IF($C141=1,IF(Y$135=$C$6,Assumptions!$C$29*$C$133,0),IF(Y$135=12,Assumptions!$C$29*$E141/100,0))</f>
        <v>0</v>
      </c>
    </row>
    <row r="142" customFormat="false" ht="15" hidden="false" customHeight="false" outlineLevel="0" collapsed="false">
      <c r="B142" s="29" t="s">
        <v>154</v>
      </c>
      <c r="D142" s="41" t="n">
        <f aca="false">SUM(D136:D141)</f>
        <v>73000</v>
      </c>
      <c r="G142" s="41" t="n">
        <f aca="false">SUM(I142:Y142)</f>
        <v>-19075.9121175395</v>
      </c>
      <c r="H142" s="30" t="n">
        <f aca="false">(1+IRR(I142:Y142,IF(SUM(I142:Y142)&lt;0,-0.05,0.01)))^4-1</f>
        <v>-0.111657902616308</v>
      </c>
      <c r="I142" s="42" t="n">
        <f aca="false">SUM(I136:I141)</f>
        <v>-73000</v>
      </c>
      <c r="J142" s="42" t="n">
        <f aca="false">SUM(J136:J141)</f>
        <v>0</v>
      </c>
      <c r="K142" s="42" t="n">
        <f aca="false">SUM(K136:K141)</f>
        <v>2812.5</v>
      </c>
      <c r="L142" s="42" t="n">
        <f aca="false">SUM(L136:L141)</f>
        <v>0</v>
      </c>
      <c r="M142" s="42" t="n">
        <f aca="false">SUM(M136:M141)</f>
        <v>2812.5</v>
      </c>
      <c r="N142" s="42" t="n">
        <f aca="false">SUM(N136:N141)</f>
        <v>0</v>
      </c>
      <c r="O142" s="42" t="n">
        <f aca="false">SUM(O136:O141)</f>
        <v>859.375</v>
      </c>
      <c r="P142" s="42" t="n">
        <f aca="false">SUM(P136:P141)</f>
        <v>0</v>
      </c>
      <c r="Q142" s="42" t="n">
        <f aca="false">SUM(Q136:Q141)</f>
        <v>859.375</v>
      </c>
      <c r="R142" s="42" t="n">
        <f aca="false">SUM(R136:R141)</f>
        <v>0</v>
      </c>
      <c r="S142" s="42" t="n">
        <f aca="false">SUM(S136:S141)</f>
        <v>20859.375</v>
      </c>
      <c r="T142" s="42" t="n">
        <f aca="false">SUM(T136:T141)</f>
        <v>0</v>
      </c>
      <c r="U142" s="42" t="n">
        <f aca="false">SUM(U136:U141)</f>
        <v>25720.9628824605</v>
      </c>
      <c r="V142" s="42" t="n">
        <f aca="false">SUM(V136:V141)</f>
        <v>0</v>
      </c>
      <c r="W142" s="42" t="n">
        <f aca="false">SUM(W136:W141)</f>
        <v>0</v>
      </c>
      <c r="X142" s="42" t="n">
        <f aca="false">SUM(X136:X141)</f>
        <v>0</v>
      </c>
      <c r="Y142" s="42" t="n">
        <f aca="false">SUM(Y136:Y141)</f>
        <v>0</v>
      </c>
    </row>
    <row r="144" customFormat="false" ht="15" hidden="false" customHeight="false" outlineLevel="0" collapsed="false">
      <c r="B144" s="7" t="s">
        <v>164</v>
      </c>
      <c r="C144" s="8"/>
      <c r="D144" s="8"/>
      <c r="E144" s="8"/>
      <c r="F144" s="8"/>
      <c r="G144" s="8"/>
      <c r="H144" s="8"/>
      <c r="I144" s="8"/>
      <c r="J144" s="8"/>
      <c r="K144" s="8"/>
      <c r="L144" s="8"/>
      <c r="M144" s="8"/>
      <c r="N144" s="8"/>
      <c r="O144" s="8"/>
      <c r="P144" s="8"/>
      <c r="Q144" s="8"/>
      <c r="R144" s="8"/>
      <c r="S144" s="8"/>
      <c r="T144" s="8"/>
      <c r="U144" s="8"/>
      <c r="V144" s="8"/>
      <c r="W144" s="8"/>
      <c r="X144" s="8"/>
      <c r="Y144" s="8"/>
    </row>
    <row r="145" customFormat="false" ht="15" hidden="false" customHeight="false" outlineLevel="0" collapsed="false">
      <c r="B145" s="9" t="s">
        <v>117</v>
      </c>
      <c r="C145" s="22" t="n">
        <f aca="false">$B$20</f>
        <v>0.55</v>
      </c>
    </row>
    <row r="146" customFormat="false" ht="15" hidden="false" customHeight="false" outlineLevel="0" collapsed="false">
      <c r="B146" s="9" t="s">
        <v>148</v>
      </c>
      <c r="C146" s="28" t="n">
        <f aca="false">C$17</f>
        <v>0</v>
      </c>
    </row>
    <row r="147" customFormat="false" ht="30" hidden="false" customHeight="true" outlineLevel="0" collapsed="false">
      <c r="B147" s="13" t="s">
        <v>32</v>
      </c>
      <c r="C147" s="14" t="s">
        <v>149</v>
      </c>
      <c r="D147" s="14" t="s">
        <v>46</v>
      </c>
      <c r="E147" s="14" t="s">
        <v>150</v>
      </c>
      <c r="F147" s="14" t="s">
        <v>151</v>
      </c>
      <c r="G147" s="14" t="s">
        <v>152</v>
      </c>
      <c r="H147" s="14" t="s">
        <v>153</v>
      </c>
      <c r="I147" s="38" t="n">
        <v>0</v>
      </c>
      <c r="J147" s="38" t="n">
        <v>1</v>
      </c>
      <c r="K147" s="38" t="n">
        <v>2</v>
      </c>
      <c r="L147" s="38" t="n">
        <v>3</v>
      </c>
      <c r="M147" s="38" t="n">
        <v>4</v>
      </c>
      <c r="N147" s="38" t="n">
        <v>5</v>
      </c>
      <c r="O147" s="38" t="n">
        <v>6</v>
      </c>
      <c r="P147" s="38" t="n">
        <v>7</v>
      </c>
      <c r="Q147" s="38" t="n">
        <v>8</v>
      </c>
      <c r="R147" s="38" t="n">
        <v>9</v>
      </c>
      <c r="S147" s="38" t="n">
        <v>10</v>
      </c>
      <c r="T147" s="38" t="n">
        <v>11</v>
      </c>
      <c r="U147" s="38" t="n">
        <v>12</v>
      </c>
      <c r="V147" s="38" t="n">
        <v>13</v>
      </c>
      <c r="W147" s="38" t="n">
        <v>14</v>
      </c>
      <c r="X147" s="38" t="n">
        <v>15</v>
      </c>
      <c r="Y147" s="38" t="n">
        <v>16</v>
      </c>
    </row>
    <row r="148" customFormat="false" ht="15" hidden="false" customHeight="false" outlineLevel="0" collapsed="false">
      <c r="B148" s="9" t="s">
        <v>47</v>
      </c>
      <c r="C148" s="28" t="n">
        <f aca="false">IF($C$9&lt;=$C$146,1,0)</f>
        <v>0</v>
      </c>
      <c r="D148" s="19" t="n">
        <f aca="false">Assumptions!$F$32</f>
        <v>12375</v>
      </c>
      <c r="E148" s="39" t="n">
        <f aca="false">PV($F148/2,(Assumptions!$C$30*4-12)/2,-Assumptions!$D$32*100/2,-100)</f>
        <v>99.5584003138178</v>
      </c>
      <c r="F148" s="17" t="n">
        <f aca="false">RATE(Assumptions!$C$30*2,Assumptions!$D$32*100/2,-Assumptions!$E$32,100)*2</f>
        <v>0.0699042470751673</v>
      </c>
      <c r="G148" s="26" t="n">
        <f aca="false">SUM(I148:Y148)</f>
        <v>2601.05003922723</v>
      </c>
      <c r="H148" s="17" t="n">
        <f aca="false">(1+IRR(I148:Y148,IF(SUM(I148:Y148)&lt;0,-0.05,0.01)))^4-1</f>
        <v>0.0711258980149541</v>
      </c>
      <c r="I148" s="40" t="n">
        <f aca="false">IF(I$147=0,-Assumptions!$C$29*Assumptions!$E$32/100,0)+IF(AND(I$147&gt;=2,MOD(I$147,2)=0,I$147&lt;=IF($C148=1,$C$5-2,12)),Assumptions!$C$29*Assumptions!$D$32/2,0)+IF($C148=1,IF(I$147=$C$6,Assumptions!$C$29*$C$145,0),IF(I$147=12,Assumptions!$C$29*$E148/100,0))</f>
        <v>-12375</v>
      </c>
      <c r="J148" s="40" t="n">
        <f aca="false">IF(J$147=0,-Assumptions!$C$29*Assumptions!$E$32/100,0)+IF(AND(J$147&gt;=2,MOD(J$147,2)=0,J$147&lt;=IF($C148=1,$C$5-2,12)),Assumptions!$C$29*Assumptions!$D$32/2,0)+IF($C148=1,IF(J$147=$C$6,Assumptions!$C$29*$C$145,0),IF(J$147=12,Assumptions!$C$29*$E148/100,0))</f>
        <v>0</v>
      </c>
      <c r="K148" s="40" t="n">
        <f aca="false">IF(K$147=0,-Assumptions!$C$29*Assumptions!$E$32/100,0)+IF(AND(K$147&gt;=2,MOD(K$147,2)=0,K$147&lt;=IF($C148=1,$C$5-2,12)),Assumptions!$C$29*Assumptions!$D$32/2,0)+IF($C148=1,IF(K$147=$C$6,Assumptions!$C$29*$C$145,0),IF(K$147=12,Assumptions!$C$29*$E148/100,0))</f>
        <v>421.875</v>
      </c>
      <c r="L148" s="40" t="n">
        <f aca="false">IF(L$147=0,-Assumptions!$C$29*Assumptions!$E$32/100,0)+IF(AND(L$147&gt;=2,MOD(L$147,2)=0,L$147&lt;=IF($C148=1,$C$5-2,12)),Assumptions!$C$29*Assumptions!$D$32/2,0)+IF($C148=1,IF(L$147=$C$6,Assumptions!$C$29*$C$145,0),IF(L$147=12,Assumptions!$C$29*$E148/100,0))</f>
        <v>0</v>
      </c>
      <c r="M148" s="40" t="n">
        <f aca="false">IF(M$147=0,-Assumptions!$C$29*Assumptions!$E$32/100,0)+IF(AND(M$147&gt;=2,MOD(M$147,2)=0,M$147&lt;=IF($C148=1,$C$5-2,12)),Assumptions!$C$29*Assumptions!$D$32/2,0)+IF($C148=1,IF(M$147=$C$6,Assumptions!$C$29*$C$145,0),IF(M$147=12,Assumptions!$C$29*$E148/100,0))</f>
        <v>421.875</v>
      </c>
      <c r="N148" s="40" t="n">
        <f aca="false">IF(N$147=0,-Assumptions!$C$29*Assumptions!$E$32/100,0)+IF(AND(N$147&gt;=2,MOD(N$147,2)=0,N$147&lt;=IF($C148=1,$C$5-2,12)),Assumptions!$C$29*Assumptions!$D$32/2,0)+IF($C148=1,IF(N$147=$C$6,Assumptions!$C$29*$C$145,0),IF(N$147=12,Assumptions!$C$29*$E148/100,0))</f>
        <v>0</v>
      </c>
      <c r="O148" s="40" t="n">
        <f aca="false">IF(O$147=0,-Assumptions!$C$29*Assumptions!$E$32/100,0)+IF(AND(O$147&gt;=2,MOD(O$147,2)=0,O$147&lt;=IF($C148=1,$C$5-2,12)),Assumptions!$C$29*Assumptions!$D$32/2,0)+IF($C148=1,IF(O$147=$C$6,Assumptions!$C$29*$C$145,0),IF(O$147=12,Assumptions!$C$29*$E148/100,0))</f>
        <v>421.875</v>
      </c>
      <c r="P148" s="40" t="n">
        <f aca="false">IF(P$147=0,-Assumptions!$C$29*Assumptions!$E$32/100,0)+IF(AND(P$147&gt;=2,MOD(P$147,2)=0,P$147&lt;=IF($C148=1,$C$5-2,12)),Assumptions!$C$29*Assumptions!$D$32/2,0)+IF($C148=1,IF(P$147=$C$6,Assumptions!$C$29*$C$145,0),IF(P$147=12,Assumptions!$C$29*$E148/100,0))</f>
        <v>0</v>
      </c>
      <c r="Q148" s="40" t="n">
        <f aca="false">IF(Q$147=0,-Assumptions!$C$29*Assumptions!$E$32/100,0)+IF(AND(Q$147&gt;=2,MOD(Q$147,2)=0,Q$147&lt;=IF($C148=1,$C$5-2,12)),Assumptions!$C$29*Assumptions!$D$32/2,0)+IF($C148=1,IF(Q$147=$C$6,Assumptions!$C$29*$C$145,0),IF(Q$147=12,Assumptions!$C$29*$E148/100,0))</f>
        <v>421.875</v>
      </c>
      <c r="R148" s="40" t="n">
        <f aca="false">IF(R$147=0,-Assumptions!$C$29*Assumptions!$E$32/100,0)+IF(AND(R$147&gt;=2,MOD(R$147,2)=0,R$147&lt;=IF($C148=1,$C$5-2,12)),Assumptions!$C$29*Assumptions!$D$32/2,0)+IF($C148=1,IF(R$147=$C$6,Assumptions!$C$29*$C$145,0),IF(R$147=12,Assumptions!$C$29*$E148/100,0))</f>
        <v>0</v>
      </c>
      <c r="S148" s="40" t="n">
        <f aca="false">IF(S$147=0,-Assumptions!$C$29*Assumptions!$E$32/100,0)+IF(AND(S$147&gt;=2,MOD(S$147,2)=0,S$147&lt;=IF($C148=1,$C$5-2,12)),Assumptions!$C$29*Assumptions!$D$32/2,0)+IF($C148=1,IF(S$147=$C$6,Assumptions!$C$29*$C$145,0),IF(S$147=12,Assumptions!$C$29*$E148/100,0))</f>
        <v>421.875</v>
      </c>
      <c r="T148" s="40" t="n">
        <f aca="false">IF(T$147=0,-Assumptions!$C$29*Assumptions!$E$32/100,0)+IF(AND(T$147&gt;=2,MOD(T$147,2)=0,T$147&lt;=IF($C148=1,$C$5-2,12)),Assumptions!$C$29*Assumptions!$D$32/2,0)+IF($C148=1,IF(T$147=$C$6,Assumptions!$C$29*$C$145,0),IF(T$147=12,Assumptions!$C$29*$E148/100,0))</f>
        <v>0</v>
      </c>
      <c r="U148" s="40" t="n">
        <f aca="false">IF(U$147=0,-Assumptions!$C$29*Assumptions!$E$32/100,0)+IF(AND(U$147&gt;=2,MOD(U$147,2)=0,U$147&lt;=IF($C148=1,$C$5-2,12)),Assumptions!$C$29*Assumptions!$D$32/2,0)+IF($C148=1,IF(U$147=$C$6,Assumptions!$C$29*$C$145,0),IF(U$147=12,Assumptions!$C$29*$E148/100,0))</f>
        <v>12866.6750392272</v>
      </c>
      <c r="V148" s="40" t="n">
        <f aca="false">IF(V$147=0,-Assumptions!$C$29*Assumptions!$E$32/100,0)+IF(AND(V$147&gt;=2,MOD(V$147,2)=0,V$147&lt;=IF($C148=1,$C$5-2,12)),Assumptions!$C$29*Assumptions!$D$32/2,0)+IF($C148=1,IF(V$147=$C$6,Assumptions!$C$29*$C$145,0),IF(V$147=12,Assumptions!$C$29*$E148/100,0))</f>
        <v>0</v>
      </c>
      <c r="W148" s="40" t="n">
        <f aca="false">IF(W$147=0,-Assumptions!$C$29*Assumptions!$E$32/100,0)+IF(AND(W$147&gt;=2,MOD(W$147,2)=0,W$147&lt;=IF($C148=1,$C$5-2,12)),Assumptions!$C$29*Assumptions!$D$32/2,0)+IF($C148=1,IF(W$147=$C$6,Assumptions!$C$29*$C$145,0),IF(W$147=12,Assumptions!$C$29*$E148/100,0))</f>
        <v>0</v>
      </c>
      <c r="X148" s="40" t="n">
        <f aca="false">IF(X$147=0,-Assumptions!$C$29*Assumptions!$E$32/100,0)+IF(AND(X$147&gt;=2,MOD(X$147,2)=0,X$147&lt;=IF($C148=1,$C$5-2,12)),Assumptions!$C$29*Assumptions!$D$32/2,0)+IF($C148=1,IF(X$147=$C$6,Assumptions!$C$29*$C$145,0),IF(X$147=12,Assumptions!$C$29*$E148/100,0))</f>
        <v>0</v>
      </c>
      <c r="Y148" s="40" t="n">
        <f aca="false">IF(Y$147=0,-Assumptions!$C$29*Assumptions!$E$32/100,0)+IF(AND(Y$147&gt;=2,MOD(Y$147,2)=0,Y$147&lt;=IF($C148=1,$C$5-2,12)),Assumptions!$C$29*Assumptions!$D$32/2,0)+IF($C148=1,IF(Y$147=$C$6,Assumptions!$C$29*$C$145,0),IF(Y$147=12,Assumptions!$C$29*$E148/100,0))</f>
        <v>0</v>
      </c>
    </row>
    <row r="149" customFormat="false" ht="15" hidden="false" customHeight="false" outlineLevel="0" collapsed="false">
      <c r="B149" s="9" t="s">
        <v>48</v>
      </c>
      <c r="C149" s="28" t="n">
        <f aca="false">IF($C$10&lt;=$C$146,1,0)</f>
        <v>0</v>
      </c>
      <c r="D149" s="19" t="n">
        <f aca="false">Assumptions!$F$33</f>
        <v>12312.5</v>
      </c>
      <c r="E149" s="39" t="n">
        <f aca="false">PV($F149/2,(Assumptions!$C$30*4-12)/2,-Assumptions!$D$33*100/2,-100)</f>
        <v>99.3343027458663</v>
      </c>
      <c r="F149" s="17" t="n">
        <f aca="false">RATE(Assumptions!$C$30*2,Assumptions!$D$33*100/2,-Assumptions!$E$33,100)*2</f>
        <v>0.0736404123832243</v>
      </c>
      <c r="G149" s="26" t="n">
        <f aca="false">SUM(I149:Y149)</f>
        <v>2729.28784323328</v>
      </c>
      <c r="H149" s="17" t="n">
        <f aca="false">(1+IRR(I149:Y149,IF(SUM(I149:Y149)&lt;0,-0.05,0.01)))^4-1</f>
        <v>0.0749961399672177</v>
      </c>
      <c r="I149" s="40" t="n">
        <f aca="false">IF(I$147=0,-Assumptions!$C$29*Assumptions!$E$33/100,0)+IF(AND(I$147&gt;=2,MOD(I$147,2)=0,I$147&lt;=IF($C149=1,$C$5-2,12)),Assumptions!$C$29*Assumptions!$D$33/2,0)+IF($C149=1,IF(I$147=$C$6,Assumptions!$C$29*$C$145,0),IF(I$147=12,Assumptions!$C$29*$E149/100,0))</f>
        <v>-12312.5</v>
      </c>
      <c r="J149" s="40" t="n">
        <f aca="false">IF(J$147=0,-Assumptions!$C$29*Assumptions!$E$33/100,0)+IF(AND(J$147&gt;=2,MOD(J$147,2)=0,J$147&lt;=IF($C149=1,$C$5-2,12)),Assumptions!$C$29*Assumptions!$D$33/2,0)+IF($C149=1,IF(J$147=$C$6,Assumptions!$C$29*$C$145,0),IF(J$147=12,Assumptions!$C$29*$E149/100,0))</f>
        <v>0</v>
      </c>
      <c r="K149" s="40" t="n">
        <f aca="false">IF(K$147=0,-Assumptions!$C$29*Assumptions!$E$33/100,0)+IF(AND(K$147&gt;=2,MOD(K$147,2)=0,K$147&lt;=IF($C149=1,$C$5-2,12)),Assumptions!$C$29*Assumptions!$D$33/2,0)+IF($C149=1,IF(K$147=$C$6,Assumptions!$C$29*$C$145,0),IF(K$147=12,Assumptions!$C$29*$E149/100,0))</f>
        <v>437.5</v>
      </c>
      <c r="L149" s="40" t="n">
        <f aca="false">IF(L$147=0,-Assumptions!$C$29*Assumptions!$E$33/100,0)+IF(AND(L$147&gt;=2,MOD(L$147,2)=0,L$147&lt;=IF($C149=1,$C$5-2,12)),Assumptions!$C$29*Assumptions!$D$33/2,0)+IF($C149=1,IF(L$147=$C$6,Assumptions!$C$29*$C$145,0),IF(L$147=12,Assumptions!$C$29*$E149/100,0))</f>
        <v>0</v>
      </c>
      <c r="M149" s="40" t="n">
        <f aca="false">IF(M$147=0,-Assumptions!$C$29*Assumptions!$E$33/100,0)+IF(AND(M$147&gt;=2,MOD(M$147,2)=0,M$147&lt;=IF($C149=1,$C$5-2,12)),Assumptions!$C$29*Assumptions!$D$33/2,0)+IF($C149=1,IF(M$147=$C$6,Assumptions!$C$29*$C$145,0),IF(M$147=12,Assumptions!$C$29*$E149/100,0))</f>
        <v>437.5</v>
      </c>
      <c r="N149" s="40" t="n">
        <f aca="false">IF(N$147=0,-Assumptions!$C$29*Assumptions!$E$33/100,0)+IF(AND(N$147&gt;=2,MOD(N$147,2)=0,N$147&lt;=IF($C149=1,$C$5-2,12)),Assumptions!$C$29*Assumptions!$D$33/2,0)+IF($C149=1,IF(N$147=$C$6,Assumptions!$C$29*$C$145,0),IF(N$147=12,Assumptions!$C$29*$E149/100,0))</f>
        <v>0</v>
      </c>
      <c r="O149" s="40" t="n">
        <f aca="false">IF(O$147=0,-Assumptions!$C$29*Assumptions!$E$33/100,0)+IF(AND(O$147&gt;=2,MOD(O$147,2)=0,O$147&lt;=IF($C149=1,$C$5-2,12)),Assumptions!$C$29*Assumptions!$D$33/2,0)+IF($C149=1,IF(O$147=$C$6,Assumptions!$C$29*$C$145,0),IF(O$147=12,Assumptions!$C$29*$E149/100,0))</f>
        <v>437.5</v>
      </c>
      <c r="P149" s="40" t="n">
        <f aca="false">IF(P$147=0,-Assumptions!$C$29*Assumptions!$E$33/100,0)+IF(AND(P$147&gt;=2,MOD(P$147,2)=0,P$147&lt;=IF($C149=1,$C$5-2,12)),Assumptions!$C$29*Assumptions!$D$33/2,0)+IF($C149=1,IF(P$147=$C$6,Assumptions!$C$29*$C$145,0),IF(P$147=12,Assumptions!$C$29*$E149/100,0))</f>
        <v>0</v>
      </c>
      <c r="Q149" s="40" t="n">
        <f aca="false">IF(Q$147=0,-Assumptions!$C$29*Assumptions!$E$33/100,0)+IF(AND(Q$147&gt;=2,MOD(Q$147,2)=0,Q$147&lt;=IF($C149=1,$C$5-2,12)),Assumptions!$C$29*Assumptions!$D$33/2,0)+IF($C149=1,IF(Q$147=$C$6,Assumptions!$C$29*$C$145,0),IF(Q$147=12,Assumptions!$C$29*$E149/100,0))</f>
        <v>437.5</v>
      </c>
      <c r="R149" s="40" t="n">
        <f aca="false">IF(R$147=0,-Assumptions!$C$29*Assumptions!$E$33/100,0)+IF(AND(R$147&gt;=2,MOD(R$147,2)=0,R$147&lt;=IF($C149=1,$C$5-2,12)),Assumptions!$C$29*Assumptions!$D$33/2,0)+IF($C149=1,IF(R$147=$C$6,Assumptions!$C$29*$C$145,0),IF(R$147=12,Assumptions!$C$29*$E149/100,0))</f>
        <v>0</v>
      </c>
      <c r="S149" s="40" t="n">
        <f aca="false">IF(S$147=0,-Assumptions!$C$29*Assumptions!$E$33/100,0)+IF(AND(S$147&gt;=2,MOD(S$147,2)=0,S$147&lt;=IF($C149=1,$C$5-2,12)),Assumptions!$C$29*Assumptions!$D$33/2,0)+IF($C149=1,IF(S$147=$C$6,Assumptions!$C$29*$C$145,0),IF(S$147=12,Assumptions!$C$29*$E149/100,0))</f>
        <v>437.5</v>
      </c>
      <c r="T149" s="40" t="n">
        <f aca="false">IF(T$147=0,-Assumptions!$C$29*Assumptions!$E$33/100,0)+IF(AND(T$147&gt;=2,MOD(T$147,2)=0,T$147&lt;=IF($C149=1,$C$5-2,12)),Assumptions!$C$29*Assumptions!$D$33/2,0)+IF($C149=1,IF(T$147=$C$6,Assumptions!$C$29*$C$145,0),IF(T$147=12,Assumptions!$C$29*$E149/100,0))</f>
        <v>0</v>
      </c>
      <c r="U149" s="40" t="n">
        <f aca="false">IF(U$147=0,-Assumptions!$C$29*Assumptions!$E$33/100,0)+IF(AND(U$147&gt;=2,MOD(U$147,2)=0,U$147&lt;=IF($C149=1,$C$5-2,12)),Assumptions!$C$29*Assumptions!$D$33/2,0)+IF($C149=1,IF(U$147=$C$6,Assumptions!$C$29*$C$145,0),IF(U$147=12,Assumptions!$C$29*$E149/100,0))</f>
        <v>12854.2878432333</v>
      </c>
      <c r="V149" s="40" t="n">
        <f aca="false">IF(V$147=0,-Assumptions!$C$29*Assumptions!$E$33/100,0)+IF(AND(V$147&gt;=2,MOD(V$147,2)=0,V$147&lt;=IF($C149=1,$C$5-2,12)),Assumptions!$C$29*Assumptions!$D$33/2,0)+IF($C149=1,IF(V$147=$C$6,Assumptions!$C$29*$C$145,0),IF(V$147=12,Assumptions!$C$29*$E149/100,0))</f>
        <v>0</v>
      </c>
      <c r="W149" s="40" t="n">
        <f aca="false">IF(W$147=0,-Assumptions!$C$29*Assumptions!$E$33/100,0)+IF(AND(W$147&gt;=2,MOD(W$147,2)=0,W$147&lt;=IF($C149=1,$C$5-2,12)),Assumptions!$C$29*Assumptions!$D$33/2,0)+IF($C149=1,IF(W$147=$C$6,Assumptions!$C$29*$C$145,0),IF(W$147=12,Assumptions!$C$29*$E149/100,0))</f>
        <v>0</v>
      </c>
      <c r="X149" s="40" t="n">
        <f aca="false">IF(X$147=0,-Assumptions!$C$29*Assumptions!$E$33/100,0)+IF(AND(X$147&gt;=2,MOD(X$147,2)=0,X$147&lt;=IF($C149=1,$C$5-2,12)),Assumptions!$C$29*Assumptions!$D$33/2,0)+IF($C149=1,IF(X$147=$C$6,Assumptions!$C$29*$C$145,0),IF(X$147=12,Assumptions!$C$29*$E149/100,0))</f>
        <v>0</v>
      </c>
      <c r="Y149" s="40" t="n">
        <f aca="false">IF(Y$147=0,-Assumptions!$C$29*Assumptions!$E$33/100,0)+IF(AND(Y$147&gt;=2,MOD(Y$147,2)=0,Y$147&lt;=IF($C149=1,$C$5-2,12)),Assumptions!$C$29*Assumptions!$D$33/2,0)+IF($C149=1,IF(Y$147=$C$6,Assumptions!$C$29*$C$145,0),IF(Y$147=12,Assumptions!$C$29*$E149/100,0))</f>
        <v>0</v>
      </c>
    </row>
    <row r="150" customFormat="false" ht="15" hidden="false" customHeight="false" outlineLevel="0" collapsed="false">
      <c r="B150" s="9" t="s">
        <v>49</v>
      </c>
      <c r="C150" s="28" t="n">
        <f aca="false">IF($C$11&lt;=$C$146,1,0)</f>
        <v>0</v>
      </c>
      <c r="D150" s="19" t="n">
        <f aca="false">Assumptions!$F$34</f>
        <v>12250</v>
      </c>
      <c r="E150" s="39" t="n">
        <f aca="false">PV($F150/2,(Assumptions!$C$30*4-12)/2,-Assumptions!$D$34*100/2,-100)</f>
        <v>99.1079856396595</v>
      </c>
      <c r="F150" s="17" t="n">
        <f aca="false">RATE(Assumptions!$C$30*2,Assumptions!$D$34*100/2,-Assumptions!$E$34,100)*2</f>
        <v>0.0773997713205988</v>
      </c>
      <c r="G150" s="26" t="n">
        <f aca="false">SUM(I150:Y150)</f>
        <v>2857.24820495744</v>
      </c>
      <c r="H150" s="17" t="n">
        <f aca="false">(1+IRR(I150:Y150,IF(SUM(I150:Y150)&lt;0,-0.05,0.01)))^4-1</f>
        <v>0.0788974524707193</v>
      </c>
      <c r="I150" s="40" t="n">
        <f aca="false">IF(I$147=0,-Assumptions!$C$29*Assumptions!$E$34/100,0)+IF(AND(I$147&gt;=2,MOD(I$147,2)=0,I$147&lt;=IF($C150=1,$C$5-2,12)),Assumptions!$C$29*Assumptions!$D$34/2,0)+IF($C150=1,IF(I$147=$C$6,Assumptions!$C$29*$C$145,0),IF(I$147=12,Assumptions!$C$29*$E150/100,0))</f>
        <v>-12250</v>
      </c>
      <c r="J150" s="40" t="n">
        <f aca="false">IF(J$147=0,-Assumptions!$C$29*Assumptions!$E$34/100,0)+IF(AND(J$147&gt;=2,MOD(J$147,2)=0,J$147&lt;=IF($C150=1,$C$5-2,12)),Assumptions!$C$29*Assumptions!$D$34/2,0)+IF($C150=1,IF(J$147=$C$6,Assumptions!$C$29*$C$145,0),IF(J$147=12,Assumptions!$C$29*$E150/100,0))</f>
        <v>0</v>
      </c>
      <c r="K150" s="40" t="n">
        <f aca="false">IF(K$147=0,-Assumptions!$C$29*Assumptions!$E$34/100,0)+IF(AND(K$147&gt;=2,MOD(K$147,2)=0,K$147&lt;=IF($C150=1,$C$5-2,12)),Assumptions!$C$29*Assumptions!$D$34/2,0)+IF($C150=1,IF(K$147=$C$6,Assumptions!$C$29*$C$145,0),IF(K$147=12,Assumptions!$C$29*$E150/100,0))</f>
        <v>453.125</v>
      </c>
      <c r="L150" s="40" t="n">
        <f aca="false">IF(L$147=0,-Assumptions!$C$29*Assumptions!$E$34/100,0)+IF(AND(L$147&gt;=2,MOD(L$147,2)=0,L$147&lt;=IF($C150=1,$C$5-2,12)),Assumptions!$C$29*Assumptions!$D$34/2,0)+IF($C150=1,IF(L$147=$C$6,Assumptions!$C$29*$C$145,0),IF(L$147=12,Assumptions!$C$29*$E150/100,0))</f>
        <v>0</v>
      </c>
      <c r="M150" s="40" t="n">
        <f aca="false">IF(M$147=0,-Assumptions!$C$29*Assumptions!$E$34/100,0)+IF(AND(M$147&gt;=2,MOD(M$147,2)=0,M$147&lt;=IF($C150=1,$C$5-2,12)),Assumptions!$C$29*Assumptions!$D$34/2,0)+IF($C150=1,IF(M$147=$C$6,Assumptions!$C$29*$C$145,0),IF(M$147=12,Assumptions!$C$29*$E150/100,0))</f>
        <v>453.125</v>
      </c>
      <c r="N150" s="40" t="n">
        <f aca="false">IF(N$147=0,-Assumptions!$C$29*Assumptions!$E$34/100,0)+IF(AND(N$147&gt;=2,MOD(N$147,2)=0,N$147&lt;=IF($C150=1,$C$5-2,12)),Assumptions!$C$29*Assumptions!$D$34/2,0)+IF($C150=1,IF(N$147=$C$6,Assumptions!$C$29*$C$145,0),IF(N$147=12,Assumptions!$C$29*$E150/100,0))</f>
        <v>0</v>
      </c>
      <c r="O150" s="40" t="n">
        <f aca="false">IF(O$147=0,-Assumptions!$C$29*Assumptions!$E$34/100,0)+IF(AND(O$147&gt;=2,MOD(O$147,2)=0,O$147&lt;=IF($C150=1,$C$5-2,12)),Assumptions!$C$29*Assumptions!$D$34/2,0)+IF($C150=1,IF(O$147=$C$6,Assumptions!$C$29*$C$145,0),IF(O$147=12,Assumptions!$C$29*$E150/100,0))</f>
        <v>453.125</v>
      </c>
      <c r="P150" s="40" t="n">
        <f aca="false">IF(P$147=0,-Assumptions!$C$29*Assumptions!$E$34/100,0)+IF(AND(P$147&gt;=2,MOD(P$147,2)=0,P$147&lt;=IF($C150=1,$C$5-2,12)),Assumptions!$C$29*Assumptions!$D$34/2,0)+IF($C150=1,IF(P$147=$C$6,Assumptions!$C$29*$C$145,0),IF(P$147=12,Assumptions!$C$29*$E150/100,0))</f>
        <v>0</v>
      </c>
      <c r="Q150" s="40" t="n">
        <f aca="false">IF(Q$147=0,-Assumptions!$C$29*Assumptions!$E$34/100,0)+IF(AND(Q$147&gt;=2,MOD(Q$147,2)=0,Q$147&lt;=IF($C150=1,$C$5-2,12)),Assumptions!$C$29*Assumptions!$D$34/2,0)+IF($C150=1,IF(Q$147=$C$6,Assumptions!$C$29*$C$145,0),IF(Q$147=12,Assumptions!$C$29*$E150/100,0))</f>
        <v>453.125</v>
      </c>
      <c r="R150" s="40" t="n">
        <f aca="false">IF(R$147=0,-Assumptions!$C$29*Assumptions!$E$34/100,0)+IF(AND(R$147&gt;=2,MOD(R$147,2)=0,R$147&lt;=IF($C150=1,$C$5-2,12)),Assumptions!$C$29*Assumptions!$D$34/2,0)+IF($C150=1,IF(R$147=$C$6,Assumptions!$C$29*$C$145,0),IF(R$147=12,Assumptions!$C$29*$E150/100,0))</f>
        <v>0</v>
      </c>
      <c r="S150" s="40" t="n">
        <f aca="false">IF(S$147=0,-Assumptions!$C$29*Assumptions!$E$34/100,0)+IF(AND(S$147&gt;=2,MOD(S$147,2)=0,S$147&lt;=IF($C150=1,$C$5-2,12)),Assumptions!$C$29*Assumptions!$D$34/2,0)+IF($C150=1,IF(S$147=$C$6,Assumptions!$C$29*$C$145,0),IF(S$147=12,Assumptions!$C$29*$E150/100,0))</f>
        <v>453.125</v>
      </c>
      <c r="T150" s="40" t="n">
        <f aca="false">IF(T$147=0,-Assumptions!$C$29*Assumptions!$E$34/100,0)+IF(AND(T$147&gt;=2,MOD(T$147,2)=0,T$147&lt;=IF($C150=1,$C$5-2,12)),Assumptions!$C$29*Assumptions!$D$34/2,0)+IF($C150=1,IF(T$147=$C$6,Assumptions!$C$29*$C$145,0),IF(T$147=12,Assumptions!$C$29*$E150/100,0))</f>
        <v>0</v>
      </c>
      <c r="U150" s="40" t="n">
        <f aca="false">IF(U$147=0,-Assumptions!$C$29*Assumptions!$E$34/100,0)+IF(AND(U$147&gt;=2,MOD(U$147,2)=0,U$147&lt;=IF($C150=1,$C$5-2,12)),Assumptions!$C$29*Assumptions!$D$34/2,0)+IF($C150=1,IF(U$147=$C$6,Assumptions!$C$29*$C$145,0),IF(U$147=12,Assumptions!$C$29*$E150/100,0))</f>
        <v>12841.6232049574</v>
      </c>
      <c r="V150" s="40" t="n">
        <f aca="false">IF(V$147=0,-Assumptions!$C$29*Assumptions!$E$34/100,0)+IF(AND(V$147&gt;=2,MOD(V$147,2)=0,V$147&lt;=IF($C150=1,$C$5-2,12)),Assumptions!$C$29*Assumptions!$D$34/2,0)+IF($C150=1,IF(V$147=$C$6,Assumptions!$C$29*$C$145,0),IF(V$147=12,Assumptions!$C$29*$E150/100,0))</f>
        <v>0</v>
      </c>
      <c r="W150" s="40" t="n">
        <f aca="false">IF(W$147=0,-Assumptions!$C$29*Assumptions!$E$34/100,0)+IF(AND(W$147&gt;=2,MOD(W$147,2)=0,W$147&lt;=IF($C150=1,$C$5-2,12)),Assumptions!$C$29*Assumptions!$D$34/2,0)+IF($C150=1,IF(W$147=$C$6,Assumptions!$C$29*$C$145,0),IF(W$147=12,Assumptions!$C$29*$E150/100,0))</f>
        <v>0</v>
      </c>
      <c r="X150" s="40" t="n">
        <f aca="false">IF(X$147=0,-Assumptions!$C$29*Assumptions!$E$34/100,0)+IF(AND(X$147&gt;=2,MOD(X$147,2)=0,X$147&lt;=IF($C150=1,$C$5-2,12)),Assumptions!$C$29*Assumptions!$D$34/2,0)+IF($C150=1,IF(X$147=$C$6,Assumptions!$C$29*$C$145,0),IF(X$147=12,Assumptions!$C$29*$E150/100,0))</f>
        <v>0</v>
      </c>
      <c r="Y150" s="40" t="n">
        <f aca="false">IF(Y$147=0,-Assumptions!$C$29*Assumptions!$E$34/100,0)+IF(AND(Y$147&gt;=2,MOD(Y$147,2)=0,Y$147&lt;=IF($C150=1,$C$5-2,12)),Assumptions!$C$29*Assumptions!$D$34/2,0)+IF($C150=1,IF(Y$147=$C$6,Assumptions!$C$29*$C$145,0),IF(Y$147=12,Assumptions!$C$29*$E150/100,0))</f>
        <v>0</v>
      </c>
    </row>
    <row r="151" customFormat="false" ht="15" hidden="false" customHeight="false" outlineLevel="0" collapsed="false">
      <c r="B151" s="9" t="s">
        <v>50</v>
      </c>
      <c r="C151" s="28" t="n">
        <f aca="false">IF($C$12&lt;=$C$146,1,0)</f>
        <v>0</v>
      </c>
      <c r="D151" s="19" t="n">
        <f aca="false">Assumptions!$F$35</f>
        <v>12187.5</v>
      </c>
      <c r="E151" s="39" t="n">
        <f aca="false">PV($F151/2,(Assumptions!$C$30*4-12)/2,-Assumptions!$D$35*100/2,-100)</f>
        <v>98.8794329841845</v>
      </c>
      <c r="F151" s="17" t="n">
        <f aca="false">RATE(Assumptions!$C$30*2,Assumptions!$D$35*100/2,-Assumptions!$E$35,100)*2</f>
        <v>0.0811827080590467</v>
      </c>
      <c r="G151" s="26" t="n">
        <f aca="false">SUM(I151:Y151)</f>
        <v>2984.92912302306</v>
      </c>
      <c r="H151" s="17" t="n">
        <f aca="false">(1+IRR(I151:Y151,IF(SUM(I151:Y151)&lt;0,-0.05,0.01)))^4-1</f>
        <v>0.0828303660809961</v>
      </c>
      <c r="I151" s="40" t="n">
        <f aca="false">IF(I$147=0,-Assumptions!$C$29*Assumptions!$E$35/100,0)+IF(AND(I$147&gt;=2,MOD(I$147,2)=0,I$147&lt;=IF($C151=1,$C$5-2,12)),Assumptions!$C$29*Assumptions!$D$35/2,0)+IF($C151=1,IF(I$147=$C$6,Assumptions!$C$29*$C$145,0),IF(I$147=12,Assumptions!$C$29*$E151/100,0))</f>
        <v>-12187.5</v>
      </c>
      <c r="J151" s="40" t="n">
        <f aca="false">IF(J$147=0,-Assumptions!$C$29*Assumptions!$E$35/100,0)+IF(AND(J$147&gt;=2,MOD(J$147,2)=0,J$147&lt;=IF($C151=1,$C$5-2,12)),Assumptions!$C$29*Assumptions!$D$35/2,0)+IF($C151=1,IF(J$147=$C$6,Assumptions!$C$29*$C$145,0),IF(J$147=12,Assumptions!$C$29*$E151/100,0))</f>
        <v>0</v>
      </c>
      <c r="K151" s="40" t="n">
        <f aca="false">IF(K$147=0,-Assumptions!$C$29*Assumptions!$E$35/100,0)+IF(AND(K$147&gt;=2,MOD(K$147,2)=0,K$147&lt;=IF($C151=1,$C$5-2,12)),Assumptions!$C$29*Assumptions!$D$35/2,0)+IF($C151=1,IF(K$147=$C$6,Assumptions!$C$29*$C$145,0),IF(K$147=12,Assumptions!$C$29*$E151/100,0))</f>
        <v>468.75</v>
      </c>
      <c r="L151" s="40" t="n">
        <f aca="false">IF(L$147=0,-Assumptions!$C$29*Assumptions!$E$35/100,0)+IF(AND(L$147&gt;=2,MOD(L$147,2)=0,L$147&lt;=IF($C151=1,$C$5-2,12)),Assumptions!$C$29*Assumptions!$D$35/2,0)+IF($C151=1,IF(L$147=$C$6,Assumptions!$C$29*$C$145,0),IF(L$147=12,Assumptions!$C$29*$E151/100,0))</f>
        <v>0</v>
      </c>
      <c r="M151" s="40" t="n">
        <f aca="false">IF(M$147=0,-Assumptions!$C$29*Assumptions!$E$35/100,0)+IF(AND(M$147&gt;=2,MOD(M$147,2)=0,M$147&lt;=IF($C151=1,$C$5-2,12)),Assumptions!$C$29*Assumptions!$D$35/2,0)+IF($C151=1,IF(M$147=$C$6,Assumptions!$C$29*$C$145,0),IF(M$147=12,Assumptions!$C$29*$E151/100,0))</f>
        <v>468.75</v>
      </c>
      <c r="N151" s="40" t="n">
        <f aca="false">IF(N$147=0,-Assumptions!$C$29*Assumptions!$E$35/100,0)+IF(AND(N$147&gt;=2,MOD(N$147,2)=0,N$147&lt;=IF($C151=1,$C$5-2,12)),Assumptions!$C$29*Assumptions!$D$35/2,0)+IF($C151=1,IF(N$147=$C$6,Assumptions!$C$29*$C$145,0),IF(N$147=12,Assumptions!$C$29*$E151/100,0))</f>
        <v>0</v>
      </c>
      <c r="O151" s="40" t="n">
        <f aca="false">IF(O$147=0,-Assumptions!$C$29*Assumptions!$E$35/100,0)+IF(AND(O$147&gt;=2,MOD(O$147,2)=0,O$147&lt;=IF($C151=1,$C$5-2,12)),Assumptions!$C$29*Assumptions!$D$35/2,0)+IF($C151=1,IF(O$147=$C$6,Assumptions!$C$29*$C$145,0),IF(O$147=12,Assumptions!$C$29*$E151/100,0))</f>
        <v>468.75</v>
      </c>
      <c r="P151" s="40" t="n">
        <f aca="false">IF(P$147=0,-Assumptions!$C$29*Assumptions!$E$35/100,0)+IF(AND(P$147&gt;=2,MOD(P$147,2)=0,P$147&lt;=IF($C151=1,$C$5-2,12)),Assumptions!$C$29*Assumptions!$D$35/2,0)+IF($C151=1,IF(P$147=$C$6,Assumptions!$C$29*$C$145,0),IF(P$147=12,Assumptions!$C$29*$E151/100,0))</f>
        <v>0</v>
      </c>
      <c r="Q151" s="40" t="n">
        <f aca="false">IF(Q$147=0,-Assumptions!$C$29*Assumptions!$E$35/100,0)+IF(AND(Q$147&gt;=2,MOD(Q$147,2)=0,Q$147&lt;=IF($C151=1,$C$5-2,12)),Assumptions!$C$29*Assumptions!$D$35/2,0)+IF($C151=1,IF(Q$147=$C$6,Assumptions!$C$29*$C$145,0),IF(Q$147=12,Assumptions!$C$29*$E151/100,0))</f>
        <v>468.75</v>
      </c>
      <c r="R151" s="40" t="n">
        <f aca="false">IF(R$147=0,-Assumptions!$C$29*Assumptions!$E$35/100,0)+IF(AND(R$147&gt;=2,MOD(R$147,2)=0,R$147&lt;=IF($C151=1,$C$5-2,12)),Assumptions!$C$29*Assumptions!$D$35/2,0)+IF($C151=1,IF(R$147=$C$6,Assumptions!$C$29*$C$145,0),IF(R$147=12,Assumptions!$C$29*$E151/100,0))</f>
        <v>0</v>
      </c>
      <c r="S151" s="40" t="n">
        <f aca="false">IF(S$147=0,-Assumptions!$C$29*Assumptions!$E$35/100,0)+IF(AND(S$147&gt;=2,MOD(S$147,2)=0,S$147&lt;=IF($C151=1,$C$5-2,12)),Assumptions!$C$29*Assumptions!$D$35/2,0)+IF($C151=1,IF(S$147=$C$6,Assumptions!$C$29*$C$145,0),IF(S$147=12,Assumptions!$C$29*$E151/100,0))</f>
        <v>468.75</v>
      </c>
      <c r="T151" s="40" t="n">
        <f aca="false">IF(T$147=0,-Assumptions!$C$29*Assumptions!$E$35/100,0)+IF(AND(T$147&gt;=2,MOD(T$147,2)=0,T$147&lt;=IF($C151=1,$C$5-2,12)),Assumptions!$C$29*Assumptions!$D$35/2,0)+IF($C151=1,IF(T$147=$C$6,Assumptions!$C$29*$C$145,0),IF(T$147=12,Assumptions!$C$29*$E151/100,0))</f>
        <v>0</v>
      </c>
      <c r="U151" s="40" t="n">
        <f aca="false">IF(U$147=0,-Assumptions!$C$29*Assumptions!$E$35/100,0)+IF(AND(U$147&gt;=2,MOD(U$147,2)=0,U$147&lt;=IF($C151=1,$C$5-2,12)),Assumptions!$C$29*Assumptions!$D$35/2,0)+IF($C151=1,IF(U$147=$C$6,Assumptions!$C$29*$C$145,0),IF(U$147=12,Assumptions!$C$29*$E151/100,0))</f>
        <v>12828.6791230231</v>
      </c>
      <c r="V151" s="40" t="n">
        <f aca="false">IF(V$147=0,-Assumptions!$C$29*Assumptions!$E$35/100,0)+IF(AND(V$147&gt;=2,MOD(V$147,2)=0,V$147&lt;=IF($C151=1,$C$5-2,12)),Assumptions!$C$29*Assumptions!$D$35/2,0)+IF($C151=1,IF(V$147=$C$6,Assumptions!$C$29*$C$145,0),IF(V$147=12,Assumptions!$C$29*$E151/100,0))</f>
        <v>0</v>
      </c>
      <c r="W151" s="40" t="n">
        <f aca="false">IF(W$147=0,-Assumptions!$C$29*Assumptions!$E$35/100,0)+IF(AND(W$147&gt;=2,MOD(W$147,2)=0,W$147&lt;=IF($C151=1,$C$5-2,12)),Assumptions!$C$29*Assumptions!$D$35/2,0)+IF($C151=1,IF(W$147=$C$6,Assumptions!$C$29*$C$145,0),IF(W$147=12,Assumptions!$C$29*$E151/100,0))</f>
        <v>0</v>
      </c>
      <c r="X151" s="40" t="n">
        <f aca="false">IF(X$147=0,-Assumptions!$C$29*Assumptions!$E$35/100,0)+IF(AND(X$147&gt;=2,MOD(X$147,2)=0,X$147&lt;=IF($C151=1,$C$5-2,12)),Assumptions!$C$29*Assumptions!$D$35/2,0)+IF($C151=1,IF(X$147=$C$6,Assumptions!$C$29*$C$145,0),IF(X$147=12,Assumptions!$C$29*$E151/100,0))</f>
        <v>0</v>
      </c>
      <c r="Y151" s="40" t="n">
        <f aca="false">IF(Y$147=0,-Assumptions!$C$29*Assumptions!$E$35/100,0)+IF(AND(Y$147&gt;=2,MOD(Y$147,2)=0,Y$147&lt;=IF($C151=1,$C$5-2,12)),Assumptions!$C$29*Assumptions!$D$35/2,0)+IF($C151=1,IF(Y$147=$C$6,Assumptions!$C$29*$C$145,0),IF(Y$147=12,Assumptions!$C$29*$E151/100,0))</f>
        <v>0</v>
      </c>
    </row>
    <row r="152" customFormat="false" ht="15" hidden="false" customHeight="false" outlineLevel="0" collapsed="false">
      <c r="B152" s="9" t="s">
        <v>51</v>
      </c>
      <c r="C152" s="28" t="n">
        <f aca="false">IF($C$13&lt;=$C$146,1,0)</f>
        <v>0</v>
      </c>
      <c r="D152" s="19" t="n">
        <f aca="false">Assumptions!$F$36</f>
        <v>12125</v>
      </c>
      <c r="E152" s="39" t="n">
        <f aca="false">PV($F152/2,(Assumptions!$C$30*4-12)/2,-Assumptions!$D$36*100/2,-100)</f>
        <v>98.6441572961372</v>
      </c>
      <c r="F152" s="17" t="n">
        <f aca="false">RATE(Assumptions!$C$30*2,Assumptions!$D$36*100/2,-Assumptions!$E$36,100)*2</f>
        <v>0.0875368825411204</v>
      </c>
      <c r="G152" s="26" t="n">
        <f aca="false">SUM(I152:Y152)</f>
        <v>3205.51966201715</v>
      </c>
      <c r="H152" s="17" t="n">
        <f aca="false">(1+IRR(I152:Y152,IF(SUM(I152:Y152)&lt;0,-0.05,0.01)))^4-1</f>
        <v>0.0894525589923749</v>
      </c>
      <c r="I152" s="40" t="n">
        <f aca="false">IF(I$147=0,-Assumptions!$C$29*Assumptions!$E$36/100,0)+IF(AND(I$147&gt;=2,MOD(I$147,2)=0,I$147&lt;=IF($C152=1,$C$5-2,12)),Assumptions!$C$29*Assumptions!$D$36/2,0)+IF($C152=1,IF(I$147=$C$6,Assumptions!$C$29*$C$145,0),IF(I$147=12,Assumptions!$C$29*$E152/100,0))</f>
        <v>-12125</v>
      </c>
      <c r="J152" s="40" t="n">
        <f aca="false">IF(J$147=0,-Assumptions!$C$29*Assumptions!$E$36/100,0)+IF(AND(J$147&gt;=2,MOD(J$147,2)=0,J$147&lt;=IF($C152=1,$C$5-2,12)),Assumptions!$C$29*Assumptions!$D$36/2,0)+IF($C152=1,IF(J$147=$C$6,Assumptions!$C$29*$C$145,0),IF(J$147=12,Assumptions!$C$29*$E152/100,0))</f>
        <v>0</v>
      </c>
      <c r="K152" s="40" t="n">
        <f aca="false">IF(K$147=0,-Assumptions!$C$29*Assumptions!$E$36/100,0)+IF(AND(K$147&gt;=2,MOD(K$147,2)=0,K$147&lt;=IF($C152=1,$C$5-2,12)),Assumptions!$C$29*Assumptions!$D$36/2,0)+IF($C152=1,IF(K$147=$C$6,Assumptions!$C$29*$C$145,0),IF(K$147=12,Assumptions!$C$29*$E152/100,0))</f>
        <v>500</v>
      </c>
      <c r="L152" s="40" t="n">
        <f aca="false">IF(L$147=0,-Assumptions!$C$29*Assumptions!$E$36/100,0)+IF(AND(L$147&gt;=2,MOD(L$147,2)=0,L$147&lt;=IF($C152=1,$C$5-2,12)),Assumptions!$C$29*Assumptions!$D$36/2,0)+IF($C152=1,IF(L$147=$C$6,Assumptions!$C$29*$C$145,0),IF(L$147=12,Assumptions!$C$29*$E152/100,0))</f>
        <v>0</v>
      </c>
      <c r="M152" s="40" t="n">
        <f aca="false">IF(M$147=0,-Assumptions!$C$29*Assumptions!$E$36/100,0)+IF(AND(M$147&gt;=2,MOD(M$147,2)=0,M$147&lt;=IF($C152=1,$C$5-2,12)),Assumptions!$C$29*Assumptions!$D$36/2,0)+IF($C152=1,IF(M$147=$C$6,Assumptions!$C$29*$C$145,0),IF(M$147=12,Assumptions!$C$29*$E152/100,0))</f>
        <v>500</v>
      </c>
      <c r="N152" s="40" t="n">
        <f aca="false">IF(N$147=0,-Assumptions!$C$29*Assumptions!$E$36/100,0)+IF(AND(N$147&gt;=2,MOD(N$147,2)=0,N$147&lt;=IF($C152=1,$C$5-2,12)),Assumptions!$C$29*Assumptions!$D$36/2,0)+IF($C152=1,IF(N$147=$C$6,Assumptions!$C$29*$C$145,0),IF(N$147=12,Assumptions!$C$29*$E152/100,0))</f>
        <v>0</v>
      </c>
      <c r="O152" s="40" t="n">
        <f aca="false">IF(O$147=0,-Assumptions!$C$29*Assumptions!$E$36/100,0)+IF(AND(O$147&gt;=2,MOD(O$147,2)=0,O$147&lt;=IF($C152=1,$C$5-2,12)),Assumptions!$C$29*Assumptions!$D$36/2,0)+IF($C152=1,IF(O$147=$C$6,Assumptions!$C$29*$C$145,0),IF(O$147=12,Assumptions!$C$29*$E152/100,0))</f>
        <v>500</v>
      </c>
      <c r="P152" s="40" t="n">
        <f aca="false">IF(P$147=0,-Assumptions!$C$29*Assumptions!$E$36/100,0)+IF(AND(P$147&gt;=2,MOD(P$147,2)=0,P$147&lt;=IF($C152=1,$C$5-2,12)),Assumptions!$C$29*Assumptions!$D$36/2,0)+IF($C152=1,IF(P$147=$C$6,Assumptions!$C$29*$C$145,0),IF(P$147=12,Assumptions!$C$29*$E152/100,0))</f>
        <v>0</v>
      </c>
      <c r="Q152" s="40" t="n">
        <f aca="false">IF(Q$147=0,-Assumptions!$C$29*Assumptions!$E$36/100,0)+IF(AND(Q$147&gt;=2,MOD(Q$147,2)=0,Q$147&lt;=IF($C152=1,$C$5-2,12)),Assumptions!$C$29*Assumptions!$D$36/2,0)+IF($C152=1,IF(Q$147=$C$6,Assumptions!$C$29*$C$145,0),IF(Q$147=12,Assumptions!$C$29*$E152/100,0))</f>
        <v>500</v>
      </c>
      <c r="R152" s="40" t="n">
        <f aca="false">IF(R$147=0,-Assumptions!$C$29*Assumptions!$E$36/100,0)+IF(AND(R$147&gt;=2,MOD(R$147,2)=0,R$147&lt;=IF($C152=1,$C$5-2,12)),Assumptions!$C$29*Assumptions!$D$36/2,0)+IF($C152=1,IF(R$147=$C$6,Assumptions!$C$29*$C$145,0),IF(R$147=12,Assumptions!$C$29*$E152/100,0))</f>
        <v>0</v>
      </c>
      <c r="S152" s="40" t="n">
        <f aca="false">IF(S$147=0,-Assumptions!$C$29*Assumptions!$E$36/100,0)+IF(AND(S$147&gt;=2,MOD(S$147,2)=0,S$147&lt;=IF($C152=1,$C$5-2,12)),Assumptions!$C$29*Assumptions!$D$36/2,0)+IF($C152=1,IF(S$147=$C$6,Assumptions!$C$29*$C$145,0),IF(S$147=12,Assumptions!$C$29*$E152/100,0))</f>
        <v>500</v>
      </c>
      <c r="T152" s="40" t="n">
        <f aca="false">IF(T$147=0,-Assumptions!$C$29*Assumptions!$E$36/100,0)+IF(AND(T$147&gt;=2,MOD(T$147,2)=0,T$147&lt;=IF($C152=1,$C$5-2,12)),Assumptions!$C$29*Assumptions!$D$36/2,0)+IF($C152=1,IF(T$147=$C$6,Assumptions!$C$29*$C$145,0),IF(T$147=12,Assumptions!$C$29*$E152/100,0))</f>
        <v>0</v>
      </c>
      <c r="U152" s="40" t="n">
        <f aca="false">IF(U$147=0,-Assumptions!$C$29*Assumptions!$E$36/100,0)+IF(AND(U$147&gt;=2,MOD(U$147,2)=0,U$147&lt;=IF($C152=1,$C$5-2,12)),Assumptions!$C$29*Assumptions!$D$36/2,0)+IF($C152=1,IF(U$147=$C$6,Assumptions!$C$29*$C$145,0),IF(U$147=12,Assumptions!$C$29*$E152/100,0))</f>
        <v>12830.5196620172</v>
      </c>
      <c r="V152" s="40" t="n">
        <f aca="false">IF(V$147=0,-Assumptions!$C$29*Assumptions!$E$36/100,0)+IF(AND(V$147&gt;=2,MOD(V$147,2)=0,V$147&lt;=IF($C152=1,$C$5-2,12)),Assumptions!$C$29*Assumptions!$D$36/2,0)+IF($C152=1,IF(V$147=$C$6,Assumptions!$C$29*$C$145,0),IF(V$147=12,Assumptions!$C$29*$E152/100,0))</f>
        <v>0</v>
      </c>
      <c r="W152" s="40" t="n">
        <f aca="false">IF(W$147=0,-Assumptions!$C$29*Assumptions!$E$36/100,0)+IF(AND(W$147&gt;=2,MOD(W$147,2)=0,W$147&lt;=IF($C152=1,$C$5-2,12)),Assumptions!$C$29*Assumptions!$D$36/2,0)+IF($C152=1,IF(W$147=$C$6,Assumptions!$C$29*$C$145,0),IF(W$147=12,Assumptions!$C$29*$E152/100,0))</f>
        <v>0</v>
      </c>
      <c r="X152" s="40" t="n">
        <f aca="false">IF(X$147=0,-Assumptions!$C$29*Assumptions!$E$36/100,0)+IF(AND(X$147&gt;=2,MOD(X$147,2)=0,X$147&lt;=IF($C152=1,$C$5-2,12)),Assumptions!$C$29*Assumptions!$D$36/2,0)+IF($C152=1,IF(X$147=$C$6,Assumptions!$C$29*$C$145,0),IF(X$147=12,Assumptions!$C$29*$E152/100,0))</f>
        <v>0</v>
      </c>
      <c r="Y152" s="40" t="n">
        <f aca="false">IF(Y$147=0,-Assumptions!$C$29*Assumptions!$E$36/100,0)+IF(AND(Y$147&gt;=2,MOD(Y$147,2)=0,Y$147&lt;=IF($C152=1,$C$5-2,12)),Assumptions!$C$29*Assumptions!$D$36/2,0)+IF($C152=1,IF(Y$147=$C$6,Assumptions!$C$29*$C$145,0),IF(Y$147=12,Assumptions!$C$29*$E152/100,0))</f>
        <v>0</v>
      </c>
    </row>
    <row r="153" customFormat="false" ht="15" hidden="false" customHeight="false" outlineLevel="0" collapsed="false">
      <c r="B153" s="9" t="s">
        <v>52</v>
      </c>
      <c r="C153" s="28" t="n">
        <f aca="false">IF($C$14&lt;=$C$146,1,0)</f>
        <v>0</v>
      </c>
      <c r="D153" s="19" t="n">
        <f aca="false">Assumptions!$F$37</f>
        <v>11750</v>
      </c>
      <c r="E153" s="39" t="n">
        <f aca="false">PV($F153/2,(Assumptions!$C$30*4-12)/2,-Assumptions!$D$37*100/2,-100)</f>
        <v>97.2427387979842</v>
      </c>
      <c r="F153" s="17" t="n">
        <f aca="false">RATE(Assumptions!$C$30*2,Assumptions!$D$37*100/2,-Assumptions!$E$37,100)*2</f>
        <v>0.100561753609911</v>
      </c>
      <c r="G153" s="26" t="n">
        <f aca="false">SUM(I153:Y153)</f>
        <v>3592.84234974802</v>
      </c>
      <c r="H153" s="17" t="n">
        <f aca="false">(1+IRR(I153:Y153,IF(SUM(I153:Y153)&lt;0,-0.05,0.01)))^4-1</f>
        <v>0.103089920182186</v>
      </c>
      <c r="I153" s="40" t="n">
        <f aca="false">IF(I$147=0,-Assumptions!$C$29*Assumptions!$E$37/100,0)+IF(AND(I$147&gt;=2,MOD(I$147,2)=0,I$147&lt;=IF($C153=1,$C$5-2,12)),Assumptions!$C$29*Assumptions!$D$37/2,0)+IF($C153=1,IF(I$147=$C$6,Assumptions!$C$29*$C$145,0),IF(I$147=12,Assumptions!$C$29*$E153/100,0))</f>
        <v>-11750</v>
      </c>
      <c r="J153" s="40" t="n">
        <f aca="false">IF(J$147=0,-Assumptions!$C$29*Assumptions!$E$37/100,0)+IF(AND(J$147&gt;=2,MOD(J$147,2)=0,J$147&lt;=IF($C153=1,$C$5-2,12)),Assumptions!$C$29*Assumptions!$D$37/2,0)+IF($C153=1,IF(J$147=$C$6,Assumptions!$C$29*$C$145,0),IF(J$147=12,Assumptions!$C$29*$E153/100,0))</f>
        <v>0</v>
      </c>
      <c r="K153" s="40" t="n">
        <f aca="false">IF(K$147=0,-Assumptions!$C$29*Assumptions!$E$37/100,0)+IF(AND(K$147&gt;=2,MOD(K$147,2)=0,K$147&lt;=IF($C153=1,$C$5-2,12)),Assumptions!$C$29*Assumptions!$D$37/2,0)+IF($C153=1,IF(K$147=$C$6,Assumptions!$C$29*$C$145,0),IF(K$147=12,Assumptions!$C$29*$E153/100,0))</f>
        <v>531.25</v>
      </c>
      <c r="L153" s="40" t="n">
        <f aca="false">IF(L$147=0,-Assumptions!$C$29*Assumptions!$E$37/100,0)+IF(AND(L$147&gt;=2,MOD(L$147,2)=0,L$147&lt;=IF($C153=1,$C$5-2,12)),Assumptions!$C$29*Assumptions!$D$37/2,0)+IF($C153=1,IF(L$147=$C$6,Assumptions!$C$29*$C$145,0),IF(L$147=12,Assumptions!$C$29*$E153/100,0))</f>
        <v>0</v>
      </c>
      <c r="M153" s="40" t="n">
        <f aca="false">IF(M$147=0,-Assumptions!$C$29*Assumptions!$E$37/100,0)+IF(AND(M$147&gt;=2,MOD(M$147,2)=0,M$147&lt;=IF($C153=1,$C$5-2,12)),Assumptions!$C$29*Assumptions!$D$37/2,0)+IF($C153=1,IF(M$147=$C$6,Assumptions!$C$29*$C$145,0),IF(M$147=12,Assumptions!$C$29*$E153/100,0))</f>
        <v>531.25</v>
      </c>
      <c r="N153" s="40" t="n">
        <f aca="false">IF(N$147=0,-Assumptions!$C$29*Assumptions!$E$37/100,0)+IF(AND(N$147&gt;=2,MOD(N$147,2)=0,N$147&lt;=IF($C153=1,$C$5-2,12)),Assumptions!$C$29*Assumptions!$D$37/2,0)+IF($C153=1,IF(N$147=$C$6,Assumptions!$C$29*$C$145,0),IF(N$147=12,Assumptions!$C$29*$E153/100,0))</f>
        <v>0</v>
      </c>
      <c r="O153" s="40" t="n">
        <f aca="false">IF(O$147=0,-Assumptions!$C$29*Assumptions!$E$37/100,0)+IF(AND(O$147&gt;=2,MOD(O$147,2)=0,O$147&lt;=IF($C153=1,$C$5-2,12)),Assumptions!$C$29*Assumptions!$D$37/2,0)+IF($C153=1,IF(O$147=$C$6,Assumptions!$C$29*$C$145,0),IF(O$147=12,Assumptions!$C$29*$E153/100,0))</f>
        <v>531.25</v>
      </c>
      <c r="P153" s="40" t="n">
        <f aca="false">IF(P$147=0,-Assumptions!$C$29*Assumptions!$E$37/100,0)+IF(AND(P$147&gt;=2,MOD(P$147,2)=0,P$147&lt;=IF($C153=1,$C$5-2,12)),Assumptions!$C$29*Assumptions!$D$37/2,0)+IF($C153=1,IF(P$147=$C$6,Assumptions!$C$29*$C$145,0),IF(P$147=12,Assumptions!$C$29*$E153/100,0))</f>
        <v>0</v>
      </c>
      <c r="Q153" s="40" t="n">
        <f aca="false">IF(Q$147=0,-Assumptions!$C$29*Assumptions!$E$37/100,0)+IF(AND(Q$147&gt;=2,MOD(Q$147,2)=0,Q$147&lt;=IF($C153=1,$C$5-2,12)),Assumptions!$C$29*Assumptions!$D$37/2,0)+IF($C153=1,IF(Q$147=$C$6,Assumptions!$C$29*$C$145,0),IF(Q$147=12,Assumptions!$C$29*$E153/100,0))</f>
        <v>531.25</v>
      </c>
      <c r="R153" s="40" t="n">
        <f aca="false">IF(R$147=0,-Assumptions!$C$29*Assumptions!$E$37/100,0)+IF(AND(R$147&gt;=2,MOD(R$147,2)=0,R$147&lt;=IF($C153=1,$C$5-2,12)),Assumptions!$C$29*Assumptions!$D$37/2,0)+IF($C153=1,IF(R$147=$C$6,Assumptions!$C$29*$C$145,0),IF(R$147=12,Assumptions!$C$29*$E153/100,0))</f>
        <v>0</v>
      </c>
      <c r="S153" s="40" t="n">
        <f aca="false">IF(S$147=0,-Assumptions!$C$29*Assumptions!$E$37/100,0)+IF(AND(S$147&gt;=2,MOD(S$147,2)=0,S$147&lt;=IF($C153=1,$C$5-2,12)),Assumptions!$C$29*Assumptions!$D$37/2,0)+IF($C153=1,IF(S$147=$C$6,Assumptions!$C$29*$C$145,0),IF(S$147=12,Assumptions!$C$29*$E153/100,0))</f>
        <v>531.25</v>
      </c>
      <c r="T153" s="40" t="n">
        <f aca="false">IF(T$147=0,-Assumptions!$C$29*Assumptions!$E$37/100,0)+IF(AND(T$147&gt;=2,MOD(T$147,2)=0,T$147&lt;=IF($C153=1,$C$5-2,12)),Assumptions!$C$29*Assumptions!$D$37/2,0)+IF($C153=1,IF(T$147=$C$6,Assumptions!$C$29*$C$145,0),IF(T$147=12,Assumptions!$C$29*$E153/100,0))</f>
        <v>0</v>
      </c>
      <c r="U153" s="40" t="n">
        <f aca="false">IF(U$147=0,-Assumptions!$C$29*Assumptions!$E$37/100,0)+IF(AND(U$147&gt;=2,MOD(U$147,2)=0,U$147&lt;=IF($C153=1,$C$5-2,12)),Assumptions!$C$29*Assumptions!$D$37/2,0)+IF($C153=1,IF(U$147=$C$6,Assumptions!$C$29*$C$145,0),IF(U$147=12,Assumptions!$C$29*$E153/100,0))</f>
        <v>12686.592349748</v>
      </c>
      <c r="V153" s="40" t="n">
        <f aca="false">IF(V$147=0,-Assumptions!$C$29*Assumptions!$E$37/100,0)+IF(AND(V$147&gt;=2,MOD(V$147,2)=0,V$147&lt;=IF($C153=1,$C$5-2,12)),Assumptions!$C$29*Assumptions!$D$37/2,0)+IF($C153=1,IF(V$147=$C$6,Assumptions!$C$29*$C$145,0),IF(V$147=12,Assumptions!$C$29*$E153/100,0))</f>
        <v>0</v>
      </c>
      <c r="W153" s="40" t="n">
        <f aca="false">IF(W$147=0,-Assumptions!$C$29*Assumptions!$E$37/100,0)+IF(AND(W$147&gt;=2,MOD(W$147,2)=0,W$147&lt;=IF($C153=1,$C$5-2,12)),Assumptions!$C$29*Assumptions!$D$37/2,0)+IF($C153=1,IF(W$147=$C$6,Assumptions!$C$29*$C$145,0),IF(W$147=12,Assumptions!$C$29*$E153/100,0))</f>
        <v>0</v>
      </c>
      <c r="X153" s="40" t="n">
        <f aca="false">IF(X$147=0,-Assumptions!$C$29*Assumptions!$E$37/100,0)+IF(AND(X$147&gt;=2,MOD(X$147,2)=0,X$147&lt;=IF($C153=1,$C$5-2,12)),Assumptions!$C$29*Assumptions!$D$37/2,0)+IF($C153=1,IF(X$147=$C$6,Assumptions!$C$29*$C$145,0),IF(X$147=12,Assumptions!$C$29*$E153/100,0))</f>
        <v>0</v>
      </c>
      <c r="Y153" s="40" t="n">
        <f aca="false">IF(Y$147=0,-Assumptions!$C$29*Assumptions!$E$37/100,0)+IF(AND(Y$147&gt;=2,MOD(Y$147,2)=0,Y$147&lt;=IF($C153=1,$C$5-2,12)),Assumptions!$C$29*Assumptions!$D$37/2,0)+IF($C153=1,IF(Y$147=$C$6,Assumptions!$C$29*$C$145,0),IF(Y$147=12,Assumptions!$C$29*$E153/100,0))</f>
        <v>0</v>
      </c>
    </row>
    <row r="154" customFormat="false" ht="15" hidden="false" customHeight="false" outlineLevel="0" collapsed="false">
      <c r="B154" s="29" t="s">
        <v>154</v>
      </c>
      <c r="D154" s="41" t="n">
        <f aca="false">SUM(D148:D153)</f>
        <v>73000</v>
      </c>
      <c r="G154" s="41" t="n">
        <f aca="false">SUM(I154:Y154)</f>
        <v>17970.8772222062</v>
      </c>
      <c r="H154" s="30" t="n">
        <f aca="false">(1+IRR(I154:Y154,IF(SUM(I154:Y154)&lt;0,-0.05,0.01)))^4-1</f>
        <v>0.0832358496413976</v>
      </c>
      <c r="I154" s="42" t="n">
        <f aca="false">SUM(I148:I153)</f>
        <v>-73000</v>
      </c>
      <c r="J154" s="42" t="n">
        <f aca="false">SUM(J148:J153)</f>
        <v>0</v>
      </c>
      <c r="K154" s="42" t="n">
        <f aca="false">SUM(K148:K153)</f>
        <v>2812.5</v>
      </c>
      <c r="L154" s="42" t="n">
        <f aca="false">SUM(L148:L153)</f>
        <v>0</v>
      </c>
      <c r="M154" s="42" t="n">
        <f aca="false">SUM(M148:M153)</f>
        <v>2812.5</v>
      </c>
      <c r="N154" s="42" t="n">
        <f aca="false">SUM(N148:N153)</f>
        <v>0</v>
      </c>
      <c r="O154" s="42" t="n">
        <f aca="false">SUM(O148:O153)</f>
        <v>2812.5</v>
      </c>
      <c r="P154" s="42" t="n">
        <f aca="false">SUM(P148:P153)</f>
        <v>0</v>
      </c>
      <c r="Q154" s="42" t="n">
        <f aca="false">SUM(Q148:Q153)</f>
        <v>2812.5</v>
      </c>
      <c r="R154" s="42" t="n">
        <f aca="false">SUM(R148:R153)</f>
        <v>0</v>
      </c>
      <c r="S154" s="42" t="n">
        <f aca="false">SUM(S148:S153)</f>
        <v>2812.5</v>
      </c>
      <c r="T154" s="42" t="n">
        <f aca="false">SUM(T148:T153)</f>
        <v>0</v>
      </c>
      <c r="U154" s="42" t="n">
        <f aca="false">SUM(U148:U153)</f>
        <v>76908.3772222062</v>
      </c>
      <c r="V154" s="42" t="n">
        <f aca="false">SUM(V148:V153)</f>
        <v>0</v>
      </c>
      <c r="W154" s="42" t="n">
        <f aca="false">SUM(W148:W153)</f>
        <v>0</v>
      </c>
      <c r="X154" s="42" t="n">
        <f aca="false">SUM(X148:X153)</f>
        <v>0</v>
      </c>
      <c r="Y154" s="42" t="n">
        <f aca="false">SUM(Y148:Y153)</f>
        <v>0</v>
      </c>
    </row>
    <row r="156" customFormat="false" ht="15" hidden="false" customHeight="false" outlineLevel="0" collapsed="false">
      <c r="B156" s="7" t="s">
        <v>165</v>
      </c>
      <c r="C156" s="8"/>
      <c r="D156" s="8"/>
      <c r="E156" s="8"/>
      <c r="F156" s="8"/>
      <c r="G156" s="8"/>
      <c r="H156" s="8"/>
      <c r="I156" s="8"/>
      <c r="J156" s="8"/>
      <c r="K156" s="8"/>
      <c r="L156" s="8"/>
      <c r="M156" s="8"/>
      <c r="N156" s="8"/>
      <c r="O156" s="8"/>
      <c r="P156" s="8"/>
      <c r="Q156" s="8"/>
      <c r="R156" s="8"/>
      <c r="S156" s="8"/>
      <c r="T156" s="8"/>
      <c r="U156" s="8"/>
      <c r="V156" s="8"/>
      <c r="W156" s="8"/>
      <c r="X156" s="8"/>
      <c r="Y156" s="8"/>
    </row>
    <row r="157" customFormat="false" ht="15" hidden="false" customHeight="false" outlineLevel="0" collapsed="false">
      <c r="B157" s="9" t="s">
        <v>117</v>
      </c>
      <c r="C157" s="22" t="n">
        <f aca="false">$B$20</f>
        <v>0.55</v>
      </c>
    </row>
    <row r="158" customFormat="false" ht="15" hidden="false" customHeight="false" outlineLevel="0" collapsed="false">
      <c r="B158" s="9" t="s">
        <v>148</v>
      </c>
      <c r="C158" s="28" t="n">
        <f aca="false">D$17</f>
        <v>1</v>
      </c>
    </row>
    <row r="159" customFormat="false" ht="30" hidden="false" customHeight="true" outlineLevel="0" collapsed="false">
      <c r="B159" s="13" t="s">
        <v>32</v>
      </c>
      <c r="C159" s="14" t="s">
        <v>149</v>
      </c>
      <c r="D159" s="14" t="s">
        <v>46</v>
      </c>
      <c r="E159" s="14" t="s">
        <v>150</v>
      </c>
      <c r="F159" s="14" t="s">
        <v>151</v>
      </c>
      <c r="G159" s="14" t="s">
        <v>152</v>
      </c>
      <c r="H159" s="14" t="s">
        <v>153</v>
      </c>
      <c r="I159" s="38" t="n">
        <v>0</v>
      </c>
      <c r="J159" s="38" t="n">
        <v>1</v>
      </c>
      <c r="K159" s="38" t="n">
        <v>2</v>
      </c>
      <c r="L159" s="38" t="n">
        <v>3</v>
      </c>
      <c r="M159" s="38" t="n">
        <v>4</v>
      </c>
      <c r="N159" s="38" t="n">
        <v>5</v>
      </c>
      <c r="O159" s="38" t="n">
        <v>6</v>
      </c>
      <c r="P159" s="38" t="n">
        <v>7</v>
      </c>
      <c r="Q159" s="38" t="n">
        <v>8</v>
      </c>
      <c r="R159" s="38" t="n">
        <v>9</v>
      </c>
      <c r="S159" s="38" t="n">
        <v>10</v>
      </c>
      <c r="T159" s="38" t="n">
        <v>11</v>
      </c>
      <c r="U159" s="38" t="n">
        <v>12</v>
      </c>
      <c r="V159" s="38" t="n">
        <v>13</v>
      </c>
      <c r="W159" s="38" t="n">
        <v>14</v>
      </c>
      <c r="X159" s="38" t="n">
        <v>15</v>
      </c>
      <c r="Y159" s="38" t="n">
        <v>16</v>
      </c>
    </row>
    <row r="160" customFormat="false" ht="15" hidden="false" customHeight="false" outlineLevel="0" collapsed="false">
      <c r="B160" s="9" t="s">
        <v>47</v>
      </c>
      <c r="C160" s="28" t="n">
        <f aca="false">IF($C$9&lt;=$C$158,1,0)</f>
        <v>0</v>
      </c>
      <c r="D160" s="19" t="n">
        <f aca="false">Assumptions!$F$32</f>
        <v>12375</v>
      </c>
      <c r="E160" s="39" t="n">
        <f aca="false">PV($F160/2,(Assumptions!$C$30*4-12)/2,-Assumptions!$D$32*100/2,-100)</f>
        <v>99.5584003138178</v>
      </c>
      <c r="F160" s="17" t="n">
        <f aca="false">RATE(Assumptions!$C$30*2,Assumptions!$D$32*100/2,-Assumptions!$E$32,100)*2</f>
        <v>0.0699042470751673</v>
      </c>
      <c r="G160" s="26" t="n">
        <f aca="false">SUM(I160:Y160)</f>
        <v>2601.05003922723</v>
      </c>
      <c r="H160" s="17" t="n">
        <f aca="false">(1+IRR(I160:Y160,IF(SUM(I160:Y160)&lt;0,-0.05,0.01)))^4-1</f>
        <v>0.0711258980149541</v>
      </c>
      <c r="I160" s="40" t="n">
        <f aca="false">IF(I$159=0,-Assumptions!$C$29*Assumptions!$E$32/100,0)+IF(AND(I$159&gt;=2,MOD(I$159,2)=0,I$159&lt;=IF($C160=1,$C$5-2,12)),Assumptions!$C$29*Assumptions!$D$32/2,0)+IF($C160=1,IF(I$159=$C$6,Assumptions!$C$29*$C$157,0),IF(I$159=12,Assumptions!$C$29*$E160/100,0))</f>
        <v>-12375</v>
      </c>
      <c r="J160" s="40" t="n">
        <f aca="false">IF(J$159=0,-Assumptions!$C$29*Assumptions!$E$32/100,0)+IF(AND(J$159&gt;=2,MOD(J$159,2)=0,J$159&lt;=IF($C160=1,$C$5-2,12)),Assumptions!$C$29*Assumptions!$D$32/2,0)+IF($C160=1,IF(J$159=$C$6,Assumptions!$C$29*$C$157,0),IF(J$159=12,Assumptions!$C$29*$E160/100,0))</f>
        <v>0</v>
      </c>
      <c r="K160" s="40" t="n">
        <f aca="false">IF(K$159=0,-Assumptions!$C$29*Assumptions!$E$32/100,0)+IF(AND(K$159&gt;=2,MOD(K$159,2)=0,K$159&lt;=IF($C160=1,$C$5-2,12)),Assumptions!$C$29*Assumptions!$D$32/2,0)+IF($C160=1,IF(K$159=$C$6,Assumptions!$C$29*$C$157,0),IF(K$159=12,Assumptions!$C$29*$E160/100,0))</f>
        <v>421.875</v>
      </c>
      <c r="L160" s="40" t="n">
        <f aca="false">IF(L$159=0,-Assumptions!$C$29*Assumptions!$E$32/100,0)+IF(AND(L$159&gt;=2,MOD(L$159,2)=0,L$159&lt;=IF($C160=1,$C$5-2,12)),Assumptions!$C$29*Assumptions!$D$32/2,0)+IF($C160=1,IF(L$159=$C$6,Assumptions!$C$29*$C$157,0),IF(L$159=12,Assumptions!$C$29*$E160/100,0))</f>
        <v>0</v>
      </c>
      <c r="M160" s="40" t="n">
        <f aca="false">IF(M$159=0,-Assumptions!$C$29*Assumptions!$E$32/100,0)+IF(AND(M$159&gt;=2,MOD(M$159,2)=0,M$159&lt;=IF($C160=1,$C$5-2,12)),Assumptions!$C$29*Assumptions!$D$32/2,0)+IF($C160=1,IF(M$159=$C$6,Assumptions!$C$29*$C$157,0),IF(M$159=12,Assumptions!$C$29*$E160/100,0))</f>
        <v>421.875</v>
      </c>
      <c r="N160" s="40" t="n">
        <f aca="false">IF(N$159=0,-Assumptions!$C$29*Assumptions!$E$32/100,0)+IF(AND(N$159&gt;=2,MOD(N$159,2)=0,N$159&lt;=IF($C160=1,$C$5-2,12)),Assumptions!$C$29*Assumptions!$D$32/2,0)+IF($C160=1,IF(N$159=$C$6,Assumptions!$C$29*$C$157,0),IF(N$159=12,Assumptions!$C$29*$E160/100,0))</f>
        <v>0</v>
      </c>
      <c r="O160" s="40" t="n">
        <f aca="false">IF(O$159=0,-Assumptions!$C$29*Assumptions!$E$32/100,0)+IF(AND(O$159&gt;=2,MOD(O$159,2)=0,O$159&lt;=IF($C160=1,$C$5-2,12)),Assumptions!$C$29*Assumptions!$D$32/2,0)+IF($C160=1,IF(O$159=$C$6,Assumptions!$C$29*$C$157,0),IF(O$159=12,Assumptions!$C$29*$E160/100,0))</f>
        <v>421.875</v>
      </c>
      <c r="P160" s="40" t="n">
        <f aca="false">IF(P$159=0,-Assumptions!$C$29*Assumptions!$E$32/100,0)+IF(AND(P$159&gt;=2,MOD(P$159,2)=0,P$159&lt;=IF($C160=1,$C$5-2,12)),Assumptions!$C$29*Assumptions!$D$32/2,0)+IF($C160=1,IF(P$159=$C$6,Assumptions!$C$29*$C$157,0),IF(P$159=12,Assumptions!$C$29*$E160/100,0))</f>
        <v>0</v>
      </c>
      <c r="Q160" s="40" t="n">
        <f aca="false">IF(Q$159=0,-Assumptions!$C$29*Assumptions!$E$32/100,0)+IF(AND(Q$159&gt;=2,MOD(Q$159,2)=0,Q$159&lt;=IF($C160=1,$C$5-2,12)),Assumptions!$C$29*Assumptions!$D$32/2,0)+IF($C160=1,IF(Q$159=$C$6,Assumptions!$C$29*$C$157,0),IF(Q$159=12,Assumptions!$C$29*$E160/100,0))</f>
        <v>421.875</v>
      </c>
      <c r="R160" s="40" t="n">
        <f aca="false">IF(R$159=0,-Assumptions!$C$29*Assumptions!$E$32/100,0)+IF(AND(R$159&gt;=2,MOD(R$159,2)=0,R$159&lt;=IF($C160=1,$C$5-2,12)),Assumptions!$C$29*Assumptions!$D$32/2,0)+IF($C160=1,IF(R$159=$C$6,Assumptions!$C$29*$C$157,0),IF(R$159=12,Assumptions!$C$29*$E160/100,0))</f>
        <v>0</v>
      </c>
      <c r="S160" s="40" t="n">
        <f aca="false">IF(S$159=0,-Assumptions!$C$29*Assumptions!$E$32/100,0)+IF(AND(S$159&gt;=2,MOD(S$159,2)=0,S$159&lt;=IF($C160=1,$C$5-2,12)),Assumptions!$C$29*Assumptions!$D$32/2,0)+IF($C160=1,IF(S$159=$C$6,Assumptions!$C$29*$C$157,0),IF(S$159=12,Assumptions!$C$29*$E160/100,0))</f>
        <v>421.875</v>
      </c>
      <c r="T160" s="40" t="n">
        <f aca="false">IF(T$159=0,-Assumptions!$C$29*Assumptions!$E$32/100,0)+IF(AND(T$159&gt;=2,MOD(T$159,2)=0,T$159&lt;=IF($C160=1,$C$5-2,12)),Assumptions!$C$29*Assumptions!$D$32/2,0)+IF($C160=1,IF(T$159=$C$6,Assumptions!$C$29*$C$157,0),IF(T$159=12,Assumptions!$C$29*$E160/100,0))</f>
        <v>0</v>
      </c>
      <c r="U160" s="40" t="n">
        <f aca="false">IF(U$159=0,-Assumptions!$C$29*Assumptions!$E$32/100,0)+IF(AND(U$159&gt;=2,MOD(U$159,2)=0,U$159&lt;=IF($C160=1,$C$5-2,12)),Assumptions!$C$29*Assumptions!$D$32/2,0)+IF($C160=1,IF(U$159=$C$6,Assumptions!$C$29*$C$157,0),IF(U$159=12,Assumptions!$C$29*$E160/100,0))</f>
        <v>12866.6750392272</v>
      </c>
      <c r="V160" s="40" t="n">
        <f aca="false">IF(V$159=0,-Assumptions!$C$29*Assumptions!$E$32/100,0)+IF(AND(V$159&gt;=2,MOD(V$159,2)=0,V$159&lt;=IF($C160=1,$C$5-2,12)),Assumptions!$C$29*Assumptions!$D$32/2,0)+IF($C160=1,IF(V$159=$C$6,Assumptions!$C$29*$C$157,0),IF(V$159=12,Assumptions!$C$29*$E160/100,0))</f>
        <v>0</v>
      </c>
      <c r="W160" s="40" t="n">
        <f aca="false">IF(W$159=0,-Assumptions!$C$29*Assumptions!$E$32/100,0)+IF(AND(W$159&gt;=2,MOD(W$159,2)=0,W$159&lt;=IF($C160=1,$C$5-2,12)),Assumptions!$C$29*Assumptions!$D$32/2,0)+IF($C160=1,IF(W$159=$C$6,Assumptions!$C$29*$C$157,0),IF(W$159=12,Assumptions!$C$29*$E160/100,0))</f>
        <v>0</v>
      </c>
      <c r="X160" s="40" t="n">
        <f aca="false">IF(X$159=0,-Assumptions!$C$29*Assumptions!$E$32/100,0)+IF(AND(X$159&gt;=2,MOD(X$159,2)=0,X$159&lt;=IF($C160=1,$C$5-2,12)),Assumptions!$C$29*Assumptions!$D$32/2,0)+IF($C160=1,IF(X$159=$C$6,Assumptions!$C$29*$C$157,0),IF(X$159=12,Assumptions!$C$29*$E160/100,0))</f>
        <v>0</v>
      </c>
      <c r="Y160" s="40" t="n">
        <f aca="false">IF(Y$159=0,-Assumptions!$C$29*Assumptions!$E$32/100,0)+IF(AND(Y$159&gt;=2,MOD(Y$159,2)=0,Y$159&lt;=IF($C160=1,$C$5-2,12)),Assumptions!$C$29*Assumptions!$D$32/2,0)+IF($C160=1,IF(Y$159=$C$6,Assumptions!$C$29*$C$157,0),IF(Y$159=12,Assumptions!$C$29*$E160/100,0))</f>
        <v>0</v>
      </c>
    </row>
    <row r="161" customFormat="false" ht="15" hidden="false" customHeight="false" outlineLevel="0" collapsed="false">
      <c r="B161" s="9" t="s">
        <v>48</v>
      </c>
      <c r="C161" s="28" t="n">
        <f aca="false">IF($C$10&lt;=$C$158,1,0)</f>
        <v>0</v>
      </c>
      <c r="D161" s="19" t="n">
        <f aca="false">Assumptions!$F$33</f>
        <v>12312.5</v>
      </c>
      <c r="E161" s="39" t="n">
        <f aca="false">PV($F161/2,(Assumptions!$C$30*4-12)/2,-Assumptions!$D$33*100/2,-100)</f>
        <v>99.3343027458663</v>
      </c>
      <c r="F161" s="17" t="n">
        <f aca="false">RATE(Assumptions!$C$30*2,Assumptions!$D$33*100/2,-Assumptions!$E$33,100)*2</f>
        <v>0.0736404123832243</v>
      </c>
      <c r="G161" s="26" t="n">
        <f aca="false">SUM(I161:Y161)</f>
        <v>2729.28784323328</v>
      </c>
      <c r="H161" s="17" t="n">
        <f aca="false">(1+IRR(I161:Y161,IF(SUM(I161:Y161)&lt;0,-0.05,0.01)))^4-1</f>
        <v>0.0749961399672177</v>
      </c>
      <c r="I161" s="40" t="n">
        <f aca="false">IF(I$159=0,-Assumptions!$C$29*Assumptions!$E$33/100,0)+IF(AND(I$159&gt;=2,MOD(I$159,2)=0,I$159&lt;=IF($C161=1,$C$5-2,12)),Assumptions!$C$29*Assumptions!$D$33/2,0)+IF($C161=1,IF(I$159=$C$6,Assumptions!$C$29*$C$157,0),IF(I$159=12,Assumptions!$C$29*$E161/100,0))</f>
        <v>-12312.5</v>
      </c>
      <c r="J161" s="40" t="n">
        <f aca="false">IF(J$159=0,-Assumptions!$C$29*Assumptions!$E$33/100,0)+IF(AND(J$159&gt;=2,MOD(J$159,2)=0,J$159&lt;=IF($C161=1,$C$5-2,12)),Assumptions!$C$29*Assumptions!$D$33/2,0)+IF($C161=1,IF(J$159=$C$6,Assumptions!$C$29*$C$157,0),IF(J$159=12,Assumptions!$C$29*$E161/100,0))</f>
        <v>0</v>
      </c>
      <c r="K161" s="40" t="n">
        <f aca="false">IF(K$159=0,-Assumptions!$C$29*Assumptions!$E$33/100,0)+IF(AND(K$159&gt;=2,MOD(K$159,2)=0,K$159&lt;=IF($C161=1,$C$5-2,12)),Assumptions!$C$29*Assumptions!$D$33/2,0)+IF($C161=1,IF(K$159=$C$6,Assumptions!$C$29*$C$157,0),IF(K$159=12,Assumptions!$C$29*$E161/100,0))</f>
        <v>437.5</v>
      </c>
      <c r="L161" s="40" t="n">
        <f aca="false">IF(L$159=0,-Assumptions!$C$29*Assumptions!$E$33/100,0)+IF(AND(L$159&gt;=2,MOD(L$159,2)=0,L$159&lt;=IF($C161=1,$C$5-2,12)),Assumptions!$C$29*Assumptions!$D$33/2,0)+IF($C161=1,IF(L$159=$C$6,Assumptions!$C$29*$C$157,0),IF(L$159=12,Assumptions!$C$29*$E161/100,0))</f>
        <v>0</v>
      </c>
      <c r="M161" s="40" t="n">
        <f aca="false">IF(M$159=0,-Assumptions!$C$29*Assumptions!$E$33/100,0)+IF(AND(M$159&gt;=2,MOD(M$159,2)=0,M$159&lt;=IF($C161=1,$C$5-2,12)),Assumptions!$C$29*Assumptions!$D$33/2,0)+IF($C161=1,IF(M$159=$C$6,Assumptions!$C$29*$C$157,0),IF(M$159=12,Assumptions!$C$29*$E161/100,0))</f>
        <v>437.5</v>
      </c>
      <c r="N161" s="40" t="n">
        <f aca="false">IF(N$159=0,-Assumptions!$C$29*Assumptions!$E$33/100,0)+IF(AND(N$159&gt;=2,MOD(N$159,2)=0,N$159&lt;=IF($C161=1,$C$5-2,12)),Assumptions!$C$29*Assumptions!$D$33/2,0)+IF($C161=1,IF(N$159=$C$6,Assumptions!$C$29*$C$157,0),IF(N$159=12,Assumptions!$C$29*$E161/100,0))</f>
        <v>0</v>
      </c>
      <c r="O161" s="40" t="n">
        <f aca="false">IF(O$159=0,-Assumptions!$C$29*Assumptions!$E$33/100,0)+IF(AND(O$159&gt;=2,MOD(O$159,2)=0,O$159&lt;=IF($C161=1,$C$5-2,12)),Assumptions!$C$29*Assumptions!$D$33/2,0)+IF($C161=1,IF(O$159=$C$6,Assumptions!$C$29*$C$157,0),IF(O$159=12,Assumptions!$C$29*$E161/100,0))</f>
        <v>437.5</v>
      </c>
      <c r="P161" s="40" t="n">
        <f aca="false">IF(P$159=0,-Assumptions!$C$29*Assumptions!$E$33/100,0)+IF(AND(P$159&gt;=2,MOD(P$159,2)=0,P$159&lt;=IF($C161=1,$C$5-2,12)),Assumptions!$C$29*Assumptions!$D$33/2,0)+IF($C161=1,IF(P$159=$C$6,Assumptions!$C$29*$C$157,0),IF(P$159=12,Assumptions!$C$29*$E161/100,0))</f>
        <v>0</v>
      </c>
      <c r="Q161" s="40" t="n">
        <f aca="false">IF(Q$159=0,-Assumptions!$C$29*Assumptions!$E$33/100,0)+IF(AND(Q$159&gt;=2,MOD(Q$159,2)=0,Q$159&lt;=IF($C161=1,$C$5-2,12)),Assumptions!$C$29*Assumptions!$D$33/2,0)+IF($C161=1,IF(Q$159=$C$6,Assumptions!$C$29*$C$157,0),IF(Q$159=12,Assumptions!$C$29*$E161/100,0))</f>
        <v>437.5</v>
      </c>
      <c r="R161" s="40" t="n">
        <f aca="false">IF(R$159=0,-Assumptions!$C$29*Assumptions!$E$33/100,0)+IF(AND(R$159&gt;=2,MOD(R$159,2)=0,R$159&lt;=IF($C161=1,$C$5-2,12)),Assumptions!$C$29*Assumptions!$D$33/2,0)+IF($C161=1,IF(R$159=$C$6,Assumptions!$C$29*$C$157,0),IF(R$159=12,Assumptions!$C$29*$E161/100,0))</f>
        <v>0</v>
      </c>
      <c r="S161" s="40" t="n">
        <f aca="false">IF(S$159=0,-Assumptions!$C$29*Assumptions!$E$33/100,0)+IF(AND(S$159&gt;=2,MOD(S$159,2)=0,S$159&lt;=IF($C161=1,$C$5-2,12)),Assumptions!$C$29*Assumptions!$D$33/2,0)+IF($C161=1,IF(S$159=$C$6,Assumptions!$C$29*$C$157,0),IF(S$159=12,Assumptions!$C$29*$E161/100,0))</f>
        <v>437.5</v>
      </c>
      <c r="T161" s="40" t="n">
        <f aca="false">IF(T$159=0,-Assumptions!$C$29*Assumptions!$E$33/100,0)+IF(AND(T$159&gt;=2,MOD(T$159,2)=0,T$159&lt;=IF($C161=1,$C$5-2,12)),Assumptions!$C$29*Assumptions!$D$33/2,0)+IF($C161=1,IF(T$159=$C$6,Assumptions!$C$29*$C$157,0),IF(T$159=12,Assumptions!$C$29*$E161/100,0))</f>
        <v>0</v>
      </c>
      <c r="U161" s="40" t="n">
        <f aca="false">IF(U$159=0,-Assumptions!$C$29*Assumptions!$E$33/100,0)+IF(AND(U$159&gt;=2,MOD(U$159,2)=0,U$159&lt;=IF($C161=1,$C$5-2,12)),Assumptions!$C$29*Assumptions!$D$33/2,0)+IF($C161=1,IF(U$159=$C$6,Assumptions!$C$29*$C$157,0),IF(U$159=12,Assumptions!$C$29*$E161/100,0))</f>
        <v>12854.2878432333</v>
      </c>
      <c r="V161" s="40" t="n">
        <f aca="false">IF(V$159=0,-Assumptions!$C$29*Assumptions!$E$33/100,0)+IF(AND(V$159&gt;=2,MOD(V$159,2)=0,V$159&lt;=IF($C161=1,$C$5-2,12)),Assumptions!$C$29*Assumptions!$D$33/2,0)+IF($C161=1,IF(V$159=$C$6,Assumptions!$C$29*$C$157,0),IF(V$159=12,Assumptions!$C$29*$E161/100,0))</f>
        <v>0</v>
      </c>
      <c r="W161" s="40" t="n">
        <f aca="false">IF(W$159=0,-Assumptions!$C$29*Assumptions!$E$33/100,0)+IF(AND(W$159&gt;=2,MOD(W$159,2)=0,W$159&lt;=IF($C161=1,$C$5-2,12)),Assumptions!$C$29*Assumptions!$D$33/2,0)+IF($C161=1,IF(W$159=$C$6,Assumptions!$C$29*$C$157,0),IF(W$159=12,Assumptions!$C$29*$E161/100,0))</f>
        <v>0</v>
      </c>
      <c r="X161" s="40" t="n">
        <f aca="false">IF(X$159=0,-Assumptions!$C$29*Assumptions!$E$33/100,0)+IF(AND(X$159&gt;=2,MOD(X$159,2)=0,X$159&lt;=IF($C161=1,$C$5-2,12)),Assumptions!$C$29*Assumptions!$D$33/2,0)+IF($C161=1,IF(X$159=$C$6,Assumptions!$C$29*$C$157,0),IF(X$159=12,Assumptions!$C$29*$E161/100,0))</f>
        <v>0</v>
      </c>
      <c r="Y161" s="40" t="n">
        <f aca="false">IF(Y$159=0,-Assumptions!$C$29*Assumptions!$E$33/100,0)+IF(AND(Y$159&gt;=2,MOD(Y$159,2)=0,Y$159&lt;=IF($C161=1,$C$5-2,12)),Assumptions!$C$29*Assumptions!$D$33/2,0)+IF($C161=1,IF(Y$159=$C$6,Assumptions!$C$29*$C$157,0),IF(Y$159=12,Assumptions!$C$29*$E161/100,0))</f>
        <v>0</v>
      </c>
    </row>
    <row r="162" customFormat="false" ht="15" hidden="false" customHeight="false" outlineLevel="0" collapsed="false">
      <c r="B162" s="9" t="s">
        <v>49</v>
      </c>
      <c r="C162" s="28" t="n">
        <f aca="false">IF($C$11&lt;=$C$158,1,0)</f>
        <v>0</v>
      </c>
      <c r="D162" s="19" t="n">
        <f aca="false">Assumptions!$F$34</f>
        <v>12250</v>
      </c>
      <c r="E162" s="39" t="n">
        <f aca="false">PV($F162/2,(Assumptions!$C$30*4-12)/2,-Assumptions!$D$34*100/2,-100)</f>
        <v>99.1079856396595</v>
      </c>
      <c r="F162" s="17" t="n">
        <f aca="false">RATE(Assumptions!$C$30*2,Assumptions!$D$34*100/2,-Assumptions!$E$34,100)*2</f>
        <v>0.0773997713205988</v>
      </c>
      <c r="G162" s="26" t="n">
        <f aca="false">SUM(I162:Y162)</f>
        <v>2857.24820495744</v>
      </c>
      <c r="H162" s="17" t="n">
        <f aca="false">(1+IRR(I162:Y162,IF(SUM(I162:Y162)&lt;0,-0.05,0.01)))^4-1</f>
        <v>0.0788974524707193</v>
      </c>
      <c r="I162" s="40" t="n">
        <f aca="false">IF(I$159=0,-Assumptions!$C$29*Assumptions!$E$34/100,0)+IF(AND(I$159&gt;=2,MOD(I$159,2)=0,I$159&lt;=IF($C162=1,$C$5-2,12)),Assumptions!$C$29*Assumptions!$D$34/2,0)+IF($C162=1,IF(I$159=$C$6,Assumptions!$C$29*$C$157,0),IF(I$159=12,Assumptions!$C$29*$E162/100,0))</f>
        <v>-12250</v>
      </c>
      <c r="J162" s="40" t="n">
        <f aca="false">IF(J$159=0,-Assumptions!$C$29*Assumptions!$E$34/100,0)+IF(AND(J$159&gt;=2,MOD(J$159,2)=0,J$159&lt;=IF($C162=1,$C$5-2,12)),Assumptions!$C$29*Assumptions!$D$34/2,0)+IF($C162=1,IF(J$159=$C$6,Assumptions!$C$29*$C$157,0),IF(J$159=12,Assumptions!$C$29*$E162/100,0))</f>
        <v>0</v>
      </c>
      <c r="K162" s="40" t="n">
        <f aca="false">IF(K$159=0,-Assumptions!$C$29*Assumptions!$E$34/100,0)+IF(AND(K$159&gt;=2,MOD(K$159,2)=0,K$159&lt;=IF($C162=1,$C$5-2,12)),Assumptions!$C$29*Assumptions!$D$34/2,0)+IF($C162=1,IF(K$159=$C$6,Assumptions!$C$29*$C$157,0),IF(K$159=12,Assumptions!$C$29*$E162/100,0))</f>
        <v>453.125</v>
      </c>
      <c r="L162" s="40" t="n">
        <f aca="false">IF(L$159=0,-Assumptions!$C$29*Assumptions!$E$34/100,0)+IF(AND(L$159&gt;=2,MOD(L$159,2)=0,L$159&lt;=IF($C162=1,$C$5-2,12)),Assumptions!$C$29*Assumptions!$D$34/2,0)+IF($C162=1,IF(L$159=$C$6,Assumptions!$C$29*$C$157,0),IF(L$159=12,Assumptions!$C$29*$E162/100,0))</f>
        <v>0</v>
      </c>
      <c r="M162" s="40" t="n">
        <f aca="false">IF(M$159=0,-Assumptions!$C$29*Assumptions!$E$34/100,0)+IF(AND(M$159&gt;=2,MOD(M$159,2)=0,M$159&lt;=IF($C162=1,$C$5-2,12)),Assumptions!$C$29*Assumptions!$D$34/2,0)+IF($C162=1,IF(M$159=$C$6,Assumptions!$C$29*$C$157,0),IF(M$159=12,Assumptions!$C$29*$E162/100,0))</f>
        <v>453.125</v>
      </c>
      <c r="N162" s="40" t="n">
        <f aca="false">IF(N$159=0,-Assumptions!$C$29*Assumptions!$E$34/100,0)+IF(AND(N$159&gt;=2,MOD(N$159,2)=0,N$159&lt;=IF($C162=1,$C$5-2,12)),Assumptions!$C$29*Assumptions!$D$34/2,0)+IF($C162=1,IF(N$159=$C$6,Assumptions!$C$29*$C$157,0),IF(N$159=12,Assumptions!$C$29*$E162/100,0))</f>
        <v>0</v>
      </c>
      <c r="O162" s="40" t="n">
        <f aca="false">IF(O$159=0,-Assumptions!$C$29*Assumptions!$E$34/100,0)+IF(AND(O$159&gt;=2,MOD(O$159,2)=0,O$159&lt;=IF($C162=1,$C$5-2,12)),Assumptions!$C$29*Assumptions!$D$34/2,0)+IF($C162=1,IF(O$159=$C$6,Assumptions!$C$29*$C$157,0),IF(O$159=12,Assumptions!$C$29*$E162/100,0))</f>
        <v>453.125</v>
      </c>
      <c r="P162" s="40" t="n">
        <f aca="false">IF(P$159=0,-Assumptions!$C$29*Assumptions!$E$34/100,0)+IF(AND(P$159&gt;=2,MOD(P$159,2)=0,P$159&lt;=IF($C162=1,$C$5-2,12)),Assumptions!$C$29*Assumptions!$D$34/2,0)+IF($C162=1,IF(P$159=$C$6,Assumptions!$C$29*$C$157,0),IF(P$159=12,Assumptions!$C$29*$E162/100,0))</f>
        <v>0</v>
      </c>
      <c r="Q162" s="40" t="n">
        <f aca="false">IF(Q$159=0,-Assumptions!$C$29*Assumptions!$E$34/100,0)+IF(AND(Q$159&gt;=2,MOD(Q$159,2)=0,Q$159&lt;=IF($C162=1,$C$5-2,12)),Assumptions!$C$29*Assumptions!$D$34/2,0)+IF($C162=1,IF(Q$159=$C$6,Assumptions!$C$29*$C$157,0),IF(Q$159=12,Assumptions!$C$29*$E162/100,0))</f>
        <v>453.125</v>
      </c>
      <c r="R162" s="40" t="n">
        <f aca="false">IF(R$159=0,-Assumptions!$C$29*Assumptions!$E$34/100,0)+IF(AND(R$159&gt;=2,MOD(R$159,2)=0,R$159&lt;=IF($C162=1,$C$5-2,12)),Assumptions!$C$29*Assumptions!$D$34/2,0)+IF($C162=1,IF(R$159=$C$6,Assumptions!$C$29*$C$157,0),IF(R$159=12,Assumptions!$C$29*$E162/100,0))</f>
        <v>0</v>
      </c>
      <c r="S162" s="40" t="n">
        <f aca="false">IF(S$159=0,-Assumptions!$C$29*Assumptions!$E$34/100,0)+IF(AND(S$159&gt;=2,MOD(S$159,2)=0,S$159&lt;=IF($C162=1,$C$5-2,12)),Assumptions!$C$29*Assumptions!$D$34/2,0)+IF($C162=1,IF(S$159=$C$6,Assumptions!$C$29*$C$157,0),IF(S$159=12,Assumptions!$C$29*$E162/100,0))</f>
        <v>453.125</v>
      </c>
      <c r="T162" s="40" t="n">
        <f aca="false">IF(T$159=0,-Assumptions!$C$29*Assumptions!$E$34/100,0)+IF(AND(T$159&gt;=2,MOD(T$159,2)=0,T$159&lt;=IF($C162=1,$C$5-2,12)),Assumptions!$C$29*Assumptions!$D$34/2,0)+IF($C162=1,IF(T$159=$C$6,Assumptions!$C$29*$C$157,0),IF(T$159=12,Assumptions!$C$29*$E162/100,0))</f>
        <v>0</v>
      </c>
      <c r="U162" s="40" t="n">
        <f aca="false">IF(U$159=0,-Assumptions!$C$29*Assumptions!$E$34/100,0)+IF(AND(U$159&gt;=2,MOD(U$159,2)=0,U$159&lt;=IF($C162=1,$C$5-2,12)),Assumptions!$C$29*Assumptions!$D$34/2,0)+IF($C162=1,IF(U$159=$C$6,Assumptions!$C$29*$C$157,0),IF(U$159=12,Assumptions!$C$29*$E162/100,0))</f>
        <v>12841.6232049574</v>
      </c>
      <c r="V162" s="40" t="n">
        <f aca="false">IF(V$159=0,-Assumptions!$C$29*Assumptions!$E$34/100,0)+IF(AND(V$159&gt;=2,MOD(V$159,2)=0,V$159&lt;=IF($C162=1,$C$5-2,12)),Assumptions!$C$29*Assumptions!$D$34/2,0)+IF($C162=1,IF(V$159=$C$6,Assumptions!$C$29*$C$157,0),IF(V$159=12,Assumptions!$C$29*$E162/100,0))</f>
        <v>0</v>
      </c>
      <c r="W162" s="40" t="n">
        <f aca="false">IF(W$159=0,-Assumptions!$C$29*Assumptions!$E$34/100,0)+IF(AND(W$159&gt;=2,MOD(W$159,2)=0,W$159&lt;=IF($C162=1,$C$5-2,12)),Assumptions!$C$29*Assumptions!$D$34/2,0)+IF($C162=1,IF(W$159=$C$6,Assumptions!$C$29*$C$157,0),IF(W$159=12,Assumptions!$C$29*$E162/100,0))</f>
        <v>0</v>
      </c>
      <c r="X162" s="40" t="n">
        <f aca="false">IF(X$159=0,-Assumptions!$C$29*Assumptions!$E$34/100,0)+IF(AND(X$159&gt;=2,MOD(X$159,2)=0,X$159&lt;=IF($C162=1,$C$5-2,12)),Assumptions!$C$29*Assumptions!$D$34/2,0)+IF($C162=1,IF(X$159=$C$6,Assumptions!$C$29*$C$157,0),IF(X$159=12,Assumptions!$C$29*$E162/100,0))</f>
        <v>0</v>
      </c>
      <c r="Y162" s="40" t="n">
        <f aca="false">IF(Y$159=0,-Assumptions!$C$29*Assumptions!$E$34/100,0)+IF(AND(Y$159&gt;=2,MOD(Y$159,2)=0,Y$159&lt;=IF($C162=1,$C$5-2,12)),Assumptions!$C$29*Assumptions!$D$34/2,0)+IF($C162=1,IF(Y$159=$C$6,Assumptions!$C$29*$C$157,0),IF(Y$159=12,Assumptions!$C$29*$E162/100,0))</f>
        <v>0</v>
      </c>
    </row>
    <row r="163" customFormat="false" ht="15" hidden="false" customHeight="false" outlineLevel="0" collapsed="false">
      <c r="B163" s="9" t="s">
        <v>50</v>
      </c>
      <c r="C163" s="28" t="n">
        <f aca="false">IF($C$12&lt;=$C$158,1,0)</f>
        <v>0</v>
      </c>
      <c r="D163" s="19" t="n">
        <f aca="false">Assumptions!$F$35</f>
        <v>12187.5</v>
      </c>
      <c r="E163" s="39" t="n">
        <f aca="false">PV($F163/2,(Assumptions!$C$30*4-12)/2,-Assumptions!$D$35*100/2,-100)</f>
        <v>98.8794329841845</v>
      </c>
      <c r="F163" s="17" t="n">
        <f aca="false">RATE(Assumptions!$C$30*2,Assumptions!$D$35*100/2,-Assumptions!$E$35,100)*2</f>
        <v>0.0811827080590467</v>
      </c>
      <c r="G163" s="26" t="n">
        <f aca="false">SUM(I163:Y163)</f>
        <v>2984.92912302306</v>
      </c>
      <c r="H163" s="17" t="n">
        <f aca="false">(1+IRR(I163:Y163,IF(SUM(I163:Y163)&lt;0,-0.05,0.01)))^4-1</f>
        <v>0.0828303660809961</v>
      </c>
      <c r="I163" s="40" t="n">
        <f aca="false">IF(I$159=0,-Assumptions!$C$29*Assumptions!$E$35/100,0)+IF(AND(I$159&gt;=2,MOD(I$159,2)=0,I$159&lt;=IF($C163=1,$C$5-2,12)),Assumptions!$C$29*Assumptions!$D$35/2,0)+IF($C163=1,IF(I$159=$C$6,Assumptions!$C$29*$C$157,0),IF(I$159=12,Assumptions!$C$29*$E163/100,0))</f>
        <v>-12187.5</v>
      </c>
      <c r="J163" s="40" t="n">
        <f aca="false">IF(J$159=0,-Assumptions!$C$29*Assumptions!$E$35/100,0)+IF(AND(J$159&gt;=2,MOD(J$159,2)=0,J$159&lt;=IF($C163=1,$C$5-2,12)),Assumptions!$C$29*Assumptions!$D$35/2,0)+IF($C163=1,IF(J$159=$C$6,Assumptions!$C$29*$C$157,0),IF(J$159=12,Assumptions!$C$29*$E163/100,0))</f>
        <v>0</v>
      </c>
      <c r="K163" s="40" t="n">
        <f aca="false">IF(K$159=0,-Assumptions!$C$29*Assumptions!$E$35/100,0)+IF(AND(K$159&gt;=2,MOD(K$159,2)=0,K$159&lt;=IF($C163=1,$C$5-2,12)),Assumptions!$C$29*Assumptions!$D$35/2,0)+IF($C163=1,IF(K$159=$C$6,Assumptions!$C$29*$C$157,0),IF(K$159=12,Assumptions!$C$29*$E163/100,0))</f>
        <v>468.75</v>
      </c>
      <c r="L163" s="40" t="n">
        <f aca="false">IF(L$159=0,-Assumptions!$C$29*Assumptions!$E$35/100,0)+IF(AND(L$159&gt;=2,MOD(L$159,2)=0,L$159&lt;=IF($C163=1,$C$5-2,12)),Assumptions!$C$29*Assumptions!$D$35/2,0)+IF($C163=1,IF(L$159=$C$6,Assumptions!$C$29*$C$157,0),IF(L$159=12,Assumptions!$C$29*$E163/100,0))</f>
        <v>0</v>
      </c>
      <c r="M163" s="40" t="n">
        <f aca="false">IF(M$159=0,-Assumptions!$C$29*Assumptions!$E$35/100,0)+IF(AND(M$159&gt;=2,MOD(M$159,2)=0,M$159&lt;=IF($C163=1,$C$5-2,12)),Assumptions!$C$29*Assumptions!$D$35/2,0)+IF($C163=1,IF(M$159=$C$6,Assumptions!$C$29*$C$157,0),IF(M$159=12,Assumptions!$C$29*$E163/100,0))</f>
        <v>468.75</v>
      </c>
      <c r="N163" s="40" t="n">
        <f aca="false">IF(N$159=0,-Assumptions!$C$29*Assumptions!$E$35/100,0)+IF(AND(N$159&gt;=2,MOD(N$159,2)=0,N$159&lt;=IF($C163=1,$C$5-2,12)),Assumptions!$C$29*Assumptions!$D$35/2,0)+IF($C163=1,IF(N$159=$C$6,Assumptions!$C$29*$C$157,0),IF(N$159=12,Assumptions!$C$29*$E163/100,0))</f>
        <v>0</v>
      </c>
      <c r="O163" s="40" t="n">
        <f aca="false">IF(O$159=0,-Assumptions!$C$29*Assumptions!$E$35/100,0)+IF(AND(O$159&gt;=2,MOD(O$159,2)=0,O$159&lt;=IF($C163=1,$C$5-2,12)),Assumptions!$C$29*Assumptions!$D$35/2,0)+IF($C163=1,IF(O$159=$C$6,Assumptions!$C$29*$C$157,0),IF(O$159=12,Assumptions!$C$29*$E163/100,0))</f>
        <v>468.75</v>
      </c>
      <c r="P163" s="40" t="n">
        <f aca="false">IF(P$159=0,-Assumptions!$C$29*Assumptions!$E$35/100,0)+IF(AND(P$159&gt;=2,MOD(P$159,2)=0,P$159&lt;=IF($C163=1,$C$5-2,12)),Assumptions!$C$29*Assumptions!$D$35/2,0)+IF($C163=1,IF(P$159=$C$6,Assumptions!$C$29*$C$157,0),IF(P$159=12,Assumptions!$C$29*$E163/100,0))</f>
        <v>0</v>
      </c>
      <c r="Q163" s="40" t="n">
        <f aca="false">IF(Q$159=0,-Assumptions!$C$29*Assumptions!$E$35/100,0)+IF(AND(Q$159&gt;=2,MOD(Q$159,2)=0,Q$159&lt;=IF($C163=1,$C$5-2,12)),Assumptions!$C$29*Assumptions!$D$35/2,0)+IF($C163=1,IF(Q$159=$C$6,Assumptions!$C$29*$C$157,0),IF(Q$159=12,Assumptions!$C$29*$E163/100,0))</f>
        <v>468.75</v>
      </c>
      <c r="R163" s="40" t="n">
        <f aca="false">IF(R$159=0,-Assumptions!$C$29*Assumptions!$E$35/100,0)+IF(AND(R$159&gt;=2,MOD(R$159,2)=0,R$159&lt;=IF($C163=1,$C$5-2,12)),Assumptions!$C$29*Assumptions!$D$35/2,0)+IF($C163=1,IF(R$159=$C$6,Assumptions!$C$29*$C$157,0),IF(R$159=12,Assumptions!$C$29*$E163/100,0))</f>
        <v>0</v>
      </c>
      <c r="S163" s="40" t="n">
        <f aca="false">IF(S$159=0,-Assumptions!$C$29*Assumptions!$E$35/100,0)+IF(AND(S$159&gt;=2,MOD(S$159,2)=0,S$159&lt;=IF($C163=1,$C$5-2,12)),Assumptions!$C$29*Assumptions!$D$35/2,0)+IF($C163=1,IF(S$159=$C$6,Assumptions!$C$29*$C$157,0),IF(S$159=12,Assumptions!$C$29*$E163/100,0))</f>
        <v>468.75</v>
      </c>
      <c r="T163" s="40" t="n">
        <f aca="false">IF(T$159=0,-Assumptions!$C$29*Assumptions!$E$35/100,0)+IF(AND(T$159&gt;=2,MOD(T$159,2)=0,T$159&lt;=IF($C163=1,$C$5-2,12)),Assumptions!$C$29*Assumptions!$D$35/2,0)+IF($C163=1,IF(T$159=$C$6,Assumptions!$C$29*$C$157,0),IF(T$159=12,Assumptions!$C$29*$E163/100,0))</f>
        <v>0</v>
      </c>
      <c r="U163" s="40" t="n">
        <f aca="false">IF(U$159=0,-Assumptions!$C$29*Assumptions!$E$35/100,0)+IF(AND(U$159&gt;=2,MOD(U$159,2)=0,U$159&lt;=IF($C163=1,$C$5-2,12)),Assumptions!$C$29*Assumptions!$D$35/2,0)+IF($C163=1,IF(U$159=$C$6,Assumptions!$C$29*$C$157,0),IF(U$159=12,Assumptions!$C$29*$E163/100,0))</f>
        <v>12828.6791230231</v>
      </c>
      <c r="V163" s="40" t="n">
        <f aca="false">IF(V$159=0,-Assumptions!$C$29*Assumptions!$E$35/100,0)+IF(AND(V$159&gt;=2,MOD(V$159,2)=0,V$159&lt;=IF($C163=1,$C$5-2,12)),Assumptions!$C$29*Assumptions!$D$35/2,0)+IF($C163=1,IF(V$159=$C$6,Assumptions!$C$29*$C$157,0),IF(V$159=12,Assumptions!$C$29*$E163/100,0))</f>
        <v>0</v>
      </c>
      <c r="W163" s="40" t="n">
        <f aca="false">IF(W$159=0,-Assumptions!$C$29*Assumptions!$E$35/100,0)+IF(AND(W$159&gt;=2,MOD(W$159,2)=0,W$159&lt;=IF($C163=1,$C$5-2,12)),Assumptions!$C$29*Assumptions!$D$35/2,0)+IF($C163=1,IF(W$159=$C$6,Assumptions!$C$29*$C$157,0),IF(W$159=12,Assumptions!$C$29*$E163/100,0))</f>
        <v>0</v>
      </c>
      <c r="X163" s="40" t="n">
        <f aca="false">IF(X$159=0,-Assumptions!$C$29*Assumptions!$E$35/100,0)+IF(AND(X$159&gt;=2,MOD(X$159,2)=0,X$159&lt;=IF($C163=1,$C$5-2,12)),Assumptions!$C$29*Assumptions!$D$35/2,0)+IF($C163=1,IF(X$159=$C$6,Assumptions!$C$29*$C$157,0),IF(X$159=12,Assumptions!$C$29*$E163/100,0))</f>
        <v>0</v>
      </c>
      <c r="Y163" s="40" t="n">
        <f aca="false">IF(Y$159=0,-Assumptions!$C$29*Assumptions!$E$35/100,0)+IF(AND(Y$159&gt;=2,MOD(Y$159,2)=0,Y$159&lt;=IF($C163=1,$C$5-2,12)),Assumptions!$C$29*Assumptions!$D$35/2,0)+IF($C163=1,IF(Y$159=$C$6,Assumptions!$C$29*$C$157,0),IF(Y$159=12,Assumptions!$C$29*$E163/100,0))</f>
        <v>0</v>
      </c>
    </row>
    <row r="164" customFormat="false" ht="15" hidden="false" customHeight="false" outlineLevel="0" collapsed="false">
      <c r="B164" s="9" t="s">
        <v>51</v>
      </c>
      <c r="C164" s="28" t="n">
        <f aca="false">IF($C$13&lt;=$C$158,1,0)</f>
        <v>0</v>
      </c>
      <c r="D164" s="19" t="n">
        <f aca="false">Assumptions!$F$36</f>
        <v>12125</v>
      </c>
      <c r="E164" s="39" t="n">
        <f aca="false">PV($F164/2,(Assumptions!$C$30*4-12)/2,-Assumptions!$D$36*100/2,-100)</f>
        <v>98.6441572961372</v>
      </c>
      <c r="F164" s="17" t="n">
        <f aca="false">RATE(Assumptions!$C$30*2,Assumptions!$D$36*100/2,-Assumptions!$E$36,100)*2</f>
        <v>0.0875368825411204</v>
      </c>
      <c r="G164" s="26" t="n">
        <f aca="false">SUM(I164:Y164)</f>
        <v>3205.51966201715</v>
      </c>
      <c r="H164" s="17" t="n">
        <f aca="false">(1+IRR(I164:Y164,IF(SUM(I164:Y164)&lt;0,-0.05,0.01)))^4-1</f>
        <v>0.0894525589923749</v>
      </c>
      <c r="I164" s="40" t="n">
        <f aca="false">IF(I$159=0,-Assumptions!$C$29*Assumptions!$E$36/100,0)+IF(AND(I$159&gt;=2,MOD(I$159,2)=0,I$159&lt;=IF($C164=1,$C$5-2,12)),Assumptions!$C$29*Assumptions!$D$36/2,0)+IF($C164=1,IF(I$159=$C$6,Assumptions!$C$29*$C$157,0),IF(I$159=12,Assumptions!$C$29*$E164/100,0))</f>
        <v>-12125</v>
      </c>
      <c r="J164" s="40" t="n">
        <f aca="false">IF(J$159=0,-Assumptions!$C$29*Assumptions!$E$36/100,0)+IF(AND(J$159&gt;=2,MOD(J$159,2)=0,J$159&lt;=IF($C164=1,$C$5-2,12)),Assumptions!$C$29*Assumptions!$D$36/2,0)+IF($C164=1,IF(J$159=$C$6,Assumptions!$C$29*$C$157,0),IF(J$159=12,Assumptions!$C$29*$E164/100,0))</f>
        <v>0</v>
      </c>
      <c r="K164" s="40" t="n">
        <f aca="false">IF(K$159=0,-Assumptions!$C$29*Assumptions!$E$36/100,0)+IF(AND(K$159&gt;=2,MOD(K$159,2)=0,K$159&lt;=IF($C164=1,$C$5-2,12)),Assumptions!$C$29*Assumptions!$D$36/2,0)+IF($C164=1,IF(K$159=$C$6,Assumptions!$C$29*$C$157,0),IF(K$159=12,Assumptions!$C$29*$E164/100,0))</f>
        <v>500</v>
      </c>
      <c r="L164" s="40" t="n">
        <f aca="false">IF(L$159=0,-Assumptions!$C$29*Assumptions!$E$36/100,0)+IF(AND(L$159&gt;=2,MOD(L$159,2)=0,L$159&lt;=IF($C164=1,$C$5-2,12)),Assumptions!$C$29*Assumptions!$D$36/2,0)+IF($C164=1,IF(L$159=$C$6,Assumptions!$C$29*$C$157,0),IF(L$159=12,Assumptions!$C$29*$E164/100,0))</f>
        <v>0</v>
      </c>
      <c r="M164" s="40" t="n">
        <f aca="false">IF(M$159=0,-Assumptions!$C$29*Assumptions!$E$36/100,0)+IF(AND(M$159&gt;=2,MOD(M$159,2)=0,M$159&lt;=IF($C164=1,$C$5-2,12)),Assumptions!$C$29*Assumptions!$D$36/2,0)+IF($C164=1,IF(M$159=$C$6,Assumptions!$C$29*$C$157,0),IF(M$159=12,Assumptions!$C$29*$E164/100,0))</f>
        <v>500</v>
      </c>
      <c r="N164" s="40" t="n">
        <f aca="false">IF(N$159=0,-Assumptions!$C$29*Assumptions!$E$36/100,0)+IF(AND(N$159&gt;=2,MOD(N$159,2)=0,N$159&lt;=IF($C164=1,$C$5-2,12)),Assumptions!$C$29*Assumptions!$D$36/2,0)+IF($C164=1,IF(N$159=$C$6,Assumptions!$C$29*$C$157,0),IF(N$159=12,Assumptions!$C$29*$E164/100,0))</f>
        <v>0</v>
      </c>
      <c r="O164" s="40" t="n">
        <f aca="false">IF(O$159=0,-Assumptions!$C$29*Assumptions!$E$36/100,0)+IF(AND(O$159&gt;=2,MOD(O$159,2)=0,O$159&lt;=IF($C164=1,$C$5-2,12)),Assumptions!$C$29*Assumptions!$D$36/2,0)+IF($C164=1,IF(O$159=$C$6,Assumptions!$C$29*$C$157,0),IF(O$159=12,Assumptions!$C$29*$E164/100,0))</f>
        <v>500</v>
      </c>
      <c r="P164" s="40" t="n">
        <f aca="false">IF(P$159=0,-Assumptions!$C$29*Assumptions!$E$36/100,0)+IF(AND(P$159&gt;=2,MOD(P$159,2)=0,P$159&lt;=IF($C164=1,$C$5-2,12)),Assumptions!$C$29*Assumptions!$D$36/2,0)+IF($C164=1,IF(P$159=$C$6,Assumptions!$C$29*$C$157,0),IF(P$159=12,Assumptions!$C$29*$E164/100,0))</f>
        <v>0</v>
      </c>
      <c r="Q164" s="40" t="n">
        <f aca="false">IF(Q$159=0,-Assumptions!$C$29*Assumptions!$E$36/100,0)+IF(AND(Q$159&gt;=2,MOD(Q$159,2)=0,Q$159&lt;=IF($C164=1,$C$5-2,12)),Assumptions!$C$29*Assumptions!$D$36/2,0)+IF($C164=1,IF(Q$159=$C$6,Assumptions!$C$29*$C$157,0),IF(Q$159=12,Assumptions!$C$29*$E164/100,0))</f>
        <v>500</v>
      </c>
      <c r="R164" s="40" t="n">
        <f aca="false">IF(R$159=0,-Assumptions!$C$29*Assumptions!$E$36/100,0)+IF(AND(R$159&gt;=2,MOD(R$159,2)=0,R$159&lt;=IF($C164=1,$C$5-2,12)),Assumptions!$C$29*Assumptions!$D$36/2,0)+IF($C164=1,IF(R$159=$C$6,Assumptions!$C$29*$C$157,0),IF(R$159=12,Assumptions!$C$29*$E164/100,0))</f>
        <v>0</v>
      </c>
      <c r="S164" s="40" t="n">
        <f aca="false">IF(S$159=0,-Assumptions!$C$29*Assumptions!$E$36/100,0)+IF(AND(S$159&gt;=2,MOD(S$159,2)=0,S$159&lt;=IF($C164=1,$C$5-2,12)),Assumptions!$C$29*Assumptions!$D$36/2,0)+IF($C164=1,IF(S$159=$C$6,Assumptions!$C$29*$C$157,0),IF(S$159=12,Assumptions!$C$29*$E164/100,0))</f>
        <v>500</v>
      </c>
      <c r="T164" s="40" t="n">
        <f aca="false">IF(T$159=0,-Assumptions!$C$29*Assumptions!$E$36/100,0)+IF(AND(T$159&gt;=2,MOD(T$159,2)=0,T$159&lt;=IF($C164=1,$C$5-2,12)),Assumptions!$C$29*Assumptions!$D$36/2,0)+IF($C164=1,IF(T$159=$C$6,Assumptions!$C$29*$C$157,0),IF(T$159=12,Assumptions!$C$29*$E164/100,0))</f>
        <v>0</v>
      </c>
      <c r="U164" s="40" t="n">
        <f aca="false">IF(U$159=0,-Assumptions!$C$29*Assumptions!$E$36/100,0)+IF(AND(U$159&gt;=2,MOD(U$159,2)=0,U$159&lt;=IF($C164=1,$C$5-2,12)),Assumptions!$C$29*Assumptions!$D$36/2,0)+IF($C164=1,IF(U$159=$C$6,Assumptions!$C$29*$C$157,0),IF(U$159=12,Assumptions!$C$29*$E164/100,0))</f>
        <v>12830.5196620172</v>
      </c>
      <c r="V164" s="40" t="n">
        <f aca="false">IF(V$159=0,-Assumptions!$C$29*Assumptions!$E$36/100,0)+IF(AND(V$159&gt;=2,MOD(V$159,2)=0,V$159&lt;=IF($C164=1,$C$5-2,12)),Assumptions!$C$29*Assumptions!$D$36/2,0)+IF($C164=1,IF(V$159=$C$6,Assumptions!$C$29*$C$157,0),IF(V$159=12,Assumptions!$C$29*$E164/100,0))</f>
        <v>0</v>
      </c>
      <c r="W164" s="40" t="n">
        <f aca="false">IF(W$159=0,-Assumptions!$C$29*Assumptions!$E$36/100,0)+IF(AND(W$159&gt;=2,MOD(W$159,2)=0,W$159&lt;=IF($C164=1,$C$5-2,12)),Assumptions!$C$29*Assumptions!$D$36/2,0)+IF($C164=1,IF(W$159=$C$6,Assumptions!$C$29*$C$157,0),IF(W$159=12,Assumptions!$C$29*$E164/100,0))</f>
        <v>0</v>
      </c>
      <c r="X164" s="40" t="n">
        <f aca="false">IF(X$159=0,-Assumptions!$C$29*Assumptions!$E$36/100,0)+IF(AND(X$159&gt;=2,MOD(X$159,2)=0,X$159&lt;=IF($C164=1,$C$5-2,12)),Assumptions!$C$29*Assumptions!$D$36/2,0)+IF($C164=1,IF(X$159=$C$6,Assumptions!$C$29*$C$157,0),IF(X$159=12,Assumptions!$C$29*$E164/100,0))</f>
        <v>0</v>
      </c>
      <c r="Y164" s="40" t="n">
        <f aca="false">IF(Y$159=0,-Assumptions!$C$29*Assumptions!$E$36/100,0)+IF(AND(Y$159&gt;=2,MOD(Y$159,2)=0,Y$159&lt;=IF($C164=1,$C$5-2,12)),Assumptions!$C$29*Assumptions!$D$36/2,0)+IF($C164=1,IF(Y$159=$C$6,Assumptions!$C$29*$C$157,0),IF(Y$159=12,Assumptions!$C$29*$E164/100,0))</f>
        <v>0</v>
      </c>
    </row>
    <row r="165" customFormat="false" ht="15" hidden="false" customHeight="false" outlineLevel="0" collapsed="false">
      <c r="B165" s="9" t="s">
        <v>52</v>
      </c>
      <c r="C165" s="28" t="n">
        <f aca="false">IF($C$14&lt;=$C$158,1,0)</f>
        <v>1</v>
      </c>
      <c r="D165" s="19" t="n">
        <f aca="false">Assumptions!$F$37</f>
        <v>11750</v>
      </c>
      <c r="E165" s="39" t="n">
        <f aca="false">PV($F165/2,(Assumptions!$C$30*4-12)/2,-Assumptions!$D$37*100/2,-100)</f>
        <v>97.2427387979842</v>
      </c>
      <c r="F165" s="17" t="n">
        <f aca="false">RATE(Assumptions!$C$30*2,Assumptions!$D$37*100/2,-Assumptions!$E$37,100)*2</f>
        <v>0.100561753609911</v>
      </c>
      <c r="G165" s="26" t="n">
        <f aca="false">SUM(I165:Y165)</f>
        <v>-3812.5</v>
      </c>
      <c r="H165" s="17" t="n">
        <f aca="false">(1+IRR(I165:Y165,IF(SUM(I165:Y165)&lt;0,-0.05,0.01)))^4-1</f>
        <v>-0.15713978929984</v>
      </c>
      <c r="I165" s="40" t="n">
        <f aca="false">IF(I$159=0,-Assumptions!$C$29*Assumptions!$E$37/100,0)+IF(AND(I$159&gt;=2,MOD(I$159,2)=0,I$159&lt;=IF($C165=1,$C$5-2,12)),Assumptions!$C$29*Assumptions!$D$37/2,0)+IF($C165=1,IF(I$159=$C$6,Assumptions!$C$29*$C$157,0),IF(I$159=12,Assumptions!$C$29*$E165/100,0))</f>
        <v>-11750</v>
      </c>
      <c r="J165" s="40" t="n">
        <f aca="false">IF(J$159=0,-Assumptions!$C$29*Assumptions!$E$37/100,0)+IF(AND(J$159&gt;=2,MOD(J$159,2)=0,J$159&lt;=IF($C165=1,$C$5-2,12)),Assumptions!$C$29*Assumptions!$D$37/2,0)+IF($C165=1,IF(J$159=$C$6,Assumptions!$C$29*$C$157,0),IF(J$159=12,Assumptions!$C$29*$E165/100,0))</f>
        <v>0</v>
      </c>
      <c r="K165" s="40" t="n">
        <f aca="false">IF(K$159=0,-Assumptions!$C$29*Assumptions!$E$37/100,0)+IF(AND(K$159&gt;=2,MOD(K$159,2)=0,K$159&lt;=IF($C165=1,$C$5-2,12)),Assumptions!$C$29*Assumptions!$D$37/2,0)+IF($C165=1,IF(K$159=$C$6,Assumptions!$C$29*$C$157,0),IF(K$159=12,Assumptions!$C$29*$E165/100,0))</f>
        <v>531.25</v>
      </c>
      <c r="L165" s="40" t="n">
        <f aca="false">IF(L$159=0,-Assumptions!$C$29*Assumptions!$E$37/100,0)+IF(AND(L$159&gt;=2,MOD(L$159,2)=0,L$159&lt;=IF($C165=1,$C$5-2,12)),Assumptions!$C$29*Assumptions!$D$37/2,0)+IF($C165=1,IF(L$159=$C$6,Assumptions!$C$29*$C$157,0),IF(L$159=12,Assumptions!$C$29*$E165/100,0))</f>
        <v>0</v>
      </c>
      <c r="M165" s="40" t="n">
        <f aca="false">IF(M$159=0,-Assumptions!$C$29*Assumptions!$E$37/100,0)+IF(AND(M$159&gt;=2,MOD(M$159,2)=0,M$159&lt;=IF($C165=1,$C$5-2,12)),Assumptions!$C$29*Assumptions!$D$37/2,0)+IF($C165=1,IF(M$159=$C$6,Assumptions!$C$29*$C$157,0),IF(M$159=12,Assumptions!$C$29*$E165/100,0))</f>
        <v>531.25</v>
      </c>
      <c r="N165" s="40" t="n">
        <f aca="false">IF(N$159=0,-Assumptions!$C$29*Assumptions!$E$37/100,0)+IF(AND(N$159&gt;=2,MOD(N$159,2)=0,N$159&lt;=IF($C165=1,$C$5-2,12)),Assumptions!$C$29*Assumptions!$D$37/2,0)+IF($C165=1,IF(N$159=$C$6,Assumptions!$C$29*$C$157,0),IF(N$159=12,Assumptions!$C$29*$E165/100,0))</f>
        <v>0</v>
      </c>
      <c r="O165" s="40" t="n">
        <f aca="false">IF(O$159=0,-Assumptions!$C$29*Assumptions!$E$37/100,0)+IF(AND(O$159&gt;=2,MOD(O$159,2)=0,O$159&lt;=IF($C165=1,$C$5-2,12)),Assumptions!$C$29*Assumptions!$D$37/2,0)+IF($C165=1,IF(O$159=$C$6,Assumptions!$C$29*$C$157,0),IF(O$159=12,Assumptions!$C$29*$E165/100,0))</f>
        <v>0</v>
      </c>
      <c r="P165" s="40" t="n">
        <f aca="false">IF(P$159=0,-Assumptions!$C$29*Assumptions!$E$37/100,0)+IF(AND(P$159&gt;=2,MOD(P$159,2)=0,P$159&lt;=IF($C165=1,$C$5-2,12)),Assumptions!$C$29*Assumptions!$D$37/2,0)+IF($C165=1,IF(P$159=$C$6,Assumptions!$C$29*$C$157,0),IF(P$159=12,Assumptions!$C$29*$E165/100,0))</f>
        <v>0</v>
      </c>
      <c r="Q165" s="40" t="n">
        <f aca="false">IF(Q$159=0,-Assumptions!$C$29*Assumptions!$E$37/100,0)+IF(AND(Q$159&gt;=2,MOD(Q$159,2)=0,Q$159&lt;=IF($C165=1,$C$5-2,12)),Assumptions!$C$29*Assumptions!$D$37/2,0)+IF($C165=1,IF(Q$159=$C$6,Assumptions!$C$29*$C$157,0),IF(Q$159=12,Assumptions!$C$29*$E165/100,0))</f>
        <v>0</v>
      </c>
      <c r="R165" s="40" t="n">
        <f aca="false">IF(R$159=0,-Assumptions!$C$29*Assumptions!$E$37/100,0)+IF(AND(R$159&gt;=2,MOD(R$159,2)=0,R$159&lt;=IF($C165=1,$C$5-2,12)),Assumptions!$C$29*Assumptions!$D$37/2,0)+IF($C165=1,IF(R$159=$C$6,Assumptions!$C$29*$C$157,0),IF(R$159=12,Assumptions!$C$29*$E165/100,0))</f>
        <v>0</v>
      </c>
      <c r="S165" s="40" t="n">
        <f aca="false">IF(S$159=0,-Assumptions!$C$29*Assumptions!$E$37/100,0)+IF(AND(S$159&gt;=2,MOD(S$159,2)=0,S$159&lt;=IF($C165=1,$C$5-2,12)),Assumptions!$C$29*Assumptions!$D$37/2,0)+IF($C165=1,IF(S$159=$C$6,Assumptions!$C$29*$C$157,0),IF(S$159=12,Assumptions!$C$29*$E165/100,0))</f>
        <v>6875</v>
      </c>
      <c r="T165" s="40" t="n">
        <f aca="false">IF(T$159=0,-Assumptions!$C$29*Assumptions!$E$37/100,0)+IF(AND(T$159&gt;=2,MOD(T$159,2)=0,T$159&lt;=IF($C165=1,$C$5-2,12)),Assumptions!$C$29*Assumptions!$D$37/2,0)+IF($C165=1,IF(T$159=$C$6,Assumptions!$C$29*$C$157,0),IF(T$159=12,Assumptions!$C$29*$E165/100,0))</f>
        <v>0</v>
      </c>
      <c r="U165" s="40" t="n">
        <f aca="false">IF(U$159=0,-Assumptions!$C$29*Assumptions!$E$37/100,0)+IF(AND(U$159&gt;=2,MOD(U$159,2)=0,U$159&lt;=IF($C165=1,$C$5-2,12)),Assumptions!$C$29*Assumptions!$D$37/2,0)+IF($C165=1,IF(U$159=$C$6,Assumptions!$C$29*$C$157,0),IF(U$159=12,Assumptions!$C$29*$E165/100,0))</f>
        <v>0</v>
      </c>
      <c r="V165" s="40" t="n">
        <f aca="false">IF(V$159=0,-Assumptions!$C$29*Assumptions!$E$37/100,0)+IF(AND(V$159&gt;=2,MOD(V$159,2)=0,V$159&lt;=IF($C165=1,$C$5-2,12)),Assumptions!$C$29*Assumptions!$D$37/2,0)+IF($C165=1,IF(V$159=$C$6,Assumptions!$C$29*$C$157,0),IF(V$159=12,Assumptions!$C$29*$E165/100,0))</f>
        <v>0</v>
      </c>
      <c r="W165" s="40" t="n">
        <f aca="false">IF(W$159=0,-Assumptions!$C$29*Assumptions!$E$37/100,0)+IF(AND(W$159&gt;=2,MOD(W$159,2)=0,W$159&lt;=IF($C165=1,$C$5-2,12)),Assumptions!$C$29*Assumptions!$D$37/2,0)+IF($C165=1,IF(W$159=$C$6,Assumptions!$C$29*$C$157,0),IF(W$159=12,Assumptions!$C$29*$E165/100,0))</f>
        <v>0</v>
      </c>
      <c r="X165" s="40" t="n">
        <f aca="false">IF(X$159=0,-Assumptions!$C$29*Assumptions!$E$37/100,0)+IF(AND(X$159&gt;=2,MOD(X$159,2)=0,X$159&lt;=IF($C165=1,$C$5-2,12)),Assumptions!$C$29*Assumptions!$D$37/2,0)+IF($C165=1,IF(X$159=$C$6,Assumptions!$C$29*$C$157,0),IF(X$159=12,Assumptions!$C$29*$E165/100,0))</f>
        <v>0</v>
      </c>
      <c r="Y165" s="40" t="n">
        <f aca="false">IF(Y$159=0,-Assumptions!$C$29*Assumptions!$E$37/100,0)+IF(AND(Y$159&gt;=2,MOD(Y$159,2)=0,Y$159&lt;=IF($C165=1,$C$5-2,12)),Assumptions!$C$29*Assumptions!$D$37/2,0)+IF($C165=1,IF(Y$159=$C$6,Assumptions!$C$29*$C$157,0),IF(Y$159=12,Assumptions!$C$29*$E165/100,0))</f>
        <v>0</v>
      </c>
    </row>
    <row r="166" customFormat="false" ht="15" hidden="false" customHeight="false" outlineLevel="0" collapsed="false">
      <c r="B166" s="29" t="s">
        <v>154</v>
      </c>
      <c r="D166" s="41" t="n">
        <f aca="false">SUM(D160:D165)</f>
        <v>73000</v>
      </c>
      <c r="G166" s="41" t="n">
        <f aca="false">SUM(I166:Y166)</f>
        <v>10565.5348724582</v>
      </c>
      <c r="H166" s="30" t="n">
        <f aca="false">(1+IRR(I166:Y166,IF(SUM(I166:Y166)&lt;0,-0.05,0.01)))^4-1</f>
        <v>0.0510343553507282</v>
      </c>
      <c r="I166" s="42" t="n">
        <f aca="false">SUM(I160:I165)</f>
        <v>-73000</v>
      </c>
      <c r="J166" s="42" t="n">
        <f aca="false">SUM(J160:J165)</f>
        <v>0</v>
      </c>
      <c r="K166" s="42" t="n">
        <f aca="false">SUM(K160:K165)</f>
        <v>2812.5</v>
      </c>
      <c r="L166" s="42" t="n">
        <f aca="false">SUM(L160:L165)</f>
        <v>0</v>
      </c>
      <c r="M166" s="42" t="n">
        <f aca="false">SUM(M160:M165)</f>
        <v>2812.5</v>
      </c>
      <c r="N166" s="42" t="n">
        <f aca="false">SUM(N160:N165)</f>
        <v>0</v>
      </c>
      <c r="O166" s="42" t="n">
        <f aca="false">SUM(O160:O165)</f>
        <v>2281.25</v>
      </c>
      <c r="P166" s="42" t="n">
        <f aca="false">SUM(P160:P165)</f>
        <v>0</v>
      </c>
      <c r="Q166" s="42" t="n">
        <f aca="false">SUM(Q160:Q165)</f>
        <v>2281.25</v>
      </c>
      <c r="R166" s="42" t="n">
        <f aca="false">SUM(R160:R165)</f>
        <v>0</v>
      </c>
      <c r="S166" s="42" t="n">
        <f aca="false">SUM(S160:S165)</f>
        <v>9156.25</v>
      </c>
      <c r="T166" s="42" t="n">
        <f aca="false">SUM(T160:T165)</f>
        <v>0</v>
      </c>
      <c r="U166" s="42" t="n">
        <f aca="false">SUM(U160:U165)</f>
        <v>64221.7848724582</v>
      </c>
      <c r="V166" s="42" t="n">
        <f aca="false">SUM(V160:V165)</f>
        <v>0</v>
      </c>
      <c r="W166" s="42" t="n">
        <f aca="false">SUM(W160:W165)</f>
        <v>0</v>
      </c>
      <c r="X166" s="42" t="n">
        <f aca="false">SUM(X160:X165)</f>
        <v>0</v>
      </c>
      <c r="Y166" s="42" t="n">
        <f aca="false">SUM(Y160:Y165)</f>
        <v>0</v>
      </c>
    </row>
    <row r="168" customFormat="false" ht="15" hidden="false" customHeight="false" outlineLevel="0" collapsed="false">
      <c r="B168" s="7" t="s">
        <v>166</v>
      </c>
      <c r="C168" s="8"/>
      <c r="D168" s="8"/>
      <c r="E168" s="8"/>
      <c r="F168" s="8"/>
      <c r="G168" s="8"/>
      <c r="H168" s="8"/>
      <c r="I168" s="8"/>
      <c r="J168" s="8"/>
      <c r="K168" s="8"/>
      <c r="L168" s="8"/>
      <c r="M168" s="8"/>
      <c r="N168" s="8"/>
      <c r="O168" s="8"/>
      <c r="P168" s="8"/>
      <c r="Q168" s="8"/>
      <c r="R168" s="8"/>
      <c r="S168" s="8"/>
      <c r="T168" s="8"/>
      <c r="U168" s="8"/>
      <c r="V168" s="8"/>
      <c r="W168" s="8"/>
      <c r="X168" s="8"/>
      <c r="Y168" s="8"/>
    </row>
    <row r="169" customFormat="false" ht="15" hidden="false" customHeight="false" outlineLevel="0" collapsed="false">
      <c r="B169" s="9" t="s">
        <v>117</v>
      </c>
      <c r="C169" s="22" t="n">
        <f aca="false">$B$20</f>
        <v>0.55</v>
      </c>
    </row>
    <row r="170" customFormat="false" ht="15" hidden="false" customHeight="false" outlineLevel="0" collapsed="false">
      <c r="B170" s="9" t="s">
        <v>148</v>
      </c>
      <c r="C170" s="28" t="n">
        <f aca="false">E$17</f>
        <v>2</v>
      </c>
    </row>
    <row r="171" customFormat="false" ht="30" hidden="false" customHeight="true" outlineLevel="0" collapsed="false">
      <c r="B171" s="13" t="s">
        <v>32</v>
      </c>
      <c r="C171" s="14" t="s">
        <v>149</v>
      </c>
      <c r="D171" s="14" t="s">
        <v>46</v>
      </c>
      <c r="E171" s="14" t="s">
        <v>150</v>
      </c>
      <c r="F171" s="14" t="s">
        <v>151</v>
      </c>
      <c r="G171" s="14" t="s">
        <v>152</v>
      </c>
      <c r="H171" s="14" t="s">
        <v>153</v>
      </c>
      <c r="I171" s="38" t="n">
        <v>0</v>
      </c>
      <c r="J171" s="38" t="n">
        <v>1</v>
      </c>
      <c r="K171" s="38" t="n">
        <v>2</v>
      </c>
      <c r="L171" s="38" t="n">
        <v>3</v>
      </c>
      <c r="M171" s="38" t="n">
        <v>4</v>
      </c>
      <c r="N171" s="38" t="n">
        <v>5</v>
      </c>
      <c r="O171" s="38" t="n">
        <v>6</v>
      </c>
      <c r="P171" s="38" t="n">
        <v>7</v>
      </c>
      <c r="Q171" s="38" t="n">
        <v>8</v>
      </c>
      <c r="R171" s="38" t="n">
        <v>9</v>
      </c>
      <c r="S171" s="38" t="n">
        <v>10</v>
      </c>
      <c r="T171" s="38" t="n">
        <v>11</v>
      </c>
      <c r="U171" s="38" t="n">
        <v>12</v>
      </c>
      <c r="V171" s="38" t="n">
        <v>13</v>
      </c>
      <c r="W171" s="38" t="n">
        <v>14</v>
      </c>
      <c r="X171" s="38" t="n">
        <v>15</v>
      </c>
      <c r="Y171" s="38" t="n">
        <v>16</v>
      </c>
    </row>
    <row r="172" customFormat="false" ht="15" hidden="false" customHeight="false" outlineLevel="0" collapsed="false">
      <c r="B172" s="9" t="s">
        <v>47</v>
      </c>
      <c r="C172" s="28" t="n">
        <f aca="false">IF($C$9&lt;=$C$170,1,0)</f>
        <v>0</v>
      </c>
      <c r="D172" s="19" t="n">
        <f aca="false">Assumptions!$F$32</f>
        <v>12375</v>
      </c>
      <c r="E172" s="39" t="n">
        <f aca="false">PV($F172/2,(Assumptions!$C$30*4-12)/2,-Assumptions!$D$32*100/2,-100)</f>
        <v>99.5584003138178</v>
      </c>
      <c r="F172" s="17" t="n">
        <f aca="false">RATE(Assumptions!$C$30*2,Assumptions!$D$32*100/2,-Assumptions!$E$32,100)*2</f>
        <v>0.0699042470751673</v>
      </c>
      <c r="G172" s="26" t="n">
        <f aca="false">SUM(I172:Y172)</f>
        <v>2601.05003922723</v>
      </c>
      <c r="H172" s="17" t="n">
        <f aca="false">(1+IRR(I172:Y172,IF(SUM(I172:Y172)&lt;0,-0.05,0.01)))^4-1</f>
        <v>0.0711258980149541</v>
      </c>
      <c r="I172" s="40" t="n">
        <f aca="false">IF(I$171=0,-Assumptions!$C$29*Assumptions!$E$32/100,0)+IF(AND(I$171&gt;=2,MOD(I$171,2)=0,I$171&lt;=IF($C172=1,$C$5-2,12)),Assumptions!$C$29*Assumptions!$D$32/2,0)+IF($C172=1,IF(I$171=$C$6,Assumptions!$C$29*$C$169,0),IF(I$171=12,Assumptions!$C$29*$E172/100,0))</f>
        <v>-12375</v>
      </c>
      <c r="J172" s="40" t="n">
        <f aca="false">IF(J$171=0,-Assumptions!$C$29*Assumptions!$E$32/100,0)+IF(AND(J$171&gt;=2,MOD(J$171,2)=0,J$171&lt;=IF($C172=1,$C$5-2,12)),Assumptions!$C$29*Assumptions!$D$32/2,0)+IF($C172=1,IF(J$171=$C$6,Assumptions!$C$29*$C$169,0),IF(J$171=12,Assumptions!$C$29*$E172/100,0))</f>
        <v>0</v>
      </c>
      <c r="K172" s="40" t="n">
        <f aca="false">IF(K$171=0,-Assumptions!$C$29*Assumptions!$E$32/100,0)+IF(AND(K$171&gt;=2,MOD(K$171,2)=0,K$171&lt;=IF($C172=1,$C$5-2,12)),Assumptions!$C$29*Assumptions!$D$32/2,0)+IF($C172=1,IF(K$171=$C$6,Assumptions!$C$29*$C$169,0),IF(K$171=12,Assumptions!$C$29*$E172/100,0))</f>
        <v>421.875</v>
      </c>
      <c r="L172" s="40" t="n">
        <f aca="false">IF(L$171=0,-Assumptions!$C$29*Assumptions!$E$32/100,0)+IF(AND(L$171&gt;=2,MOD(L$171,2)=0,L$171&lt;=IF($C172=1,$C$5-2,12)),Assumptions!$C$29*Assumptions!$D$32/2,0)+IF($C172=1,IF(L$171=$C$6,Assumptions!$C$29*$C$169,0),IF(L$171=12,Assumptions!$C$29*$E172/100,0))</f>
        <v>0</v>
      </c>
      <c r="M172" s="40" t="n">
        <f aca="false">IF(M$171=0,-Assumptions!$C$29*Assumptions!$E$32/100,0)+IF(AND(M$171&gt;=2,MOD(M$171,2)=0,M$171&lt;=IF($C172=1,$C$5-2,12)),Assumptions!$C$29*Assumptions!$D$32/2,0)+IF($C172=1,IF(M$171=$C$6,Assumptions!$C$29*$C$169,0),IF(M$171=12,Assumptions!$C$29*$E172/100,0))</f>
        <v>421.875</v>
      </c>
      <c r="N172" s="40" t="n">
        <f aca="false">IF(N$171=0,-Assumptions!$C$29*Assumptions!$E$32/100,0)+IF(AND(N$171&gt;=2,MOD(N$171,2)=0,N$171&lt;=IF($C172=1,$C$5-2,12)),Assumptions!$C$29*Assumptions!$D$32/2,0)+IF($C172=1,IF(N$171=$C$6,Assumptions!$C$29*$C$169,0),IF(N$171=12,Assumptions!$C$29*$E172/100,0))</f>
        <v>0</v>
      </c>
      <c r="O172" s="40" t="n">
        <f aca="false">IF(O$171=0,-Assumptions!$C$29*Assumptions!$E$32/100,0)+IF(AND(O$171&gt;=2,MOD(O$171,2)=0,O$171&lt;=IF($C172=1,$C$5-2,12)),Assumptions!$C$29*Assumptions!$D$32/2,0)+IF($C172=1,IF(O$171=$C$6,Assumptions!$C$29*$C$169,0),IF(O$171=12,Assumptions!$C$29*$E172/100,0))</f>
        <v>421.875</v>
      </c>
      <c r="P172" s="40" t="n">
        <f aca="false">IF(P$171=0,-Assumptions!$C$29*Assumptions!$E$32/100,0)+IF(AND(P$171&gt;=2,MOD(P$171,2)=0,P$171&lt;=IF($C172=1,$C$5-2,12)),Assumptions!$C$29*Assumptions!$D$32/2,0)+IF($C172=1,IF(P$171=$C$6,Assumptions!$C$29*$C$169,0),IF(P$171=12,Assumptions!$C$29*$E172/100,0))</f>
        <v>0</v>
      </c>
      <c r="Q172" s="40" t="n">
        <f aca="false">IF(Q$171=0,-Assumptions!$C$29*Assumptions!$E$32/100,0)+IF(AND(Q$171&gt;=2,MOD(Q$171,2)=0,Q$171&lt;=IF($C172=1,$C$5-2,12)),Assumptions!$C$29*Assumptions!$D$32/2,0)+IF($C172=1,IF(Q$171=$C$6,Assumptions!$C$29*$C$169,0),IF(Q$171=12,Assumptions!$C$29*$E172/100,0))</f>
        <v>421.875</v>
      </c>
      <c r="R172" s="40" t="n">
        <f aca="false">IF(R$171=0,-Assumptions!$C$29*Assumptions!$E$32/100,0)+IF(AND(R$171&gt;=2,MOD(R$171,2)=0,R$171&lt;=IF($C172=1,$C$5-2,12)),Assumptions!$C$29*Assumptions!$D$32/2,0)+IF($C172=1,IF(R$171=$C$6,Assumptions!$C$29*$C$169,0),IF(R$171=12,Assumptions!$C$29*$E172/100,0))</f>
        <v>0</v>
      </c>
      <c r="S172" s="40" t="n">
        <f aca="false">IF(S$171=0,-Assumptions!$C$29*Assumptions!$E$32/100,0)+IF(AND(S$171&gt;=2,MOD(S$171,2)=0,S$171&lt;=IF($C172=1,$C$5-2,12)),Assumptions!$C$29*Assumptions!$D$32/2,0)+IF($C172=1,IF(S$171=$C$6,Assumptions!$C$29*$C$169,0),IF(S$171=12,Assumptions!$C$29*$E172/100,0))</f>
        <v>421.875</v>
      </c>
      <c r="T172" s="40" t="n">
        <f aca="false">IF(T$171=0,-Assumptions!$C$29*Assumptions!$E$32/100,0)+IF(AND(T$171&gt;=2,MOD(T$171,2)=0,T$171&lt;=IF($C172=1,$C$5-2,12)),Assumptions!$C$29*Assumptions!$D$32/2,0)+IF($C172=1,IF(T$171=$C$6,Assumptions!$C$29*$C$169,0),IF(T$171=12,Assumptions!$C$29*$E172/100,0))</f>
        <v>0</v>
      </c>
      <c r="U172" s="40" t="n">
        <f aca="false">IF(U$171=0,-Assumptions!$C$29*Assumptions!$E$32/100,0)+IF(AND(U$171&gt;=2,MOD(U$171,2)=0,U$171&lt;=IF($C172=1,$C$5-2,12)),Assumptions!$C$29*Assumptions!$D$32/2,0)+IF($C172=1,IF(U$171=$C$6,Assumptions!$C$29*$C$169,0),IF(U$171=12,Assumptions!$C$29*$E172/100,0))</f>
        <v>12866.6750392272</v>
      </c>
      <c r="V172" s="40" t="n">
        <f aca="false">IF(V$171=0,-Assumptions!$C$29*Assumptions!$E$32/100,0)+IF(AND(V$171&gt;=2,MOD(V$171,2)=0,V$171&lt;=IF($C172=1,$C$5-2,12)),Assumptions!$C$29*Assumptions!$D$32/2,0)+IF($C172=1,IF(V$171=$C$6,Assumptions!$C$29*$C$169,0),IF(V$171=12,Assumptions!$C$29*$E172/100,0))</f>
        <v>0</v>
      </c>
      <c r="W172" s="40" t="n">
        <f aca="false">IF(W$171=0,-Assumptions!$C$29*Assumptions!$E$32/100,0)+IF(AND(W$171&gt;=2,MOD(W$171,2)=0,W$171&lt;=IF($C172=1,$C$5-2,12)),Assumptions!$C$29*Assumptions!$D$32/2,0)+IF($C172=1,IF(W$171=$C$6,Assumptions!$C$29*$C$169,0),IF(W$171=12,Assumptions!$C$29*$E172/100,0))</f>
        <v>0</v>
      </c>
      <c r="X172" s="40" t="n">
        <f aca="false">IF(X$171=0,-Assumptions!$C$29*Assumptions!$E$32/100,0)+IF(AND(X$171&gt;=2,MOD(X$171,2)=0,X$171&lt;=IF($C172=1,$C$5-2,12)),Assumptions!$C$29*Assumptions!$D$32/2,0)+IF($C172=1,IF(X$171=$C$6,Assumptions!$C$29*$C$169,0),IF(X$171=12,Assumptions!$C$29*$E172/100,0))</f>
        <v>0</v>
      </c>
      <c r="Y172" s="40" t="n">
        <f aca="false">IF(Y$171=0,-Assumptions!$C$29*Assumptions!$E$32/100,0)+IF(AND(Y$171&gt;=2,MOD(Y$171,2)=0,Y$171&lt;=IF($C172=1,$C$5-2,12)),Assumptions!$C$29*Assumptions!$D$32/2,0)+IF($C172=1,IF(Y$171=$C$6,Assumptions!$C$29*$C$169,0),IF(Y$171=12,Assumptions!$C$29*$E172/100,0))</f>
        <v>0</v>
      </c>
    </row>
    <row r="173" customFormat="false" ht="15" hidden="false" customHeight="false" outlineLevel="0" collapsed="false">
      <c r="B173" s="9" t="s">
        <v>48</v>
      </c>
      <c r="C173" s="28" t="n">
        <f aca="false">IF($C$10&lt;=$C$170,1,0)</f>
        <v>0</v>
      </c>
      <c r="D173" s="19" t="n">
        <f aca="false">Assumptions!$F$33</f>
        <v>12312.5</v>
      </c>
      <c r="E173" s="39" t="n">
        <f aca="false">PV($F173/2,(Assumptions!$C$30*4-12)/2,-Assumptions!$D$33*100/2,-100)</f>
        <v>99.3343027458663</v>
      </c>
      <c r="F173" s="17" t="n">
        <f aca="false">RATE(Assumptions!$C$30*2,Assumptions!$D$33*100/2,-Assumptions!$E$33,100)*2</f>
        <v>0.0736404123832243</v>
      </c>
      <c r="G173" s="26" t="n">
        <f aca="false">SUM(I173:Y173)</f>
        <v>2729.28784323328</v>
      </c>
      <c r="H173" s="17" t="n">
        <f aca="false">(1+IRR(I173:Y173,IF(SUM(I173:Y173)&lt;0,-0.05,0.01)))^4-1</f>
        <v>0.0749961399672177</v>
      </c>
      <c r="I173" s="40" t="n">
        <f aca="false">IF(I$171=0,-Assumptions!$C$29*Assumptions!$E$33/100,0)+IF(AND(I$171&gt;=2,MOD(I$171,2)=0,I$171&lt;=IF($C173=1,$C$5-2,12)),Assumptions!$C$29*Assumptions!$D$33/2,0)+IF($C173=1,IF(I$171=$C$6,Assumptions!$C$29*$C$169,0),IF(I$171=12,Assumptions!$C$29*$E173/100,0))</f>
        <v>-12312.5</v>
      </c>
      <c r="J173" s="40" t="n">
        <f aca="false">IF(J$171=0,-Assumptions!$C$29*Assumptions!$E$33/100,0)+IF(AND(J$171&gt;=2,MOD(J$171,2)=0,J$171&lt;=IF($C173=1,$C$5-2,12)),Assumptions!$C$29*Assumptions!$D$33/2,0)+IF($C173=1,IF(J$171=$C$6,Assumptions!$C$29*$C$169,0),IF(J$171=12,Assumptions!$C$29*$E173/100,0))</f>
        <v>0</v>
      </c>
      <c r="K173" s="40" t="n">
        <f aca="false">IF(K$171=0,-Assumptions!$C$29*Assumptions!$E$33/100,0)+IF(AND(K$171&gt;=2,MOD(K$171,2)=0,K$171&lt;=IF($C173=1,$C$5-2,12)),Assumptions!$C$29*Assumptions!$D$33/2,0)+IF($C173=1,IF(K$171=$C$6,Assumptions!$C$29*$C$169,0),IF(K$171=12,Assumptions!$C$29*$E173/100,0))</f>
        <v>437.5</v>
      </c>
      <c r="L173" s="40" t="n">
        <f aca="false">IF(L$171=0,-Assumptions!$C$29*Assumptions!$E$33/100,0)+IF(AND(L$171&gt;=2,MOD(L$171,2)=0,L$171&lt;=IF($C173=1,$C$5-2,12)),Assumptions!$C$29*Assumptions!$D$33/2,0)+IF($C173=1,IF(L$171=$C$6,Assumptions!$C$29*$C$169,0),IF(L$171=12,Assumptions!$C$29*$E173/100,0))</f>
        <v>0</v>
      </c>
      <c r="M173" s="40" t="n">
        <f aca="false">IF(M$171=0,-Assumptions!$C$29*Assumptions!$E$33/100,0)+IF(AND(M$171&gt;=2,MOD(M$171,2)=0,M$171&lt;=IF($C173=1,$C$5-2,12)),Assumptions!$C$29*Assumptions!$D$33/2,0)+IF($C173=1,IF(M$171=$C$6,Assumptions!$C$29*$C$169,0),IF(M$171=12,Assumptions!$C$29*$E173/100,0))</f>
        <v>437.5</v>
      </c>
      <c r="N173" s="40" t="n">
        <f aca="false">IF(N$171=0,-Assumptions!$C$29*Assumptions!$E$33/100,0)+IF(AND(N$171&gt;=2,MOD(N$171,2)=0,N$171&lt;=IF($C173=1,$C$5-2,12)),Assumptions!$C$29*Assumptions!$D$33/2,0)+IF($C173=1,IF(N$171=$C$6,Assumptions!$C$29*$C$169,0),IF(N$171=12,Assumptions!$C$29*$E173/100,0))</f>
        <v>0</v>
      </c>
      <c r="O173" s="40" t="n">
        <f aca="false">IF(O$171=0,-Assumptions!$C$29*Assumptions!$E$33/100,0)+IF(AND(O$171&gt;=2,MOD(O$171,2)=0,O$171&lt;=IF($C173=1,$C$5-2,12)),Assumptions!$C$29*Assumptions!$D$33/2,0)+IF($C173=1,IF(O$171=$C$6,Assumptions!$C$29*$C$169,0),IF(O$171=12,Assumptions!$C$29*$E173/100,0))</f>
        <v>437.5</v>
      </c>
      <c r="P173" s="40" t="n">
        <f aca="false">IF(P$171=0,-Assumptions!$C$29*Assumptions!$E$33/100,0)+IF(AND(P$171&gt;=2,MOD(P$171,2)=0,P$171&lt;=IF($C173=1,$C$5-2,12)),Assumptions!$C$29*Assumptions!$D$33/2,0)+IF($C173=1,IF(P$171=$C$6,Assumptions!$C$29*$C$169,0),IF(P$171=12,Assumptions!$C$29*$E173/100,0))</f>
        <v>0</v>
      </c>
      <c r="Q173" s="40" t="n">
        <f aca="false">IF(Q$171=0,-Assumptions!$C$29*Assumptions!$E$33/100,0)+IF(AND(Q$171&gt;=2,MOD(Q$171,2)=0,Q$171&lt;=IF($C173=1,$C$5-2,12)),Assumptions!$C$29*Assumptions!$D$33/2,0)+IF($C173=1,IF(Q$171=$C$6,Assumptions!$C$29*$C$169,0),IF(Q$171=12,Assumptions!$C$29*$E173/100,0))</f>
        <v>437.5</v>
      </c>
      <c r="R173" s="40" t="n">
        <f aca="false">IF(R$171=0,-Assumptions!$C$29*Assumptions!$E$33/100,0)+IF(AND(R$171&gt;=2,MOD(R$171,2)=0,R$171&lt;=IF($C173=1,$C$5-2,12)),Assumptions!$C$29*Assumptions!$D$33/2,0)+IF($C173=1,IF(R$171=$C$6,Assumptions!$C$29*$C$169,0),IF(R$171=12,Assumptions!$C$29*$E173/100,0))</f>
        <v>0</v>
      </c>
      <c r="S173" s="40" t="n">
        <f aca="false">IF(S$171=0,-Assumptions!$C$29*Assumptions!$E$33/100,0)+IF(AND(S$171&gt;=2,MOD(S$171,2)=0,S$171&lt;=IF($C173=1,$C$5-2,12)),Assumptions!$C$29*Assumptions!$D$33/2,0)+IF($C173=1,IF(S$171=$C$6,Assumptions!$C$29*$C$169,0),IF(S$171=12,Assumptions!$C$29*$E173/100,0))</f>
        <v>437.5</v>
      </c>
      <c r="T173" s="40" t="n">
        <f aca="false">IF(T$171=0,-Assumptions!$C$29*Assumptions!$E$33/100,0)+IF(AND(T$171&gt;=2,MOD(T$171,2)=0,T$171&lt;=IF($C173=1,$C$5-2,12)),Assumptions!$C$29*Assumptions!$D$33/2,0)+IF($C173=1,IF(T$171=$C$6,Assumptions!$C$29*$C$169,0),IF(T$171=12,Assumptions!$C$29*$E173/100,0))</f>
        <v>0</v>
      </c>
      <c r="U173" s="40" t="n">
        <f aca="false">IF(U$171=0,-Assumptions!$C$29*Assumptions!$E$33/100,0)+IF(AND(U$171&gt;=2,MOD(U$171,2)=0,U$171&lt;=IF($C173=1,$C$5-2,12)),Assumptions!$C$29*Assumptions!$D$33/2,0)+IF($C173=1,IF(U$171=$C$6,Assumptions!$C$29*$C$169,0),IF(U$171=12,Assumptions!$C$29*$E173/100,0))</f>
        <v>12854.2878432333</v>
      </c>
      <c r="V173" s="40" t="n">
        <f aca="false">IF(V$171=0,-Assumptions!$C$29*Assumptions!$E$33/100,0)+IF(AND(V$171&gt;=2,MOD(V$171,2)=0,V$171&lt;=IF($C173=1,$C$5-2,12)),Assumptions!$C$29*Assumptions!$D$33/2,0)+IF($C173=1,IF(V$171=$C$6,Assumptions!$C$29*$C$169,0),IF(V$171=12,Assumptions!$C$29*$E173/100,0))</f>
        <v>0</v>
      </c>
      <c r="W173" s="40" t="n">
        <f aca="false">IF(W$171=0,-Assumptions!$C$29*Assumptions!$E$33/100,0)+IF(AND(W$171&gt;=2,MOD(W$171,2)=0,W$171&lt;=IF($C173=1,$C$5-2,12)),Assumptions!$C$29*Assumptions!$D$33/2,0)+IF($C173=1,IF(W$171=$C$6,Assumptions!$C$29*$C$169,0),IF(W$171=12,Assumptions!$C$29*$E173/100,0))</f>
        <v>0</v>
      </c>
      <c r="X173" s="40" t="n">
        <f aca="false">IF(X$171=0,-Assumptions!$C$29*Assumptions!$E$33/100,0)+IF(AND(X$171&gt;=2,MOD(X$171,2)=0,X$171&lt;=IF($C173=1,$C$5-2,12)),Assumptions!$C$29*Assumptions!$D$33/2,0)+IF($C173=1,IF(X$171=$C$6,Assumptions!$C$29*$C$169,0),IF(X$171=12,Assumptions!$C$29*$E173/100,0))</f>
        <v>0</v>
      </c>
      <c r="Y173" s="40" t="n">
        <f aca="false">IF(Y$171=0,-Assumptions!$C$29*Assumptions!$E$33/100,0)+IF(AND(Y$171&gt;=2,MOD(Y$171,2)=0,Y$171&lt;=IF($C173=1,$C$5-2,12)),Assumptions!$C$29*Assumptions!$D$33/2,0)+IF($C173=1,IF(Y$171=$C$6,Assumptions!$C$29*$C$169,0),IF(Y$171=12,Assumptions!$C$29*$E173/100,0))</f>
        <v>0</v>
      </c>
    </row>
    <row r="174" customFormat="false" ht="15" hidden="false" customHeight="false" outlineLevel="0" collapsed="false">
      <c r="B174" s="9" t="s">
        <v>49</v>
      </c>
      <c r="C174" s="28" t="n">
        <f aca="false">IF($C$11&lt;=$C$170,1,0)</f>
        <v>0</v>
      </c>
      <c r="D174" s="19" t="n">
        <f aca="false">Assumptions!$F$34</f>
        <v>12250</v>
      </c>
      <c r="E174" s="39" t="n">
        <f aca="false">PV($F174/2,(Assumptions!$C$30*4-12)/2,-Assumptions!$D$34*100/2,-100)</f>
        <v>99.1079856396595</v>
      </c>
      <c r="F174" s="17" t="n">
        <f aca="false">RATE(Assumptions!$C$30*2,Assumptions!$D$34*100/2,-Assumptions!$E$34,100)*2</f>
        <v>0.0773997713205988</v>
      </c>
      <c r="G174" s="26" t="n">
        <f aca="false">SUM(I174:Y174)</f>
        <v>2857.24820495744</v>
      </c>
      <c r="H174" s="17" t="n">
        <f aca="false">(1+IRR(I174:Y174,IF(SUM(I174:Y174)&lt;0,-0.05,0.01)))^4-1</f>
        <v>0.0788974524707193</v>
      </c>
      <c r="I174" s="40" t="n">
        <f aca="false">IF(I$171=0,-Assumptions!$C$29*Assumptions!$E$34/100,0)+IF(AND(I$171&gt;=2,MOD(I$171,2)=0,I$171&lt;=IF($C174=1,$C$5-2,12)),Assumptions!$C$29*Assumptions!$D$34/2,0)+IF($C174=1,IF(I$171=$C$6,Assumptions!$C$29*$C$169,0),IF(I$171=12,Assumptions!$C$29*$E174/100,0))</f>
        <v>-12250</v>
      </c>
      <c r="J174" s="40" t="n">
        <f aca="false">IF(J$171=0,-Assumptions!$C$29*Assumptions!$E$34/100,0)+IF(AND(J$171&gt;=2,MOD(J$171,2)=0,J$171&lt;=IF($C174=1,$C$5-2,12)),Assumptions!$C$29*Assumptions!$D$34/2,0)+IF($C174=1,IF(J$171=$C$6,Assumptions!$C$29*$C$169,0),IF(J$171=12,Assumptions!$C$29*$E174/100,0))</f>
        <v>0</v>
      </c>
      <c r="K174" s="40" t="n">
        <f aca="false">IF(K$171=0,-Assumptions!$C$29*Assumptions!$E$34/100,0)+IF(AND(K$171&gt;=2,MOD(K$171,2)=0,K$171&lt;=IF($C174=1,$C$5-2,12)),Assumptions!$C$29*Assumptions!$D$34/2,0)+IF($C174=1,IF(K$171=$C$6,Assumptions!$C$29*$C$169,0),IF(K$171=12,Assumptions!$C$29*$E174/100,0))</f>
        <v>453.125</v>
      </c>
      <c r="L174" s="40" t="n">
        <f aca="false">IF(L$171=0,-Assumptions!$C$29*Assumptions!$E$34/100,0)+IF(AND(L$171&gt;=2,MOD(L$171,2)=0,L$171&lt;=IF($C174=1,$C$5-2,12)),Assumptions!$C$29*Assumptions!$D$34/2,0)+IF($C174=1,IF(L$171=$C$6,Assumptions!$C$29*$C$169,0),IF(L$171=12,Assumptions!$C$29*$E174/100,0))</f>
        <v>0</v>
      </c>
      <c r="M174" s="40" t="n">
        <f aca="false">IF(M$171=0,-Assumptions!$C$29*Assumptions!$E$34/100,0)+IF(AND(M$171&gt;=2,MOD(M$171,2)=0,M$171&lt;=IF($C174=1,$C$5-2,12)),Assumptions!$C$29*Assumptions!$D$34/2,0)+IF($C174=1,IF(M$171=$C$6,Assumptions!$C$29*$C$169,0),IF(M$171=12,Assumptions!$C$29*$E174/100,0))</f>
        <v>453.125</v>
      </c>
      <c r="N174" s="40" t="n">
        <f aca="false">IF(N$171=0,-Assumptions!$C$29*Assumptions!$E$34/100,0)+IF(AND(N$171&gt;=2,MOD(N$171,2)=0,N$171&lt;=IF($C174=1,$C$5-2,12)),Assumptions!$C$29*Assumptions!$D$34/2,0)+IF($C174=1,IF(N$171=$C$6,Assumptions!$C$29*$C$169,0),IF(N$171=12,Assumptions!$C$29*$E174/100,0))</f>
        <v>0</v>
      </c>
      <c r="O174" s="40" t="n">
        <f aca="false">IF(O$171=0,-Assumptions!$C$29*Assumptions!$E$34/100,0)+IF(AND(O$171&gt;=2,MOD(O$171,2)=0,O$171&lt;=IF($C174=1,$C$5-2,12)),Assumptions!$C$29*Assumptions!$D$34/2,0)+IF($C174=1,IF(O$171=$C$6,Assumptions!$C$29*$C$169,0),IF(O$171=12,Assumptions!$C$29*$E174/100,0))</f>
        <v>453.125</v>
      </c>
      <c r="P174" s="40" t="n">
        <f aca="false">IF(P$171=0,-Assumptions!$C$29*Assumptions!$E$34/100,0)+IF(AND(P$171&gt;=2,MOD(P$171,2)=0,P$171&lt;=IF($C174=1,$C$5-2,12)),Assumptions!$C$29*Assumptions!$D$34/2,0)+IF($C174=1,IF(P$171=$C$6,Assumptions!$C$29*$C$169,0),IF(P$171=12,Assumptions!$C$29*$E174/100,0))</f>
        <v>0</v>
      </c>
      <c r="Q174" s="40" t="n">
        <f aca="false">IF(Q$171=0,-Assumptions!$C$29*Assumptions!$E$34/100,0)+IF(AND(Q$171&gt;=2,MOD(Q$171,2)=0,Q$171&lt;=IF($C174=1,$C$5-2,12)),Assumptions!$C$29*Assumptions!$D$34/2,0)+IF($C174=1,IF(Q$171=$C$6,Assumptions!$C$29*$C$169,0),IF(Q$171=12,Assumptions!$C$29*$E174/100,0))</f>
        <v>453.125</v>
      </c>
      <c r="R174" s="40" t="n">
        <f aca="false">IF(R$171=0,-Assumptions!$C$29*Assumptions!$E$34/100,0)+IF(AND(R$171&gt;=2,MOD(R$171,2)=0,R$171&lt;=IF($C174=1,$C$5-2,12)),Assumptions!$C$29*Assumptions!$D$34/2,0)+IF($C174=1,IF(R$171=$C$6,Assumptions!$C$29*$C$169,0),IF(R$171=12,Assumptions!$C$29*$E174/100,0))</f>
        <v>0</v>
      </c>
      <c r="S174" s="40" t="n">
        <f aca="false">IF(S$171=0,-Assumptions!$C$29*Assumptions!$E$34/100,0)+IF(AND(S$171&gt;=2,MOD(S$171,2)=0,S$171&lt;=IF($C174=1,$C$5-2,12)),Assumptions!$C$29*Assumptions!$D$34/2,0)+IF($C174=1,IF(S$171=$C$6,Assumptions!$C$29*$C$169,0),IF(S$171=12,Assumptions!$C$29*$E174/100,0))</f>
        <v>453.125</v>
      </c>
      <c r="T174" s="40" t="n">
        <f aca="false">IF(T$171=0,-Assumptions!$C$29*Assumptions!$E$34/100,0)+IF(AND(T$171&gt;=2,MOD(T$171,2)=0,T$171&lt;=IF($C174=1,$C$5-2,12)),Assumptions!$C$29*Assumptions!$D$34/2,0)+IF($C174=1,IF(T$171=$C$6,Assumptions!$C$29*$C$169,0),IF(T$171=12,Assumptions!$C$29*$E174/100,0))</f>
        <v>0</v>
      </c>
      <c r="U174" s="40" t="n">
        <f aca="false">IF(U$171=0,-Assumptions!$C$29*Assumptions!$E$34/100,0)+IF(AND(U$171&gt;=2,MOD(U$171,2)=0,U$171&lt;=IF($C174=1,$C$5-2,12)),Assumptions!$C$29*Assumptions!$D$34/2,0)+IF($C174=1,IF(U$171=$C$6,Assumptions!$C$29*$C$169,0),IF(U$171=12,Assumptions!$C$29*$E174/100,0))</f>
        <v>12841.6232049574</v>
      </c>
      <c r="V174" s="40" t="n">
        <f aca="false">IF(V$171=0,-Assumptions!$C$29*Assumptions!$E$34/100,0)+IF(AND(V$171&gt;=2,MOD(V$171,2)=0,V$171&lt;=IF($C174=1,$C$5-2,12)),Assumptions!$C$29*Assumptions!$D$34/2,0)+IF($C174=1,IF(V$171=$C$6,Assumptions!$C$29*$C$169,0),IF(V$171=12,Assumptions!$C$29*$E174/100,0))</f>
        <v>0</v>
      </c>
      <c r="W174" s="40" t="n">
        <f aca="false">IF(W$171=0,-Assumptions!$C$29*Assumptions!$E$34/100,0)+IF(AND(W$171&gt;=2,MOD(W$171,2)=0,W$171&lt;=IF($C174=1,$C$5-2,12)),Assumptions!$C$29*Assumptions!$D$34/2,0)+IF($C174=1,IF(W$171=$C$6,Assumptions!$C$29*$C$169,0),IF(W$171=12,Assumptions!$C$29*$E174/100,0))</f>
        <v>0</v>
      </c>
      <c r="X174" s="40" t="n">
        <f aca="false">IF(X$171=0,-Assumptions!$C$29*Assumptions!$E$34/100,0)+IF(AND(X$171&gt;=2,MOD(X$171,2)=0,X$171&lt;=IF($C174=1,$C$5-2,12)),Assumptions!$C$29*Assumptions!$D$34/2,0)+IF($C174=1,IF(X$171=$C$6,Assumptions!$C$29*$C$169,0),IF(X$171=12,Assumptions!$C$29*$E174/100,0))</f>
        <v>0</v>
      </c>
      <c r="Y174" s="40" t="n">
        <f aca="false">IF(Y$171=0,-Assumptions!$C$29*Assumptions!$E$34/100,0)+IF(AND(Y$171&gt;=2,MOD(Y$171,2)=0,Y$171&lt;=IF($C174=1,$C$5-2,12)),Assumptions!$C$29*Assumptions!$D$34/2,0)+IF($C174=1,IF(Y$171=$C$6,Assumptions!$C$29*$C$169,0),IF(Y$171=12,Assumptions!$C$29*$E174/100,0))</f>
        <v>0</v>
      </c>
    </row>
    <row r="175" customFormat="false" ht="15" hidden="false" customHeight="false" outlineLevel="0" collapsed="false">
      <c r="B175" s="9" t="s">
        <v>50</v>
      </c>
      <c r="C175" s="28" t="n">
        <f aca="false">IF($C$12&lt;=$C$170,1,0)</f>
        <v>0</v>
      </c>
      <c r="D175" s="19" t="n">
        <f aca="false">Assumptions!$F$35</f>
        <v>12187.5</v>
      </c>
      <c r="E175" s="39" t="n">
        <f aca="false">PV($F175/2,(Assumptions!$C$30*4-12)/2,-Assumptions!$D$35*100/2,-100)</f>
        <v>98.8794329841845</v>
      </c>
      <c r="F175" s="17" t="n">
        <f aca="false">RATE(Assumptions!$C$30*2,Assumptions!$D$35*100/2,-Assumptions!$E$35,100)*2</f>
        <v>0.0811827080590467</v>
      </c>
      <c r="G175" s="26" t="n">
        <f aca="false">SUM(I175:Y175)</f>
        <v>2984.92912302306</v>
      </c>
      <c r="H175" s="17" t="n">
        <f aca="false">(1+IRR(I175:Y175,IF(SUM(I175:Y175)&lt;0,-0.05,0.01)))^4-1</f>
        <v>0.0828303660809961</v>
      </c>
      <c r="I175" s="40" t="n">
        <f aca="false">IF(I$171=0,-Assumptions!$C$29*Assumptions!$E$35/100,0)+IF(AND(I$171&gt;=2,MOD(I$171,2)=0,I$171&lt;=IF($C175=1,$C$5-2,12)),Assumptions!$C$29*Assumptions!$D$35/2,0)+IF($C175=1,IF(I$171=$C$6,Assumptions!$C$29*$C$169,0),IF(I$171=12,Assumptions!$C$29*$E175/100,0))</f>
        <v>-12187.5</v>
      </c>
      <c r="J175" s="40" t="n">
        <f aca="false">IF(J$171=0,-Assumptions!$C$29*Assumptions!$E$35/100,0)+IF(AND(J$171&gt;=2,MOD(J$171,2)=0,J$171&lt;=IF($C175=1,$C$5-2,12)),Assumptions!$C$29*Assumptions!$D$35/2,0)+IF($C175=1,IF(J$171=$C$6,Assumptions!$C$29*$C$169,0),IF(J$171=12,Assumptions!$C$29*$E175/100,0))</f>
        <v>0</v>
      </c>
      <c r="K175" s="40" t="n">
        <f aca="false">IF(K$171=0,-Assumptions!$C$29*Assumptions!$E$35/100,0)+IF(AND(K$171&gt;=2,MOD(K$171,2)=0,K$171&lt;=IF($C175=1,$C$5-2,12)),Assumptions!$C$29*Assumptions!$D$35/2,0)+IF($C175=1,IF(K$171=$C$6,Assumptions!$C$29*$C$169,0),IF(K$171=12,Assumptions!$C$29*$E175/100,0))</f>
        <v>468.75</v>
      </c>
      <c r="L175" s="40" t="n">
        <f aca="false">IF(L$171=0,-Assumptions!$C$29*Assumptions!$E$35/100,0)+IF(AND(L$171&gt;=2,MOD(L$171,2)=0,L$171&lt;=IF($C175=1,$C$5-2,12)),Assumptions!$C$29*Assumptions!$D$35/2,0)+IF($C175=1,IF(L$171=$C$6,Assumptions!$C$29*$C$169,0),IF(L$171=12,Assumptions!$C$29*$E175/100,0))</f>
        <v>0</v>
      </c>
      <c r="M175" s="40" t="n">
        <f aca="false">IF(M$171=0,-Assumptions!$C$29*Assumptions!$E$35/100,0)+IF(AND(M$171&gt;=2,MOD(M$171,2)=0,M$171&lt;=IF($C175=1,$C$5-2,12)),Assumptions!$C$29*Assumptions!$D$35/2,0)+IF($C175=1,IF(M$171=$C$6,Assumptions!$C$29*$C$169,0),IF(M$171=12,Assumptions!$C$29*$E175/100,0))</f>
        <v>468.75</v>
      </c>
      <c r="N175" s="40" t="n">
        <f aca="false">IF(N$171=0,-Assumptions!$C$29*Assumptions!$E$35/100,0)+IF(AND(N$171&gt;=2,MOD(N$171,2)=0,N$171&lt;=IF($C175=1,$C$5-2,12)),Assumptions!$C$29*Assumptions!$D$35/2,0)+IF($C175=1,IF(N$171=$C$6,Assumptions!$C$29*$C$169,0),IF(N$171=12,Assumptions!$C$29*$E175/100,0))</f>
        <v>0</v>
      </c>
      <c r="O175" s="40" t="n">
        <f aca="false">IF(O$171=0,-Assumptions!$C$29*Assumptions!$E$35/100,0)+IF(AND(O$171&gt;=2,MOD(O$171,2)=0,O$171&lt;=IF($C175=1,$C$5-2,12)),Assumptions!$C$29*Assumptions!$D$35/2,0)+IF($C175=1,IF(O$171=$C$6,Assumptions!$C$29*$C$169,0),IF(O$171=12,Assumptions!$C$29*$E175/100,0))</f>
        <v>468.75</v>
      </c>
      <c r="P175" s="40" t="n">
        <f aca="false">IF(P$171=0,-Assumptions!$C$29*Assumptions!$E$35/100,0)+IF(AND(P$171&gt;=2,MOD(P$171,2)=0,P$171&lt;=IF($C175=1,$C$5-2,12)),Assumptions!$C$29*Assumptions!$D$35/2,0)+IF($C175=1,IF(P$171=$C$6,Assumptions!$C$29*$C$169,0),IF(P$171=12,Assumptions!$C$29*$E175/100,0))</f>
        <v>0</v>
      </c>
      <c r="Q175" s="40" t="n">
        <f aca="false">IF(Q$171=0,-Assumptions!$C$29*Assumptions!$E$35/100,0)+IF(AND(Q$171&gt;=2,MOD(Q$171,2)=0,Q$171&lt;=IF($C175=1,$C$5-2,12)),Assumptions!$C$29*Assumptions!$D$35/2,0)+IF($C175=1,IF(Q$171=$C$6,Assumptions!$C$29*$C$169,0),IF(Q$171=12,Assumptions!$C$29*$E175/100,0))</f>
        <v>468.75</v>
      </c>
      <c r="R175" s="40" t="n">
        <f aca="false">IF(R$171=0,-Assumptions!$C$29*Assumptions!$E$35/100,0)+IF(AND(R$171&gt;=2,MOD(R$171,2)=0,R$171&lt;=IF($C175=1,$C$5-2,12)),Assumptions!$C$29*Assumptions!$D$35/2,0)+IF($C175=1,IF(R$171=$C$6,Assumptions!$C$29*$C$169,0),IF(R$171=12,Assumptions!$C$29*$E175/100,0))</f>
        <v>0</v>
      </c>
      <c r="S175" s="40" t="n">
        <f aca="false">IF(S$171=0,-Assumptions!$C$29*Assumptions!$E$35/100,0)+IF(AND(S$171&gt;=2,MOD(S$171,2)=0,S$171&lt;=IF($C175=1,$C$5-2,12)),Assumptions!$C$29*Assumptions!$D$35/2,0)+IF($C175=1,IF(S$171=$C$6,Assumptions!$C$29*$C$169,0),IF(S$171=12,Assumptions!$C$29*$E175/100,0))</f>
        <v>468.75</v>
      </c>
      <c r="T175" s="40" t="n">
        <f aca="false">IF(T$171=0,-Assumptions!$C$29*Assumptions!$E$35/100,0)+IF(AND(T$171&gt;=2,MOD(T$171,2)=0,T$171&lt;=IF($C175=1,$C$5-2,12)),Assumptions!$C$29*Assumptions!$D$35/2,0)+IF($C175=1,IF(T$171=$C$6,Assumptions!$C$29*$C$169,0),IF(T$171=12,Assumptions!$C$29*$E175/100,0))</f>
        <v>0</v>
      </c>
      <c r="U175" s="40" t="n">
        <f aca="false">IF(U$171=0,-Assumptions!$C$29*Assumptions!$E$35/100,0)+IF(AND(U$171&gt;=2,MOD(U$171,2)=0,U$171&lt;=IF($C175=1,$C$5-2,12)),Assumptions!$C$29*Assumptions!$D$35/2,0)+IF($C175=1,IF(U$171=$C$6,Assumptions!$C$29*$C$169,0),IF(U$171=12,Assumptions!$C$29*$E175/100,0))</f>
        <v>12828.6791230231</v>
      </c>
      <c r="V175" s="40" t="n">
        <f aca="false">IF(V$171=0,-Assumptions!$C$29*Assumptions!$E$35/100,0)+IF(AND(V$171&gt;=2,MOD(V$171,2)=0,V$171&lt;=IF($C175=1,$C$5-2,12)),Assumptions!$C$29*Assumptions!$D$35/2,0)+IF($C175=1,IF(V$171=$C$6,Assumptions!$C$29*$C$169,0),IF(V$171=12,Assumptions!$C$29*$E175/100,0))</f>
        <v>0</v>
      </c>
      <c r="W175" s="40" t="n">
        <f aca="false">IF(W$171=0,-Assumptions!$C$29*Assumptions!$E$35/100,0)+IF(AND(W$171&gt;=2,MOD(W$171,2)=0,W$171&lt;=IF($C175=1,$C$5-2,12)),Assumptions!$C$29*Assumptions!$D$35/2,0)+IF($C175=1,IF(W$171=$C$6,Assumptions!$C$29*$C$169,0),IF(W$171=12,Assumptions!$C$29*$E175/100,0))</f>
        <v>0</v>
      </c>
      <c r="X175" s="40" t="n">
        <f aca="false">IF(X$171=0,-Assumptions!$C$29*Assumptions!$E$35/100,0)+IF(AND(X$171&gt;=2,MOD(X$171,2)=0,X$171&lt;=IF($C175=1,$C$5-2,12)),Assumptions!$C$29*Assumptions!$D$35/2,0)+IF($C175=1,IF(X$171=$C$6,Assumptions!$C$29*$C$169,0),IF(X$171=12,Assumptions!$C$29*$E175/100,0))</f>
        <v>0</v>
      </c>
      <c r="Y175" s="40" t="n">
        <f aca="false">IF(Y$171=0,-Assumptions!$C$29*Assumptions!$E$35/100,0)+IF(AND(Y$171&gt;=2,MOD(Y$171,2)=0,Y$171&lt;=IF($C175=1,$C$5-2,12)),Assumptions!$C$29*Assumptions!$D$35/2,0)+IF($C175=1,IF(Y$171=$C$6,Assumptions!$C$29*$C$169,0),IF(Y$171=12,Assumptions!$C$29*$E175/100,0))</f>
        <v>0</v>
      </c>
    </row>
    <row r="176" customFormat="false" ht="15" hidden="false" customHeight="false" outlineLevel="0" collapsed="false">
      <c r="B176" s="9" t="s">
        <v>51</v>
      </c>
      <c r="C176" s="28" t="n">
        <f aca="false">IF($C$13&lt;=$C$170,1,0)</f>
        <v>1</v>
      </c>
      <c r="D176" s="19" t="n">
        <f aca="false">Assumptions!$F$36</f>
        <v>12125</v>
      </c>
      <c r="E176" s="39" t="n">
        <f aca="false">PV($F176/2,(Assumptions!$C$30*4-12)/2,-Assumptions!$D$36*100/2,-100)</f>
        <v>98.6441572961372</v>
      </c>
      <c r="F176" s="17" t="n">
        <f aca="false">RATE(Assumptions!$C$30*2,Assumptions!$D$36*100/2,-Assumptions!$E$36,100)*2</f>
        <v>0.0875368825411204</v>
      </c>
      <c r="G176" s="26" t="n">
        <f aca="false">SUM(I176:Y176)</f>
        <v>-4250</v>
      </c>
      <c r="H176" s="17" t="n">
        <f aca="false">(1+IRR(I176:Y176,IF(SUM(I176:Y176)&lt;0,-0.05,0.01)))^4-1</f>
        <v>-0.170576378219333</v>
      </c>
      <c r="I176" s="40" t="n">
        <f aca="false">IF(I$171=0,-Assumptions!$C$29*Assumptions!$E$36/100,0)+IF(AND(I$171&gt;=2,MOD(I$171,2)=0,I$171&lt;=IF($C176=1,$C$5-2,12)),Assumptions!$C$29*Assumptions!$D$36/2,0)+IF($C176=1,IF(I$171=$C$6,Assumptions!$C$29*$C$169,0),IF(I$171=12,Assumptions!$C$29*$E176/100,0))</f>
        <v>-12125</v>
      </c>
      <c r="J176" s="40" t="n">
        <f aca="false">IF(J$171=0,-Assumptions!$C$29*Assumptions!$E$36/100,0)+IF(AND(J$171&gt;=2,MOD(J$171,2)=0,J$171&lt;=IF($C176=1,$C$5-2,12)),Assumptions!$C$29*Assumptions!$D$36/2,0)+IF($C176=1,IF(J$171=$C$6,Assumptions!$C$29*$C$169,0),IF(J$171=12,Assumptions!$C$29*$E176/100,0))</f>
        <v>0</v>
      </c>
      <c r="K176" s="40" t="n">
        <f aca="false">IF(K$171=0,-Assumptions!$C$29*Assumptions!$E$36/100,0)+IF(AND(K$171&gt;=2,MOD(K$171,2)=0,K$171&lt;=IF($C176=1,$C$5-2,12)),Assumptions!$C$29*Assumptions!$D$36/2,0)+IF($C176=1,IF(K$171=$C$6,Assumptions!$C$29*$C$169,0),IF(K$171=12,Assumptions!$C$29*$E176/100,0))</f>
        <v>500</v>
      </c>
      <c r="L176" s="40" t="n">
        <f aca="false">IF(L$171=0,-Assumptions!$C$29*Assumptions!$E$36/100,0)+IF(AND(L$171&gt;=2,MOD(L$171,2)=0,L$171&lt;=IF($C176=1,$C$5-2,12)),Assumptions!$C$29*Assumptions!$D$36/2,0)+IF($C176=1,IF(L$171=$C$6,Assumptions!$C$29*$C$169,0),IF(L$171=12,Assumptions!$C$29*$E176/100,0))</f>
        <v>0</v>
      </c>
      <c r="M176" s="40" t="n">
        <f aca="false">IF(M$171=0,-Assumptions!$C$29*Assumptions!$E$36/100,0)+IF(AND(M$171&gt;=2,MOD(M$171,2)=0,M$171&lt;=IF($C176=1,$C$5-2,12)),Assumptions!$C$29*Assumptions!$D$36/2,0)+IF($C176=1,IF(M$171=$C$6,Assumptions!$C$29*$C$169,0),IF(M$171=12,Assumptions!$C$29*$E176/100,0))</f>
        <v>500</v>
      </c>
      <c r="N176" s="40" t="n">
        <f aca="false">IF(N$171=0,-Assumptions!$C$29*Assumptions!$E$36/100,0)+IF(AND(N$171&gt;=2,MOD(N$171,2)=0,N$171&lt;=IF($C176=1,$C$5-2,12)),Assumptions!$C$29*Assumptions!$D$36/2,0)+IF($C176=1,IF(N$171=$C$6,Assumptions!$C$29*$C$169,0),IF(N$171=12,Assumptions!$C$29*$E176/100,0))</f>
        <v>0</v>
      </c>
      <c r="O176" s="40" t="n">
        <f aca="false">IF(O$171=0,-Assumptions!$C$29*Assumptions!$E$36/100,0)+IF(AND(O$171&gt;=2,MOD(O$171,2)=0,O$171&lt;=IF($C176=1,$C$5-2,12)),Assumptions!$C$29*Assumptions!$D$36/2,0)+IF($C176=1,IF(O$171=$C$6,Assumptions!$C$29*$C$169,0),IF(O$171=12,Assumptions!$C$29*$E176/100,0))</f>
        <v>0</v>
      </c>
      <c r="P176" s="40" t="n">
        <f aca="false">IF(P$171=0,-Assumptions!$C$29*Assumptions!$E$36/100,0)+IF(AND(P$171&gt;=2,MOD(P$171,2)=0,P$171&lt;=IF($C176=1,$C$5-2,12)),Assumptions!$C$29*Assumptions!$D$36/2,0)+IF($C176=1,IF(P$171=$C$6,Assumptions!$C$29*$C$169,0),IF(P$171=12,Assumptions!$C$29*$E176/100,0))</f>
        <v>0</v>
      </c>
      <c r="Q176" s="40" t="n">
        <f aca="false">IF(Q$171=0,-Assumptions!$C$29*Assumptions!$E$36/100,0)+IF(AND(Q$171&gt;=2,MOD(Q$171,2)=0,Q$171&lt;=IF($C176=1,$C$5-2,12)),Assumptions!$C$29*Assumptions!$D$36/2,0)+IF($C176=1,IF(Q$171=$C$6,Assumptions!$C$29*$C$169,0),IF(Q$171=12,Assumptions!$C$29*$E176/100,0))</f>
        <v>0</v>
      </c>
      <c r="R176" s="40" t="n">
        <f aca="false">IF(R$171=0,-Assumptions!$C$29*Assumptions!$E$36/100,0)+IF(AND(R$171&gt;=2,MOD(R$171,2)=0,R$171&lt;=IF($C176=1,$C$5-2,12)),Assumptions!$C$29*Assumptions!$D$36/2,0)+IF($C176=1,IF(R$171=$C$6,Assumptions!$C$29*$C$169,0),IF(R$171=12,Assumptions!$C$29*$E176/100,0))</f>
        <v>0</v>
      </c>
      <c r="S176" s="40" t="n">
        <f aca="false">IF(S$171=0,-Assumptions!$C$29*Assumptions!$E$36/100,0)+IF(AND(S$171&gt;=2,MOD(S$171,2)=0,S$171&lt;=IF($C176=1,$C$5-2,12)),Assumptions!$C$29*Assumptions!$D$36/2,0)+IF($C176=1,IF(S$171=$C$6,Assumptions!$C$29*$C$169,0),IF(S$171=12,Assumptions!$C$29*$E176/100,0))</f>
        <v>6875</v>
      </c>
      <c r="T176" s="40" t="n">
        <f aca="false">IF(T$171=0,-Assumptions!$C$29*Assumptions!$E$36/100,0)+IF(AND(T$171&gt;=2,MOD(T$171,2)=0,T$171&lt;=IF($C176=1,$C$5-2,12)),Assumptions!$C$29*Assumptions!$D$36/2,0)+IF($C176=1,IF(T$171=$C$6,Assumptions!$C$29*$C$169,0),IF(T$171=12,Assumptions!$C$29*$E176/100,0))</f>
        <v>0</v>
      </c>
      <c r="U176" s="40" t="n">
        <f aca="false">IF(U$171=0,-Assumptions!$C$29*Assumptions!$E$36/100,0)+IF(AND(U$171&gt;=2,MOD(U$171,2)=0,U$171&lt;=IF($C176=1,$C$5-2,12)),Assumptions!$C$29*Assumptions!$D$36/2,0)+IF($C176=1,IF(U$171=$C$6,Assumptions!$C$29*$C$169,0),IF(U$171=12,Assumptions!$C$29*$E176/100,0))</f>
        <v>0</v>
      </c>
      <c r="V176" s="40" t="n">
        <f aca="false">IF(V$171=0,-Assumptions!$C$29*Assumptions!$E$36/100,0)+IF(AND(V$171&gt;=2,MOD(V$171,2)=0,V$171&lt;=IF($C176=1,$C$5-2,12)),Assumptions!$C$29*Assumptions!$D$36/2,0)+IF($C176=1,IF(V$171=$C$6,Assumptions!$C$29*$C$169,0),IF(V$171=12,Assumptions!$C$29*$E176/100,0))</f>
        <v>0</v>
      </c>
      <c r="W176" s="40" t="n">
        <f aca="false">IF(W$171=0,-Assumptions!$C$29*Assumptions!$E$36/100,0)+IF(AND(W$171&gt;=2,MOD(W$171,2)=0,W$171&lt;=IF($C176=1,$C$5-2,12)),Assumptions!$C$29*Assumptions!$D$36/2,0)+IF($C176=1,IF(W$171=$C$6,Assumptions!$C$29*$C$169,0),IF(W$171=12,Assumptions!$C$29*$E176/100,0))</f>
        <v>0</v>
      </c>
      <c r="X176" s="40" t="n">
        <f aca="false">IF(X$171=0,-Assumptions!$C$29*Assumptions!$E$36/100,0)+IF(AND(X$171&gt;=2,MOD(X$171,2)=0,X$171&lt;=IF($C176=1,$C$5-2,12)),Assumptions!$C$29*Assumptions!$D$36/2,0)+IF($C176=1,IF(X$171=$C$6,Assumptions!$C$29*$C$169,0),IF(X$171=12,Assumptions!$C$29*$E176/100,0))</f>
        <v>0</v>
      </c>
      <c r="Y176" s="40" t="n">
        <f aca="false">IF(Y$171=0,-Assumptions!$C$29*Assumptions!$E$36/100,0)+IF(AND(Y$171&gt;=2,MOD(Y$171,2)=0,Y$171&lt;=IF($C176=1,$C$5-2,12)),Assumptions!$C$29*Assumptions!$D$36/2,0)+IF($C176=1,IF(Y$171=$C$6,Assumptions!$C$29*$C$169,0),IF(Y$171=12,Assumptions!$C$29*$E176/100,0))</f>
        <v>0</v>
      </c>
    </row>
    <row r="177" customFormat="false" ht="15" hidden="false" customHeight="false" outlineLevel="0" collapsed="false">
      <c r="B177" s="9" t="s">
        <v>52</v>
      </c>
      <c r="C177" s="28" t="n">
        <f aca="false">IF($C$14&lt;=$C$170,1,0)</f>
        <v>1</v>
      </c>
      <c r="D177" s="19" t="n">
        <f aca="false">Assumptions!$F$37</f>
        <v>11750</v>
      </c>
      <c r="E177" s="39" t="n">
        <f aca="false">PV($F177/2,(Assumptions!$C$30*4-12)/2,-Assumptions!$D$37*100/2,-100)</f>
        <v>97.2427387979842</v>
      </c>
      <c r="F177" s="17" t="n">
        <f aca="false">RATE(Assumptions!$C$30*2,Assumptions!$D$37*100/2,-Assumptions!$E$37,100)*2</f>
        <v>0.100561753609911</v>
      </c>
      <c r="G177" s="26" t="n">
        <f aca="false">SUM(I177:Y177)</f>
        <v>-3812.5</v>
      </c>
      <c r="H177" s="17" t="n">
        <f aca="false">(1+IRR(I177:Y177,IF(SUM(I177:Y177)&lt;0,-0.05,0.01)))^4-1</f>
        <v>-0.15713978929984</v>
      </c>
      <c r="I177" s="40" t="n">
        <f aca="false">IF(I$171=0,-Assumptions!$C$29*Assumptions!$E$37/100,0)+IF(AND(I$171&gt;=2,MOD(I$171,2)=0,I$171&lt;=IF($C177=1,$C$5-2,12)),Assumptions!$C$29*Assumptions!$D$37/2,0)+IF($C177=1,IF(I$171=$C$6,Assumptions!$C$29*$C$169,0),IF(I$171=12,Assumptions!$C$29*$E177/100,0))</f>
        <v>-11750</v>
      </c>
      <c r="J177" s="40" t="n">
        <f aca="false">IF(J$171=0,-Assumptions!$C$29*Assumptions!$E$37/100,0)+IF(AND(J$171&gt;=2,MOD(J$171,2)=0,J$171&lt;=IF($C177=1,$C$5-2,12)),Assumptions!$C$29*Assumptions!$D$37/2,0)+IF($C177=1,IF(J$171=$C$6,Assumptions!$C$29*$C$169,0),IF(J$171=12,Assumptions!$C$29*$E177/100,0))</f>
        <v>0</v>
      </c>
      <c r="K177" s="40" t="n">
        <f aca="false">IF(K$171=0,-Assumptions!$C$29*Assumptions!$E$37/100,0)+IF(AND(K$171&gt;=2,MOD(K$171,2)=0,K$171&lt;=IF($C177=1,$C$5-2,12)),Assumptions!$C$29*Assumptions!$D$37/2,0)+IF($C177=1,IF(K$171=$C$6,Assumptions!$C$29*$C$169,0),IF(K$171=12,Assumptions!$C$29*$E177/100,0))</f>
        <v>531.25</v>
      </c>
      <c r="L177" s="40" t="n">
        <f aca="false">IF(L$171=0,-Assumptions!$C$29*Assumptions!$E$37/100,0)+IF(AND(L$171&gt;=2,MOD(L$171,2)=0,L$171&lt;=IF($C177=1,$C$5-2,12)),Assumptions!$C$29*Assumptions!$D$37/2,0)+IF($C177=1,IF(L$171=$C$6,Assumptions!$C$29*$C$169,0),IF(L$171=12,Assumptions!$C$29*$E177/100,0))</f>
        <v>0</v>
      </c>
      <c r="M177" s="40" t="n">
        <f aca="false">IF(M$171=0,-Assumptions!$C$29*Assumptions!$E$37/100,0)+IF(AND(M$171&gt;=2,MOD(M$171,2)=0,M$171&lt;=IF($C177=1,$C$5-2,12)),Assumptions!$C$29*Assumptions!$D$37/2,0)+IF($C177=1,IF(M$171=$C$6,Assumptions!$C$29*$C$169,0),IF(M$171=12,Assumptions!$C$29*$E177/100,0))</f>
        <v>531.25</v>
      </c>
      <c r="N177" s="40" t="n">
        <f aca="false">IF(N$171=0,-Assumptions!$C$29*Assumptions!$E$37/100,0)+IF(AND(N$171&gt;=2,MOD(N$171,2)=0,N$171&lt;=IF($C177=1,$C$5-2,12)),Assumptions!$C$29*Assumptions!$D$37/2,0)+IF($C177=1,IF(N$171=$C$6,Assumptions!$C$29*$C$169,0),IF(N$171=12,Assumptions!$C$29*$E177/100,0))</f>
        <v>0</v>
      </c>
      <c r="O177" s="40" t="n">
        <f aca="false">IF(O$171=0,-Assumptions!$C$29*Assumptions!$E$37/100,0)+IF(AND(O$171&gt;=2,MOD(O$171,2)=0,O$171&lt;=IF($C177=1,$C$5-2,12)),Assumptions!$C$29*Assumptions!$D$37/2,0)+IF($C177=1,IF(O$171=$C$6,Assumptions!$C$29*$C$169,0),IF(O$171=12,Assumptions!$C$29*$E177/100,0))</f>
        <v>0</v>
      </c>
      <c r="P177" s="40" t="n">
        <f aca="false">IF(P$171=0,-Assumptions!$C$29*Assumptions!$E$37/100,0)+IF(AND(P$171&gt;=2,MOD(P$171,2)=0,P$171&lt;=IF($C177=1,$C$5-2,12)),Assumptions!$C$29*Assumptions!$D$37/2,0)+IF($C177=1,IF(P$171=$C$6,Assumptions!$C$29*$C$169,0),IF(P$171=12,Assumptions!$C$29*$E177/100,0))</f>
        <v>0</v>
      </c>
      <c r="Q177" s="40" t="n">
        <f aca="false">IF(Q$171=0,-Assumptions!$C$29*Assumptions!$E$37/100,0)+IF(AND(Q$171&gt;=2,MOD(Q$171,2)=0,Q$171&lt;=IF($C177=1,$C$5-2,12)),Assumptions!$C$29*Assumptions!$D$37/2,0)+IF($C177=1,IF(Q$171=$C$6,Assumptions!$C$29*$C$169,0),IF(Q$171=12,Assumptions!$C$29*$E177/100,0))</f>
        <v>0</v>
      </c>
      <c r="R177" s="40" t="n">
        <f aca="false">IF(R$171=0,-Assumptions!$C$29*Assumptions!$E$37/100,0)+IF(AND(R$171&gt;=2,MOD(R$171,2)=0,R$171&lt;=IF($C177=1,$C$5-2,12)),Assumptions!$C$29*Assumptions!$D$37/2,0)+IF($C177=1,IF(R$171=$C$6,Assumptions!$C$29*$C$169,0),IF(R$171=12,Assumptions!$C$29*$E177/100,0))</f>
        <v>0</v>
      </c>
      <c r="S177" s="40" t="n">
        <f aca="false">IF(S$171=0,-Assumptions!$C$29*Assumptions!$E$37/100,0)+IF(AND(S$171&gt;=2,MOD(S$171,2)=0,S$171&lt;=IF($C177=1,$C$5-2,12)),Assumptions!$C$29*Assumptions!$D$37/2,0)+IF($C177=1,IF(S$171=$C$6,Assumptions!$C$29*$C$169,0),IF(S$171=12,Assumptions!$C$29*$E177/100,0))</f>
        <v>6875</v>
      </c>
      <c r="T177" s="40" t="n">
        <f aca="false">IF(T$171=0,-Assumptions!$C$29*Assumptions!$E$37/100,0)+IF(AND(T$171&gt;=2,MOD(T$171,2)=0,T$171&lt;=IF($C177=1,$C$5-2,12)),Assumptions!$C$29*Assumptions!$D$37/2,0)+IF($C177=1,IF(T$171=$C$6,Assumptions!$C$29*$C$169,0),IF(T$171=12,Assumptions!$C$29*$E177/100,0))</f>
        <v>0</v>
      </c>
      <c r="U177" s="40" t="n">
        <f aca="false">IF(U$171=0,-Assumptions!$C$29*Assumptions!$E$37/100,0)+IF(AND(U$171&gt;=2,MOD(U$171,2)=0,U$171&lt;=IF($C177=1,$C$5-2,12)),Assumptions!$C$29*Assumptions!$D$37/2,0)+IF($C177=1,IF(U$171=$C$6,Assumptions!$C$29*$C$169,0),IF(U$171=12,Assumptions!$C$29*$E177/100,0))</f>
        <v>0</v>
      </c>
      <c r="V177" s="40" t="n">
        <f aca="false">IF(V$171=0,-Assumptions!$C$29*Assumptions!$E$37/100,0)+IF(AND(V$171&gt;=2,MOD(V$171,2)=0,V$171&lt;=IF($C177=1,$C$5-2,12)),Assumptions!$C$29*Assumptions!$D$37/2,0)+IF($C177=1,IF(V$171=$C$6,Assumptions!$C$29*$C$169,0),IF(V$171=12,Assumptions!$C$29*$E177/100,0))</f>
        <v>0</v>
      </c>
      <c r="W177" s="40" t="n">
        <f aca="false">IF(W$171=0,-Assumptions!$C$29*Assumptions!$E$37/100,0)+IF(AND(W$171&gt;=2,MOD(W$171,2)=0,W$171&lt;=IF($C177=1,$C$5-2,12)),Assumptions!$C$29*Assumptions!$D$37/2,0)+IF($C177=1,IF(W$171=$C$6,Assumptions!$C$29*$C$169,0),IF(W$171=12,Assumptions!$C$29*$E177/100,0))</f>
        <v>0</v>
      </c>
      <c r="X177" s="40" t="n">
        <f aca="false">IF(X$171=0,-Assumptions!$C$29*Assumptions!$E$37/100,0)+IF(AND(X$171&gt;=2,MOD(X$171,2)=0,X$171&lt;=IF($C177=1,$C$5-2,12)),Assumptions!$C$29*Assumptions!$D$37/2,0)+IF($C177=1,IF(X$171=$C$6,Assumptions!$C$29*$C$169,0),IF(X$171=12,Assumptions!$C$29*$E177/100,0))</f>
        <v>0</v>
      </c>
      <c r="Y177" s="40" t="n">
        <f aca="false">IF(Y$171=0,-Assumptions!$C$29*Assumptions!$E$37/100,0)+IF(AND(Y$171&gt;=2,MOD(Y$171,2)=0,Y$171&lt;=IF($C177=1,$C$5-2,12)),Assumptions!$C$29*Assumptions!$D$37/2,0)+IF($C177=1,IF(Y$171=$C$6,Assumptions!$C$29*$C$169,0),IF(Y$171=12,Assumptions!$C$29*$E177/100,0))</f>
        <v>0</v>
      </c>
    </row>
    <row r="178" customFormat="false" ht="15" hidden="false" customHeight="false" outlineLevel="0" collapsed="false">
      <c r="B178" s="29" t="s">
        <v>154</v>
      </c>
      <c r="D178" s="41" t="n">
        <f aca="false">SUM(D172:D177)</f>
        <v>73000</v>
      </c>
      <c r="G178" s="41" t="n">
        <f aca="false">SUM(I178:Y178)</f>
        <v>3110.01521044101</v>
      </c>
      <c r="H178" s="30" t="n">
        <f aca="false">(1+IRR(I178:Y178,IF(SUM(I178:Y178)&lt;0,-0.05,0.01)))^4-1</f>
        <v>0.0157481690831436</v>
      </c>
      <c r="I178" s="42" t="n">
        <f aca="false">SUM(I172:I177)</f>
        <v>-73000</v>
      </c>
      <c r="J178" s="42" t="n">
        <f aca="false">SUM(J172:J177)</f>
        <v>0</v>
      </c>
      <c r="K178" s="42" t="n">
        <f aca="false">SUM(K172:K177)</f>
        <v>2812.5</v>
      </c>
      <c r="L178" s="42" t="n">
        <f aca="false">SUM(L172:L177)</f>
        <v>0</v>
      </c>
      <c r="M178" s="42" t="n">
        <f aca="false">SUM(M172:M177)</f>
        <v>2812.5</v>
      </c>
      <c r="N178" s="42" t="n">
        <f aca="false">SUM(N172:N177)</f>
        <v>0</v>
      </c>
      <c r="O178" s="42" t="n">
        <f aca="false">SUM(O172:O177)</f>
        <v>1781.25</v>
      </c>
      <c r="P178" s="42" t="n">
        <f aca="false">SUM(P172:P177)</f>
        <v>0</v>
      </c>
      <c r="Q178" s="42" t="n">
        <f aca="false">SUM(Q172:Q177)</f>
        <v>1781.25</v>
      </c>
      <c r="R178" s="42" t="n">
        <f aca="false">SUM(R172:R177)</f>
        <v>0</v>
      </c>
      <c r="S178" s="42" t="n">
        <f aca="false">SUM(S172:S177)</f>
        <v>15531.25</v>
      </c>
      <c r="T178" s="42" t="n">
        <f aca="false">SUM(T172:T177)</f>
        <v>0</v>
      </c>
      <c r="U178" s="42" t="n">
        <f aca="false">SUM(U172:U177)</f>
        <v>51391.265210441</v>
      </c>
      <c r="V178" s="42" t="n">
        <f aca="false">SUM(V172:V177)</f>
        <v>0</v>
      </c>
      <c r="W178" s="42" t="n">
        <f aca="false">SUM(W172:W177)</f>
        <v>0</v>
      </c>
      <c r="X178" s="42" t="n">
        <f aca="false">SUM(X172:X177)</f>
        <v>0</v>
      </c>
      <c r="Y178" s="42" t="n">
        <f aca="false">SUM(Y172:Y177)</f>
        <v>0</v>
      </c>
    </row>
    <row r="180" customFormat="false" ht="15" hidden="false" customHeight="false" outlineLevel="0" collapsed="false">
      <c r="B180" s="7" t="s">
        <v>167</v>
      </c>
      <c r="C180" s="8"/>
      <c r="D180" s="8"/>
      <c r="E180" s="8"/>
      <c r="F180" s="8"/>
      <c r="G180" s="8"/>
      <c r="H180" s="8"/>
      <c r="I180" s="8"/>
      <c r="J180" s="8"/>
      <c r="K180" s="8"/>
      <c r="L180" s="8"/>
      <c r="M180" s="8"/>
      <c r="N180" s="8"/>
      <c r="O180" s="8"/>
      <c r="P180" s="8"/>
      <c r="Q180" s="8"/>
      <c r="R180" s="8"/>
      <c r="S180" s="8"/>
      <c r="T180" s="8"/>
      <c r="U180" s="8"/>
      <c r="V180" s="8"/>
      <c r="W180" s="8"/>
      <c r="X180" s="8"/>
      <c r="Y180" s="8"/>
    </row>
    <row r="181" customFormat="false" ht="15" hidden="false" customHeight="false" outlineLevel="0" collapsed="false">
      <c r="B181" s="9" t="s">
        <v>117</v>
      </c>
      <c r="C181" s="22" t="n">
        <f aca="false">$B$20</f>
        <v>0.55</v>
      </c>
    </row>
    <row r="182" customFormat="false" ht="15" hidden="false" customHeight="false" outlineLevel="0" collapsed="false">
      <c r="B182" s="9" t="s">
        <v>148</v>
      </c>
      <c r="C182" s="28" t="n">
        <f aca="false">F$17</f>
        <v>3</v>
      </c>
    </row>
    <row r="183" customFormat="false" ht="30" hidden="false" customHeight="true" outlineLevel="0" collapsed="false">
      <c r="B183" s="13" t="s">
        <v>32</v>
      </c>
      <c r="C183" s="14" t="s">
        <v>149</v>
      </c>
      <c r="D183" s="14" t="s">
        <v>46</v>
      </c>
      <c r="E183" s="14" t="s">
        <v>150</v>
      </c>
      <c r="F183" s="14" t="s">
        <v>151</v>
      </c>
      <c r="G183" s="14" t="s">
        <v>152</v>
      </c>
      <c r="H183" s="14" t="s">
        <v>153</v>
      </c>
      <c r="I183" s="38" t="n">
        <v>0</v>
      </c>
      <c r="J183" s="38" t="n">
        <v>1</v>
      </c>
      <c r="K183" s="38" t="n">
        <v>2</v>
      </c>
      <c r="L183" s="38" t="n">
        <v>3</v>
      </c>
      <c r="M183" s="38" t="n">
        <v>4</v>
      </c>
      <c r="N183" s="38" t="n">
        <v>5</v>
      </c>
      <c r="O183" s="38" t="n">
        <v>6</v>
      </c>
      <c r="P183" s="38" t="n">
        <v>7</v>
      </c>
      <c r="Q183" s="38" t="n">
        <v>8</v>
      </c>
      <c r="R183" s="38" t="n">
        <v>9</v>
      </c>
      <c r="S183" s="38" t="n">
        <v>10</v>
      </c>
      <c r="T183" s="38" t="n">
        <v>11</v>
      </c>
      <c r="U183" s="38" t="n">
        <v>12</v>
      </c>
      <c r="V183" s="38" t="n">
        <v>13</v>
      </c>
      <c r="W183" s="38" t="n">
        <v>14</v>
      </c>
      <c r="X183" s="38" t="n">
        <v>15</v>
      </c>
      <c r="Y183" s="38" t="n">
        <v>16</v>
      </c>
    </row>
    <row r="184" customFormat="false" ht="15" hidden="false" customHeight="false" outlineLevel="0" collapsed="false">
      <c r="B184" s="9" t="s">
        <v>47</v>
      </c>
      <c r="C184" s="28" t="n">
        <f aca="false">IF($C$9&lt;=$C$182,1,0)</f>
        <v>0</v>
      </c>
      <c r="D184" s="19" t="n">
        <f aca="false">Assumptions!$F$32</f>
        <v>12375</v>
      </c>
      <c r="E184" s="39" t="n">
        <f aca="false">PV($F184/2,(Assumptions!$C$30*4-12)/2,-Assumptions!$D$32*100/2,-100)</f>
        <v>99.5584003138178</v>
      </c>
      <c r="F184" s="17" t="n">
        <f aca="false">RATE(Assumptions!$C$30*2,Assumptions!$D$32*100/2,-Assumptions!$E$32,100)*2</f>
        <v>0.0699042470751673</v>
      </c>
      <c r="G184" s="26" t="n">
        <f aca="false">SUM(I184:Y184)</f>
        <v>2601.05003922723</v>
      </c>
      <c r="H184" s="17" t="n">
        <f aca="false">(1+IRR(I184:Y184,IF(SUM(I184:Y184)&lt;0,-0.05,0.01)))^4-1</f>
        <v>0.0711258980149541</v>
      </c>
      <c r="I184" s="40" t="n">
        <f aca="false">IF(I$183=0,-Assumptions!$C$29*Assumptions!$E$32/100,0)+IF(AND(I$183&gt;=2,MOD(I$183,2)=0,I$183&lt;=IF($C184=1,$C$5-2,12)),Assumptions!$C$29*Assumptions!$D$32/2,0)+IF($C184=1,IF(I$183=$C$6,Assumptions!$C$29*$C$181,0),IF(I$183=12,Assumptions!$C$29*$E184/100,0))</f>
        <v>-12375</v>
      </c>
      <c r="J184" s="40" t="n">
        <f aca="false">IF(J$183=0,-Assumptions!$C$29*Assumptions!$E$32/100,0)+IF(AND(J$183&gt;=2,MOD(J$183,2)=0,J$183&lt;=IF($C184=1,$C$5-2,12)),Assumptions!$C$29*Assumptions!$D$32/2,0)+IF($C184=1,IF(J$183=$C$6,Assumptions!$C$29*$C$181,0),IF(J$183=12,Assumptions!$C$29*$E184/100,0))</f>
        <v>0</v>
      </c>
      <c r="K184" s="40" t="n">
        <f aca="false">IF(K$183=0,-Assumptions!$C$29*Assumptions!$E$32/100,0)+IF(AND(K$183&gt;=2,MOD(K$183,2)=0,K$183&lt;=IF($C184=1,$C$5-2,12)),Assumptions!$C$29*Assumptions!$D$32/2,0)+IF($C184=1,IF(K$183=$C$6,Assumptions!$C$29*$C$181,0),IF(K$183=12,Assumptions!$C$29*$E184/100,0))</f>
        <v>421.875</v>
      </c>
      <c r="L184" s="40" t="n">
        <f aca="false">IF(L$183=0,-Assumptions!$C$29*Assumptions!$E$32/100,0)+IF(AND(L$183&gt;=2,MOD(L$183,2)=0,L$183&lt;=IF($C184=1,$C$5-2,12)),Assumptions!$C$29*Assumptions!$D$32/2,0)+IF($C184=1,IF(L$183=$C$6,Assumptions!$C$29*$C$181,0),IF(L$183=12,Assumptions!$C$29*$E184/100,0))</f>
        <v>0</v>
      </c>
      <c r="M184" s="40" t="n">
        <f aca="false">IF(M$183=0,-Assumptions!$C$29*Assumptions!$E$32/100,0)+IF(AND(M$183&gt;=2,MOD(M$183,2)=0,M$183&lt;=IF($C184=1,$C$5-2,12)),Assumptions!$C$29*Assumptions!$D$32/2,0)+IF($C184=1,IF(M$183=$C$6,Assumptions!$C$29*$C$181,0),IF(M$183=12,Assumptions!$C$29*$E184/100,0))</f>
        <v>421.875</v>
      </c>
      <c r="N184" s="40" t="n">
        <f aca="false">IF(N$183=0,-Assumptions!$C$29*Assumptions!$E$32/100,0)+IF(AND(N$183&gt;=2,MOD(N$183,2)=0,N$183&lt;=IF($C184=1,$C$5-2,12)),Assumptions!$C$29*Assumptions!$D$32/2,0)+IF($C184=1,IF(N$183=$C$6,Assumptions!$C$29*$C$181,0),IF(N$183=12,Assumptions!$C$29*$E184/100,0))</f>
        <v>0</v>
      </c>
      <c r="O184" s="40" t="n">
        <f aca="false">IF(O$183=0,-Assumptions!$C$29*Assumptions!$E$32/100,0)+IF(AND(O$183&gt;=2,MOD(O$183,2)=0,O$183&lt;=IF($C184=1,$C$5-2,12)),Assumptions!$C$29*Assumptions!$D$32/2,0)+IF($C184=1,IF(O$183=$C$6,Assumptions!$C$29*$C$181,0),IF(O$183=12,Assumptions!$C$29*$E184/100,0))</f>
        <v>421.875</v>
      </c>
      <c r="P184" s="40" t="n">
        <f aca="false">IF(P$183=0,-Assumptions!$C$29*Assumptions!$E$32/100,0)+IF(AND(P$183&gt;=2,MOD(P$183,2)=0,P$183&lt;=IF($C184=1,$C$5-2,12)),Assumptions!$C$29*Assumptions!$D$32/2,0)+IF($C184=1,IF(P$183=$C$6,Assumptions!$C$29*$C$181,0),IF(P$183=12,Assumptions!$C$29*$E184/100,0))</f>
        <v>0</v>
      </c>
      <c r="Q184" s="40" t="n">
        <f aca="false">IF(Q$183=0,-Assumptions!$C$29*Assumptions!$E$32/100,0)+IF(AND(Q$183&gt;=2,MOD(Q$183,2)=0,Q$183&lt;=IF($C184=1,$C$5-2,12)),Assumptions!$C$29*Assumptions!$D$32/2,0)+IF($C184=1,IF(Q$183=$C$6,Assumptions!$C$29*$C$181,0),IF(Q$183=12,Assumptions!$C$29*$E184/100,0))</f>
        <v>421.875</v>
      </c>
      <c r="R184" s="40" t="n">
        <f aca="false">IF(R$183=0,-Assumptions!$C$29*Assumptions!$E$32/100,0)+IF(AND(R$183&gt;=2,MOD(R$183,2)=0,R$183&lt;=IF($C184=1,$C$5-2,12)),Assumptions!$C$29*Assumptions!$D$32/2,0)+IF($C184=1,IF(R$183=$C$6,Assumptions!$C$29*$C$181,0),IF(R$183=12,Assumptions!$C$29*$E184/100,0))</f>
        <v>0</v>
      </c>
      <c r="S184" s="40" t="n">
        <f aca="false">IF(S$183=0,-Assumptions!$C$29*Assumptions!$E$32/100,0)+IF(AND(S$183&gt;=2,MOD(S$183,2)=0,S$183&lt;=IF($C184=1,$C$5-2,12)),Assumptions!$C$29*Assumptions!$D$32/2,0)+IF($C184=1,IF(S$183=$C$6,Assumptions!$C$29*$C$181,0),IF(S$183=12,Assumptions!$C$29*$E184/100,0))</f>
        <v>421.875</v>
      </c>
      <c r="T184" s="40" t="n">
        <f aca="false">IF(T$183=0,-Assumptions!$C$29*Assumptions!$E$32/100,0)+IF(AND(T$183&gt;=2,MOD(T$183,2)=0,T$183&lt;=IF($C184=1,$C$5-2,12)),Assumptions!$C$29*Assumptions!$D$32/2,0)+IF($C184=1,IF(T$183=$C$6,Assumptions!$C$29*$C$181,0),IF(T$183=12,Assumptions!$C$29*$E184/100,0))</f>
        <v>0</v>
      </c>
      <c r="U184" s="40" t="n">
        <f aca="false">IF(U$183=0,-Assumptions!$C$29*Assumptions!$E$32/100,0)+IF(AND(U$183&gt;=2,MOD(U$183,2)=0,U$183&lt;=IF($C184=1,$C$5-2,12)),Assumptions!$C$29*Assumptions!$D$32/2,0)+IF($C184=1,IF(U$183=$C$6,Assumptions!$C$29*$C$181,0),IF(U$183=12,Assumptions!$C$29*$E184/100,0))</f>
        <v>12866.6750392272</v>
      </c>
      <c r="V184" s="40" t="n">
        <f aca="false">IF(V$183=0,-Assumptions!$C$29*Assumptions!$E$32/100,0)+IF(AND(V$183&gt;=2,MOD(V$183,2)=0,V$183&lt;=IF($C184=1,$C$5-2,12)),Assumptions!$C$29*Assumptions!$D$32/2,0)+IF($C184=1,IF(V$183=$C$6,Assumptions!$C$29*$C$181,0),IF(V$183=12,Assumptions!$C$29*$E184/100,0))</f>
        <v>0</v>
      </c>
      <c r="W184" s="40" t="n">
        <f aca="false">IF(W$183=0,-Assumptions!$C$29*Assumptions!$E$32/100,0)+IF(AND(W$183&gt;=2,MOD(W$183,2)=0,W$183&lt;=IF($C184=1,$C$5-2,12)),Assumptions!$C$29*Assumptions!$D$32/2,0)+IF($C184=1,IF(W$183=$C$6,Assumptions!$C$29*$C$181,0),IF(W$183=12,Assumptions!$C$29*$E184/100,0))</f>
        <v>0</v>
      </c>
      <c r="X184" s="40" t="n">
        <f aca="false">IF(X$183=0,-Assumptions!$C$29*Assumptions!$E$32/100,0)+IF(AND(X$183&gt;=2,MOD(X$183,2)=0,X$183&lt;=IF($C184=1,$C$5-2,12)),Assumptions!$C$29*Assumptions!$D$32/2,0)+IF($C184=1,IF(X$183=$C$6,Assumptions!$C$29*$C$181,0),IF(X$183=12,Assumptions!$C$29*$E184/100,0))</f>
        <v>0</v>
      </c>
      <c r="Y184" s="40" t="n">
        <f aca="false">IF(Y$183=0,-Assumptions!$C$29*Assumptions!$E$32/100,0)+IF(AND(Y$183&gt;=2,MOD(Y$183,2)=0,Y$183&lt;=IF($C184=1,$C$5-2,12)),Assumptions!$C$29*Assumptions!$D$32/2,0)+IF($C184=1,IF(Y$183=$C$6,Assumptions!$C$29*$C$181,0),IF(Y$183=12,Assumptions!$C$29*$E184/100,0))</f>
        <v>0</v>
      </c>
    </row>
    <row r="185" customFormat="false" ht="15" hidden="false" customHeight="false" outlineLevel="0" collapsed="false">
      <c r="B185" s="9" t="s">
        <v>48</v>
      </c>
      <c r="C185" s="28" t="n">
        <f aca="false">IF($C$10&lt;=$C$182,1,0)</f>
        <v>0</v>
      </c>
      <c r="D185" s="19" t="n">
        <f aca="false">Assumptions!$F$33</f>
        <v>12312.5</v>
      </c>
      <c r="E185" s="39" t="n">
        <f aca="false">PV($F185/2,(Assumptions!$C$30*4-12)/2,-Assumptions!$D$33*100/2,-100)</f>
        <v>99.3343027458663</v>
      </c>
      <c r="F185" s="17" t="n">
        <f aca="false">RATE(Assumptions!$C$30*2,Assumptions!$D$33*100/2,-Assumptions!$E$33,100)*2</f>
        <v>0.0736404123832243</v>
      </c>
      <c r="G185" s="26" t="n">
        <f aca="false">SUM(I185:Y185)</f>
        <v>2729.28784323328</v>
      </c>
      <c r="H185" s="17" t="n">
        <f aca="false">(1+IRR(I185:Y185,IF(SUM(I185:Y185)&lt;0,-0.05,0.01)))^4-1</f>
        <v>0.0749961399672177</v>
      </c>
      <c r="I185" s="40" t="n">
        <f aca="false">IF(I$183=0,-Assumptions!$C$29*Assumptions!$E$33/100,0)+IF(AND(I$183&gt;=2,MOD(I$183,2)=0,I$183&lt;=IF($C185=1,$C$5-2,12)),Assumptions!$C$29*Assumptions!$D$33/2,0)+IF($C185=1,IF(I$183=$C$6,Assumptions!$C$29*$C$181,0),IF(I$183=12,Assumptions!$C$29*$E185/100,0))</f>
        <v>-12312.5</v>
      </c>
      <c r="J185" s="40" t="n">
        <f aca="false">IF(J$183=0,-Assumptions!$C$29*Assumptions!$E$33/100,0)+IF(AND(J$183&gt;=2,MOD(J$183,2)=0,J$183&lt;=IF($C185=1,$C$5-2,12)),Assumptions!$C$29*Assumptions!$D$33/2,0)+IF($C185=1,IF(J$183=$C$6,Assumptions!$C$29*$C$181,0),IF(J$183=12,Assumptions!$C$29*$E185/100,0))</f>
        <v>0</v>
      </c>
      <c r="K185" s="40" t="n">
        <f aca="false">IF(K$183=0,-Assumptions!$C$29*Assumptions!$E$33/100,0)+IF(AND(K$183&gt;=2,MOD(K$183,2)=0,K$183&lt;=IF($C185=1,$C$5-2,12)),Assumptions!$C$29*Assumptions!$D$33/2,0)+IF($C185=1,IF(K$183=$C$6,Assumptions!$C$29*$C$181,0),IF(K$183=12,Assumptions!$C$29*$E185/100,0))</f>
        <v>437.5</v>
      </c>
      <c r="L185" s="40" t="n">
        <f aca="false">IF(L$183=0,-Assumptions!$C$29*Assumptions!$E$33/100,0)+IF(AND(L$183&gt;=2,MOD(L$183,2)=0,L$183&lt;=IF($C185=1,$C$5-2,12)),Assumptions!$C$29*Assumptions!$D$33/2,0)+IF($C185=1,IF(L$183=$C$6,Assumptions!$C$29*$C$181,0),IF(L$183=12,Assumptions!$C$29*$E185/100,0))</f>
        <v>0</v>
      </c>
      <c r="M185" s="40" t="n">
        <f aca="false">IF(M$183=0,-Assumptions!$C$29*Assumptions!$E$33/100,0)+IF(AND(M$183&gt;=2,MOD(M$183,2)=0,M$183&lt;=IF($C185=1,$C$5-2,12)),Assumptions!$C$29*Assumptions!$D$33/2,0)+IF($C185=1,IF(M$183=$C$6,Assumptions!$C$29*$C$181,0),IF(M$183=12,Assumptions!$C$29*$E185/100,0))</f>
        <v>437.5</v>
      </c>
      <c r="N185" s="40" t="n">
        <f aca="false">IF(N$183=0,-Assumptions!$C$29*Assumptions!$E$33/100,0)+IF(AND(N$183&gt;=2,MOD(N$183,2)=0,N$183&lt;=IF($C185=1,$C$5-2,12)),Assumptions!$C$29*Assumptions!$D$33/2,0)+IF($C185=1,IF(N$183=$C$6,Assumptions!$C$29*$C$181,0),IF(N$183=12,Assumptions!$C$29*$E185/100,0))</f>
        <v>0</v>
      </c>
      <c r="O185" s="40" t="n">
        <f aca="false">IF(O$183=0,-Assumptions!$C$29*Assumptions!$E$33/100,0)+IF(AND(O$183&gt;=2,MOD(O$183,2)=0,O$183&lt;=IF($C185=1,$C$5-2,12)),Assumptions!$C$29*Assumptions!$D$33/2,0)+IF($C185=1,IF(O$183=$C$6,Assumptions!$C$29*$C$181,0),IF(O$183=12,Assumptions!$C$29*$E185/100,0))</f>
        <v>437.5</v>
      </c>
      <c r="P185" s="40" t="n">
        <f aca="false">IF(P$183=0,-Assumptions!$C$29*Assumptions!$E$33/100,0)+IF(AND(P$183&gt;=2,MOD(P$183,2)=0,P$183&lt;=IF($C185=1,$C$5-2,12)),Assumptions!$C$29*Assumptions!$D$33/2,0)+IF($C185=1,IF(P$183=$C$6,Assumptions!$C$29*$C$181,0),IF(P$183=12,Assumptions!$C$29*$E185/100,0))</f>
        <v>0</v>
      </c>
      <c r="Q185" s="40" t="n">
        <f aca="false">IF(Q$183=0,-Assumptions!$C$29*Assumptions!$E$33/100,0)+IF(AND(Q$183&gt;=2,MOD(Q$183,2)=0,Q$183&lt;=IF($C185=1,$C$5-2,12)),Assumptions!$C$29*Assumptions!$D$33/2,0)+IF($C185=1,IF(Q$183=$C$6,Assumptions!$C$29*$C$181,0),IF(Q$183=12,Assumptions!$C$29*$E185/100,0))</f>
        <v>437.5</v>
      </c>
      <c r="R185" s="40" t="n">
        <f aca="false">IF(R$183=0,-Assumptions!$C$29*Assumptions!$E$33/100,0)+IF(AND(R$183&gt;=2,MOD(R$183,2)=0,R$183&lt;=IF($C185=1,$C$5-2,12)),Assumptions!$C$29*Assumptions!$D$33/2,0)+IF($C185=1,IF(R$183=$C$6,Assumptions!$C$29*$C$181,0),IF(R$183=12,Assumptions!$C$29*$E185/100,0))</f>
        <v>0</v>
      </c>
      <c r="S185" s="40" t="n">
        <f aca="false">IF(S$183=0,-Assumptions!$C$29*Assumptions!$E$33/100,0)+IF(AND(S$183&gt;=2,MOD(S$183,2)=0,S$183&lt;=IF($C185=1,$C$5-2,12)),Assumptions!$C$29*Assumptions!$D$33/2,0)+IF($C185=1,IF(S$183=$C$6,Assumptions!$C$29*$C$181,0),IF(S$183=12,Assumptions!$C$29*$E185/100,0))</f>
        <v>437.5</v>
      </c>
      <c r="T185" s="40" t="n">
        <f aca="false">IF(T$183=0,-Assumptions!$C$29*Assumptions!$E$33/100,0)+IF(AND(T$183&gt;=2,MOD(T$183,2)=0,T$183&lt;=IF($C185=1,$C$5-2,12)),Assumptions!$C$29*Assumptions!$D$33/2,0)+IF($C185=1,IF(T$183=$C$6,Assumptions!$C$29*$C$181,0),IF(T$183=12,Assumptions!$C$29*$E185/100,0))</f>
        <v>0</v>
      </c>
      <c r="U185" s="40" t="n">
        <f aca="false">IF(U$183=0,-Assumptions!$C$29*Assumptions!$E$33/100,0)+IF(AND(U$183&gt;=2,MOD(U$183,2)=0,U$183&lt;=IF($C185=1,$C$5-2,12)),Assumptions!$C$29*Assumptions!$D$33/2,0)+IF($C185=1,IF(U$183=$C$6,Assumptions!$C$29*$C$181,0),IF(U$183=12,Assumptions!$C$29*$E185/100,0))</f>
        <v>12854.2878432333</v>
      </c>
      <c r="V185" s="40" t="n">
        <f aca="false">IF(V$183=0,-Assumptions!$C$29*Assumptions!$E$33/100,0)+IF(AND(V$183&gt;=2,MOD(V$183,2)=0,V$183&lt;=IF($C185=1,$C$5-2,12)),Assumptions!$C$29*Assumptions!$D$33/2,0)+IF($C185=1,IF(V$183=$C$6,Assumptions!$C$29*$C$181,0),IF(V$183=12,Assumptions!$C$29*$E185/100,0))</f>
        <v>0</v>
      </c>
      <c r="W185" s="40" t="n">
        <f aca="false">IF(W$183=0,-Assumptions!$C$29*Assumptions!$E$33/100,0)+IF(AND(W$183&gt;=2,MOD(W$183,2)=0,W$183&lt;=IF($C185=1,$C$5-2,12)),Assumptions!$C$29*Assumptions!$D$33/2,0)+IF($C185=1,IF(W$183=$C$6,Assumptions!$C$29*$C$181,0),IF(W$183=12,Assumptions!$C$29*$E185/100,0))</f>
        <v>0</v>
      </c>
      <c r="X185" s="40" t="n">
        <f aca="false">IF(X$183=0,-Assumptions!$C$29*Assumptions!$E$33/100,0)+IF(AND(X$183&gt;=2,MOD(X$183,2)=0,X$183&lt;=IF($C185=1,$C$5-2,12)),Assumptions!$C$29*Assumptions!$D$33/2,0)+IF($C185=1,IF(X$183=$C$6,Assumptions!$C$29*$C$181,0),IF(X$183=12,Assumptions!$C$29*$E185/100,0))</f>
        <v>0</v>
      </c>
      <c r="Y185" s="40" t="n">
        <f aca="false">IF(Y$183=0,-Assumptions!$C$29*Assumptions!$E$33/100,0)+IF(AND(Y$183&gt;=2,MOD(Y$183,2)=0,Y$183&lt;=IF($C185=1,$C$5-2,12)),Assumptions!$C$29*Assumptions!$D$33/2,0)+IF($C185=1,IF(Y$183=$C$6,Assumptions!$C$29*$C$181,0),IF(Y$183=12,Assumptions!$C$29*$E185/100,0))</f>
        <v>0</v>
      </c>
    </row>
    <row r="186" customFormat="false" ht="15" hidden="false" customHeight="false" outlineLevel="0" collapsed="false">
      <c r="B186" s="9" t="s">
        <v>49</v>
      </c>
      <c r="C186" s="28" t="n">
        <f aca="false">IF($C$11&lt;=$C$182,1,0)</f>
        <v>0</v>
      </c>
      <c r="D186" s="19" t="n">
        <f aca="false">Assumptions!$F$34</f>
        <v>12250</v>
      </c>
      <c r="E186" s="39" t="n">
        <f aca="false">PV($F186/2,(Assumptions!$C$30*4-12)/2,-Assumptions!$D$34*100/2,-100)</f>
        <v>99.1079856396595</v>
      </c>
      <c r="F186" s="17" t="n">
        <f aca="false">RATE(Assumptions!$C$30*2,Assumptions!$D$34*100/2,-Assumptions!$E$34,100)*2</f>
        <v>0.0773997713205988</v>
      </c>
      <c r="G186" s="26" t="n">
        <f aca="false">SUM(I186:Y186)</f>
        <v>2857.24820495744</v>
      </c>
      <c r="H186" s="17" t="n">
        <f aca="false">(1+IRR(I186:Y186,IF(SUM(I186:Y186)&lt;0,-0.05,0.01)))^4-1</f>
        <v>0.0788974524707193</v>
      </c>
      <c r="I186" s="40" t="n">
        <f aca="false">IF(I$183=0,-Assumptions!$C$29*Assumptions!$E$34/100,0)+IF(AND(I$183&gt;=2,MOD(I$183,2)=0,I$183&lt;=IF($C186=1,$C$5-2,12)),Assumptions!$C$29*Assumptions!$D$34/2,0)+IF($C186=1,IF(I$183=$C$6,Assumptions!$C$29*$C$181,0),IF(I$183=12,Assumptions!$C$29*$E186/100,0))</f>
        <v>-12250</v>
      </c>
      <c r="J186" s="40" t="n">
        <f aca="false">IF(J$183=0,-Assumptions!$C$29*Assumptions!$E$34/100,0)+IF(AND(J$183&gt;=2,MOD(J$183,2)=0,J$183&lt;=IF($C186=1,$C$5-2,12)),Assumptions!$C$29*Assumptions!$D$34/2,0)+IF($C186=1,IF(J$183=$C$6,Assumptions!$C$29*$C$181,0),IF(J$183=12,Assumptions!$C$29*$E186/100,0))</f>
        <v>0</v>
      </c>
      <c r="K186" s="40" t="n">
        <f aca="false">IF(K$183=0,-Assumptions!$C$29*Assumptions!$E$34/100,0)+IF(AND(K$183&gt;=2,MOD(K$183,2)=0,K$183&lt;=IF($C186=1,$C$5-2,12)),Assumptions!$C$29*Assumptions!$D$34/2,0)+IF($C186=1,IF(K$183=$C$6,Assumptions!$C$29*$C$181,0),IF(K$183=12,Assumptions!$C$29*$E186/100,0))</f>
        <v>453.125</v>
      </c>
      <c r="L186" s="40" t="n">
        <f aca="false">IF(L$183=0,-Assumptions!$C$29*Assumptions!$E$34/100,0)+IF(AND(L$183&gt;=2,MOD(L$183,2)=0,L$183&lt;=IF($C186=1,$C$5-2,12)),Assumptions!$C$29*Assumptions!$D$34/2,0)+IF($C186=1,IF(L$183=$C$6,Assumptions!$C$29*$C$181,0),IF(L$183=12,Assumptions!$C$29*$E186/100,0))</f>
        <v>0</v>
      </c>
      <c r="M186" s="40" t="n">
        <f aca="false">IF(M$183=0,-Assumptions!$C$29*Assumptions!$E$34/100,0)+IF(AND(M$183&gt;=2,MOD(M$183,2)=0,M$183&lt;=IF($C186=1,$C$5-2,12)),Assumptions!$C$29*Assumptions!$D$34/2,0)+IF($C186=1,IF(M$183=$C$6,Assumptions!$C$29*$C$181,0),IF(M$183=12,Assumptions!$C$29*$E186/100,0))</f>
        <v>453.125</v>
      </c>
      <c r="N186" s="40" t="n">
        <f aca="false">IF(N$183=0,-Assumptions!$C$29*Assumptions!$E$34/100,0)+IF(AND(N$183&gt;=2,MOD(N$183,2)=0,N$183&lt;=IF($C186=1,$C$5-2,12)),Assumptions!$C$29*Assumptions!$D$34/2,0)+IF($C186=1,IF(N$183=$C$6,Assumptions!$C$29*$C$181,0),IF(N$183=12,Assumptions!$C$29*$E186/100,0))</f>
        <v>0</v>
      </c>
      <c r="O186" s="40" t="n">
        <f aca="false">IF(O$183=0,-Assumptions!$C$29*Assumptions!$E$34/100,0)+IF(AND(O$183&gt;=2,MOD(O$183,2)=0,O$183&lt;=IF($C186=1,$C$5-2,12)),Assumptions!$C$29*Assumptions!$D$34/2,0)+IF($C186=1,IF(O$183=$C$6,Assumptions!$C$29*$C$181,0),IF(O$183=12,Assumptions!$C$29*$E186/100,0))</f>
        <v>453.125</v>
      </c>
      <c r="P186" s="40" t="n">
        <f aca="false">IF(P$183=0,-Assumptions!$C$29*Assumptions!$E$34/100,0)+IF(AND(P$183&gt;=2,MOD(P$183,2)=0,P$183&lt;=IF($C186=1,$C$5-2,12)),Assumptions!$C$29*Assumptions!$D$34/2,0)+IF($C186=1,IF(P$183=$C$6,Assumptions!$C$29*$C$181,0),IF(P$183=12,Assumptions!$C$29*$E186/100,0))</f>
        <v>0</v>
      </c>
      <c r="Q186" s="40" t="n">
        <f aca="false">IF(Q$183=0,-Assumptions!$C$29*Assumptions!$E$34/100,0)+IF(AND(Q$183&gt;=2,MOD(Q$183,2)=0,Q$183&lt;=IF($C186=1,$C$5-2,12)),Assumptions!$C$29*Assumptions!$D$34/2,0)+IF($C186=1,IF(Q$183=$C$6,Assumptions!$C$29*$C$181,0),IF(Q$183=12,Assumptions!$C$29*$E186/100,0))</f>
        <v>453.125</v>
      </c>
      <c r="R186" s="40" t="n">
        <f aca="false">IF(R$183=0,-Assumptions!$C$29*Assumptions!$E$34/100,0)+IF(AND(R$183&gt;=2,MOD(R$183,2)=0,R$183&lt;=IF($C186=1,$C$5-2,12)),Assumptions!$C$29*Assumptions!$D$34/2,0)+IF($C186=1,IF(R$183=$C$6,Assumptions!$C$29*$C$181,0),IF(R$183=12,Assumptions!$C$29*$E186/100,0))</f>
        <v>0</v>
      </c>
      <c r="S186" s="40" t="n">
        <f aca="false">IF(S$183=0,-Assumptions!$C$29*Assumptions!$E$34/100,0)+IF(AND(S$183&gt;=2,MOD(S$183,2)=0,S$183&lt;=IF($C186=1,$C$5-2,12)),Assumptions!$C$29*Assumptions!$D$34/2,0)+IF($C186=1,IF(S$183=$C$6,Assumptions!$C$29*$C$181,0),IF(S$183=12,Assumptions!$C$29*$E186/100,0))</f>
        <v>453.125</v>
      </c>
      <c r="T186" s="40" t="n">
        <f aca="false">IF(T$183=0,-Assumptions!$C$29*Assumptions!$E$34/100,0)+IF(AND(T$183&gt;=2,MOD(T$183,2)=0,T$183&lt;=IF($C186=1,$C$5-2,12)),Assumptions!$C$29*Assumptions!$D$34/2,0)+IF($C186=1,IF(T$183=$C$6,Assumptions!$C$29*$C$181,0),IF(T$183=12,Assumptions!$C$29*$E186/100,0))</f>
        <v>0</v>
      </c>
      <c r="U186" s="40" t="n">
        <f aca="false">IF(U$183=0,-Assumptions!$C$29*Assumptions!$E$34/100,0)+IF(AND(U$183&gt;=2,MOD(U$183,2)=0,U$183&lt;=IF($C186=1,$C$5-2,12)),Assumptions!$C$29*Assumptions!$D$34/2,0)+IF($C186=1,IF(U$183=$C$6,Assumptions!$C$29*$C$181,0),IF(U$183=12,Assumptions!$C$29*$E186/100,0))</f>
        <v>12841.6232049574</v>
      </c>
      <c r="V186" s="40" t="n">
        <f aca="false">IF(V$183=0,-Assumptions!$C$29*Assumptions!$E$34/100,0)+IF(AND(V$183&gt;=2,MOD(V$183,2)=0,V$183&lt;=IF($C186=1,$C$5-2,12)),Assumptions!$C$29*Assumptions!$D$34/2,0)+IF($C186=1,IF(V$183=$C$6,Assumptions!$C$29*$C$181,0),IF(V$183=12,Assumptions!$C$29*$E186/100,0))</f>
        <v>0</v>
      </c>
      <c r="W186" s="40" t="n">
        <f aca="false">IF(W$183=0,-Assumptions!$C$29*Assumptions!$E$34/100,0)+IF(AND(W$183&gt;=2,MOD(W$183,2)=0,W$183&lt;=IF($C186=1,$C$5-2,12)),Assumptions!$C$29*Assumptions!$D$34/2,0)+IF($C186=1,IF(W$183=$C$6,Assumptions!$C$29*$C$181,0),IF(W$183=12,Assumptions!$C$29*$E186/100,0))</f>
        <v>0</v>
      </c>
      <c r="X186" s="40" t="n">
        <f aca="false">IF(X$183=0,-Assumptions!$C$29*Assumptions!$E$34/100,0)+IF(AND(X$183&gt;=2,MOD(X$183,2)=0,X$183&lt;=IF($C186=1,$C$5-2,12)),Assumptions!$C$29*Assumptions!$D$34/2,0)+IF($C186=1,IF(X$183=$C$6,Assumptions!$C$29*$C$181,0),IF(X$183=12,Assumptions!$C$29*$E186/100,0))</f>
        <v>0</v>
      </c>
      <c r="Y186" s="40" t="n">
        <f aca="false">IF(Y$183=0,-Assumptions!$C$29*Assumptions!$E$34/100,0)+IF(AND(Y$183&gt;=2,MOD(Y$183,2)=0,Y$183&lt;=IF($C186=1,$C$5-2,12)),Assumptions!$C$29*Assumptions!$D$34/2,0)+IF($C186=1,IF(Y$183=$C$6,Assumptions!$C$29*$C$181,0),IF(Y$183=12,Assumptions!$C$29*$E186/100,0))</f>
        <v>0</v>
      </c>
    </row>
    <row r="187" customFormat="false" ht="15" hidden="false" customHeight="false" outlineLevel="0" collapsed="false">
      <c r="B187" s="9" t="s">
        <v>50</v>
      </c>
      <c r="C187" s="28" t="n">
        <f aca="false">IF($C$12&lt;=$C$182,1,0)</f>
        <v>1</v>
      </c>
      <c r="D187" s="19" t="n">
        <f aca="false">Assumptions!$F$35</f>
        <v>12187.5</v>
      </c>
      <c r="E187" s="39" t="n">
        <f aca="false">PV($F187/2,(Assumptions!$C$30*4-12)/2,-Assumptions!$D$35*100/2,-100)</f>
        <v>98.8794329841845</v>
      </c>
      <c r="F187" s="17" t="n">
        <f aca="false">RATE(Assumptions!$C$30*2,Assumptions!$D$35*100/2,-Assumptions!$E$35,100)*2</f>
        <v>0.0811827080590467</v>
      </c>
      <c r="G187" s="26" t="n">
        <f aca="false">SUM(I187:Y187)</f>
        <v>-4375</v>
      </c>
      <c r="H187" s="17" t="n">
        <f aca="false">(1+IRR(I187:Y187,IF(SUM(I187:Y187)&lt;0,-0.05,0.01)))^4-1</f>
        <v>-0.174492135729601</v>
      </c>
      <c r="I187" s="40" t="n">
        <f aca="false">IF(I$183=0,-Assumptions!$C$29*Assumptions!$E$35/100,0)+IF(AND(I$183&gt;=2,MOD(I$183,2)=0,I$183&lt;=IF($C187=1,$C$5-2,12)),Assumptions!$C$29*Assumptions!$D$35/2,0)+IF($C187=1,IF(I$183=$C$6,Assumptions!$C$29*$C$181,0),IF(I$183=12,Assumptions!$C$29*$E187/100,0))</f>
        <v>-12187.5</v>
      </c>
      <c r="J187" s="40" t="n">
        <f aca="false">IF(J$183=0,-Assumptions!$C$29*Assumptions!$E$35/100,0)+IF(AND(J$183&gt;=2,MOD(J$183,2)=0,J$183&lt;=IF($C187=1,$C$5-2,12)),Assumptions!$C$29*Assumptions!$D$35/2,0)+IF($C187=1,IF(J$183=$C$6,Assumptions!$C$29*$C$181,0),IF(J$183=12,Assumptions!$C$29*$E187/100,0))</f>
        <v>0</v>
      </c>
      <c r="K187" s="40" t="n">
        <f aca="false">IF(K$183=0,-Assumptions!$C$29*Assumptions!$E$35/100,0)+IF(AND(K$183&gt;=2,MOD(K$183,2)=0,K$183&lt;=IF($C187=1,$C$5-2,12)),Assumptions!$C$29*Assumptions!$D$35/2,0)+IF($C187=1,IF(K$183=$C$6,Assumptions!$C$29*$C$181,0),IF(K$183=12,Assumptions!$C$29*$E187/100,0))</f>
        <v>468.75</v>
      </c>
      <c r="L187" s="40" t="n">
        <f aca="false">IF(L$183=0,-Assumptions!$C$29*Assumptions!$E$35/100,0)+IF(AND(L$183&gt;=2,MOD(L$183,2)=0,L$183&lt;=IF($C187=1,$C$5-2,12)),Assumptions!$C$29*Assumptions!$D$35/2,0)+IF($C187=1,IF(L$183=$C$6,Assumptions!$C$29*$C$181,0),IF(L$183=12,Assumptions!$C$29*$E187/100,0))</f>
        <v>0</v>
      </c>
      <c r="M187" s="40" t="n">
        <f aca="false">IF(M$183=0,-Assumptions!$C$29*Assumptions!$E$35/100,0)+IF(AND(M$183&gt;=2,MOD(M$183,2)=0,M$183&lt;=IF($C187=1,$C$5-2,12)),Assumptions!$C$29*Assumptions!$D$35/2,0)+IF($C187=1,IF(M$183=$C$6,Assumptions!$C$29*$C$181,0),IF(M$183=12,Assumptions!$C$29*$E187/100,0))</f>
        <v>468.75</v>
      </c>
      <c r="N187" s="40" t="n">
        <f aca="false">IF(N$183=0,-Assumptions!$C$29*Assumptions!$E$35/100,0)+IF(AND(N$183&gt;=2,MOD(N$183,2)=0,N$183&lt;=IF($C187=1,$C$5-2,12)),Assumptions!$C$29*Assumptions!$D$35/2,0)+IF($C187=1,IF(N$183=$C$6,Assumptions!$C$29*$C$181,0),IF(N$183=12,Assumptions!$C$29*$E187/100,0))</f>
        <v>0</v>
      </c>
      <c r="O187" s="40" t="n">
        <f aca="false">IF(O$183=0,-Assumptions!$C$29*Assumptions!$E$35/100,0)+IF(AND(O$183&gt;=2,MOD(O$183,2)=0,O$183&lt;=IF($C187=1,$C$5-2,12)),Assumptions!$C$29*Assumptions!$D$35/2,0)+IF($C187=1,IF(O$183=$C$6,Assumptions!$C$29*$C$181,0),IF(O$183=12,Assumptions!$C$29*$E187/100,0))</f>
        <v>0</v>
      </c>
      <c r="P187" s="40" t="n">
        <f aca="false">IF(P$183=0,-Assumptions!$C$29*Assumptions!$E$35/100,0)+IF(AND(P$183&gt;=2,MOD(P$183,2)=0,P$183&lt;=IF($C187=1,$C$5-2,12)),Assumptions!$C$29*Assumptions!$D$35/2,0)+IF($C187=1,IF(P$183=$C$6,Assumptions!$C$29*$C$181,0),IF(P$183=12,Assumptions!$C$29*$E187/100,0))</f>
        <v>0</v>
      </c>
      <c r="Q187" s="40" t="n">
        <f aca="false">IF(Q$183=0,-Assumptions!$C$29*Assumptions!$E$35/100,0)+IF(AND(Q$183&gt;=2,MOD(Q$183,2)=0,Q$183&lt;=IF($C187=1,$C$5-2,12)),Assumptions!$C$29*Assumptions!$D$35/2,0)+IF($C187=1,IF(Q$183=$C$6,Assumptions!$C$29*$C$181,0),IF(Q$183=12,Assumptions!$C$29*$E187/100,0))</f>
        <v>0</v>
      </c>
      <c r="R187" s="40" t="n">
        <f aca="false">IF(R$183=0,-Assumptions!$C$29*Assumptions!$E$35/100,0)+IF(AND(R$183&gt;=2,MOD(R$183,2)=0,R$183&lt;=IF($C187=1,$C$5-2,12)),Assumptions!$C$29*Assumptions!$D$35/2,0)+IF($C187=1,IF(R$183=$C$6,Assumptions!$C$29*$C$181,0),IF(R$183=12,Assumptions!$C$29*$E187/100,0))</f>
        <v>0</v>
      </c>
      <c r="S187" s="40" t="n">
        <f aca="false">IF(S$183=0,-Assumptions!$C$29*Assumptions!$E$35/100,0)+IF(AND(S$183&gt;=2,MOD(S$183,2)=0,S$183&lt;=IF($C187=1,$C$5-2,12)),Assumptions!$C$29*Assumptions!$D$35/2,0)+IF($C187=1,IF(S$183=$C$6,Assumptions!$C$29*$C$181,0),IF(S$183=12,Assumptions!$C$29*$E187/100,0))</f>
        <v>6875</v>
      </c>
      <c r="T187" s="40" t="n">
        <f aca="false">IF(T$183=0,-Assumptions!$C$29*Assumptions!$E$35/100,0)+IF(AND(T$183&gt;=2,MOD(T$183,2)=0,T$183&lt;=IF($C187=1,$C$5-2,12)),Assumptions!$C$29*Assumptions!$D$35/2,0)+IF($C187=1,IF(T$183=$C$6,Assumptions!$C$29*$C$181,0),IF(T$183=12,Assumptions!$C$29*$E187/100,0))</f>
        <v>0</v>
      </c>
      <c r="U187" s="40" t="n">
        <f aca="false">IF(U$183=0,-Assumptions!$C$29*Assumptions!$E$35/100,0)+IF(AND(U$183&gt;=2,MOD(U$183,2)=0,U$183&lt;=IF($C187=1,$C$5-2,12)),Assumptions!$C$29*Assumptions!$D$35/2,0)+IF($C187=1,IF(U$183=$C$6,Assumptions!$C$29*$C$181,0),IF(U$183=12,Assumptions!$C$29*$E187/100,0))</f>
        <v>0</v>
      </c>
      <c r="V187" s="40" t="n">
        <f aca="false">IF(V$183=0,-Assumptions!$C$29*Assumptions!$E$35/100,0)+IF(AND(V$183&gt;=2,MOD(V$183,2)=0,V$183&lt;=IF($C187=1,$C$5-2,12)),Assumptions!$C$29*Assumptions!$D$35/2,0)+IF($C187=1,IF(V$183=$C$6,Assumptions!$C$29*$C$181,0),IF(V$183=12,Assumptions!$C$29*$E187/100,0))</f>
        <v>0</v>
      </c>
      <c r="W187" s="40" t="n">
        <f aca="false">IF(W$183=0,-Assumptions!$C$29*Assumptions!$E$35/100,0)+IF(AND(W$183&gt;=2,MOD(W$183,2)=0,W$183&lt;=IF($C187=1,$C$5-2,12)),Assumptions!$C$29*Assumptions!$D$35/2,0)+IF($C187=1,IF(W$183=$C$6,Assumptions!$C$29*$C$181,0),IF(W$183=12,Assumptions!$C$29*$E187/100,0))</f>
        <v>0</v>
      </c>
      <c r="X187" s="40" t="n">
        <f aca="false">IF(X$183=0,-Assumptions!$C$29*Assumptions!$E$35/100,0)+IF(AND(X$183&gt;=2,MOD(X$183,2)=0,X$183&lt;=IF($C187=1,$C$5-2,12)),Assumptions!$C$29*Assumptions!$D$35/2,0)+IF($C187=1,IF(X$183=$C$6,Assumptions!$C$29*$C$181,0),IF(X$183=12,Assumptions!$C$29*$E187/100,0))</f>
        <v>0</v>
      </c>
      <c r="Y187" s="40" t="n">
        <f aca="false">IF(Y$183=0,-Assumptions!$C$29*Assumptions!$E$35/100,0)+IF(AND(Y$183&gt;=2,MOD(Y$183,2)=0,Y$183&lt;=IF($C187=1,$C$5-2,12)),Assumptions!$C$29*Assumptions!$D$35/2,0)+IF($C187=1,IF(Y$183=$C$6,Assumptions!$C$29*$C$181,0),IF(Y$183=12,Assumptions!$C$29*$E187/100,0))</f>
        <v>0</v>
      </c>
    </row>
    <row r="188" customFormat="false" ht="15" hidden="false" customHeight="false" outlineLevel="0" collapsed="false">
      <c r="B188" s="9" t="s">
        <v>51</v>
      </c>
      <c r="C188" s="28" t="n">
        <f aca="false">IF($C$13&lt;=$C$182,1,0)</f>
        <v>1</v>
      </c>
      <c r="D188" s="19" t="n">
        <f aca="false">Assumptions!$F$36</f>
        <v>12125</v>
      </c>
      <c r="E188" s="39" t="n">
        <f aca="false">PV($F188/2,(Assumptions!$C$30*4-12)/2,-Assumptions!$D$36*100/2,-100)</f>
        <v>98.6441572961372</v>
      </c>
      <c r="F188" s="17" t="n">
        <f aca="false">RATE(Assumptions!$C$30*2,Assumptions!$D$36*100/2,-Assumptions!$E$36,100)*2</f>
        <v>0.0875368825411204</v>
      </c>
      <c r="G188" s="26" t="n">
        <f aca="false">SUM(I188:Y188)</f>
        <v>-4250</v>
      </c>
      <c r="H188" s="17" t="n">
        <f aca="false">(1+IRR(I188:Y188,IF(SUM(I188:Y188)&lt;0,-0.05,0.01)))^4-1</f>
        <v>-0.170576378219333</v>
      </c>
      <c r="I188" s="40" t="n">
        <f aca="false">IF(I$183=0,-Assumptions!$C$29*Assumptions!$E$36/100,0)+IF(AND(I$183&gt;=2,MOD(I$183,2)=0,I$183&lt;=IF($C188=1,$C$5-2,12)),Assumptions!$C$29*Assumptions!$D$36/2,0)+IF($C188=1,IF(I$183=$C$6,Assumptions!$C$29*$C$181,0),IF(I$183=12,Assumptions!$C$29*$E188/100,0))</f>
        <v>-12125</v>
      </c>
      <c r="J188" s="40" t="n">
        <f aca="false">IF(J$183=0,-Assumptions!$C$29*Assumptions!$E$36/100,0)+IF(AND(J$183&gt;=2,MOD(J$183,2)=0,J$183&lt;=IF($C188=1,$C$5-2,12)),Assumptions!$C$29*Assumptions!$D$36/2,0)+IF($C188=1,IF(J$183=$C$6,Assumptions!$C$29*$C$181,0),IF(J$183=12,Assumptions!$C$29*$E188/100,0))</f>
        <v>0</v>
      </c>
      <c r="K188" s="40" t="n">
        <f aca="false">IF(K$183=0,-Assumptions!$C$29*Assumptions!$E$36/100,0)+IF(AND(K$183&gt;=2,MOD(K$183,2)=0,K$183&lt;=IF($C188=1,$C$5-2,12)),Assumptions!$C$29*Assumptions!$D$36/2,0)+IF($C188=1,IF(K$183=$C$6,Assumptions!$C$29*$C$181,0),IF(K$183=12,Assumptions!$C$29*$E188/100,0))</f>
        <v>500</v>
      </c>
      <c r="L188" s="40" t="n">
        <f aca="false">IF(L$183=0,-Assumptions!$C$29*Assumptions!$E$36/100,0)+IF(AND(L$183&gt;=2,MOD(L$183,2)=0,L$183&lt;=IF($C188=1,$C$5-2,12)),Assumptions!$C$29*Assumptions!$D$36/2,0)+IF($C188=1,IF(L$183=$C$6,Assumptions!$C$29*$C$181,0),IF(L$183=12,Assumptions!$C$29*$E188/100,0))</f>
        <v>0</v>
      </c>
      <c r="M188" s="40" t="n">
        <f aca="false">IF(M$183=0,-Assumptions!$C$29*Assumptions!$E$36/100,0)+IF(AND(M$183&gt;=2,MOD(M$183,2)=0,M$183&lt;=IF($C188=1,$C$5-2,12)),Assumptions!$C$29*Assumptions!$D$36/2,0)+IF($C188=1,IF(M$183=$C$6,Assumptions!$C$29*$C$181,0),IF(M$183=12,Assumptions!$C$29*$E188/100,0))</f>
        <v>500</v>
      </c>
      <c r="N188" s="40" t="n">
        <f aca="false">IF(N$183=0,-Assumptions!$C$29*Assumptions!$E$36/100,0)+IF(AND(N$183&gt;=2,MOD(N$183,2)=0,N$183&lt;=IF($C188=1,$C$5-2,12)),Assumptions!$C$29*Assumptions!$D$36/2,0)+IF($C188=1,IF(N$183=$C$6,Assumptions!$C$29*$C$181,0),IF(N$183=12,Assumptions!$C$29*$E188/100,0))</f>
        <v>0</v>
      </c>
      <c r="O188" s="40" t="n">
        <f aca="false">IF(O$183=0,-Assumptions!$C$29*Assumptions!$E$36/100,0)+IF(AND(O$183&gt;=2,MOD(O$183,2)=0,O$183&lt;=IF($C188=1,$C$5-2,12)),Assumptions!$C$29*Assumptions!$D$36/2,0)+IF($C188=1,IF(O$183=$C$6,Assumptions!$C$29*$C$181,0),IF(O$183=12,Assumptions!$C$29*$E188/100,0))</f>
        <v>0</v>
      </c>
      <c r="P188" s="40" t="n">
        <f aca="false">IF(P$183=0,-Assumptions!$C$29*Assumptions!$E$36/100,0)+IF(AND(P$183&gt;=2,MOD(P$183,2)=0,P$183&lt;=IF($C188=1,$C$5-2,12)),Assumptions!$C$29*Assumptions!$D$36/2,0)+IF($C188=1,IF(P$183=$C$6,Assumptions!$C$29*$C$181,0),IF(P$183=12,Assumptions!$C$29*$E188/100,0))</f>
        <v>0</v>
      </c>
      <c r="Q188" s="40" t="n">
        <f aca="false">IF(Q$183=0,-Assumptions!$C$29*Assumptions!$E$36/100,0)+IF(AND(Q$183&gt;=2,MOD(Q$183,2)=0,Q$183&lt;=IF($C188=1,$C$5-2,12)),Assumptions!$C$29*Assumptions!$D$36/2,0)+IF($C188=1,IF(Q$183=$C$6,Assumptions!$C$29*$C$181,0),IF(Q$183=12,Assumptions!$C$29*$E188/100,0))</f>
        <v>0</v>
      </c>
      <c r="R188" s="40" t="n">
        <f aca="false">IF(R$183=0,-Assumptions!$C$29*Assumptions!$E$36/100,0)+IF(AND(R$183&gt;=2,MOD(R$183,2)=0,R$183&lt;=IF($C188=1,$C$5-2,12)),Assumptions!$C$29*Assumptions!$D$36/2,0)+IF($C188=1,IF(R$183=$C$6,Assumptions!$C$29*$C$181,0),IF(R$183=12,Assumptions!$C$29*$E188/100,0))</f>
        <v>0</v>
      </c>
      <c r="S188" s="40" t="n">
        <f aca="false">IF(S$183=0,-Assumptions!$C$29*Assumptions!$E$36/100,0)+IF(AND(S$183&gt;=2,MOD(S$183,2)=0,S$183&lt;=IF($C188=1,$C$5-2,12)),Assumptions!$C$29*Assumptions!$D$36/2,0)+IF($C188=1,IF(S$183=$C$6,Assumptions!$C$29*$C$181,0),IF(S$183=12,Assumptions!$C$29*$E188/100,0))</f>
        <v>6875</v>
      </c>
      <c r="T188" s="40" t="n">
        <f aca="false">IF(T$183=0,-Assumptions!$C$29*Assumptions!$E$36/100,0)+IF(AND(T$183&gt;=2,MOD(T$183,2)=0,T$183&lt;=IF($C188=1,$C$5-2,12)),Assumptions!$C$29*Assumptions!$D$36/2,0)+IF($C188=1,IF(T$183=$C$6,Assumptions!$C$29*$C$181,0),IF(T$183=12,Assumptions!$C$29*$E188/100,0))</f>
        <v>0</v>
      </c>
      <c r="U188" s="40" t="n">
        <f aca="false">IF(U$183=0,-Assumptions!$C$29*Assumptions!$E$36/100,0)+IF(AND(U$183&gt;=2,MOD(U$183,2)=0,U$183&lt;=IF($C188=1,$C$5-2,12)),Assumptions!$C$29*Assumptions!$D$36/2,0)+IF($C188=1,IF(U$183=$C$6,Assumptions!$C$29*$C$181,0),IF(U$183=12,Assumptions!$C$29*$E188/100,0))</f>
        <v>0</v>
      </c>
      <c r="V188" s="40" t="n">
        <f aca="false">IF(V$183=0,-Assumptions!$C$29*Assumptions!$E$36/100,0)+IF(AND(V$183&gt;=2,MOD(V$183,2)=0,V$183&lt;=IF($C188=1,$C$5-2,12)),Assumptions!$C$29*Assumptions!$D$36/2,0)+IF($C188=1,IF(V$183=$C$6,Assumptions!$C$29*$C$181,0),IF(V$183=12,Assumptions!$C$29*$E188/100,0))</f>
        <v>0</v>
      </c>
      <c r="W188" s="40" t="n">
        <f aca="false">IF(W$183=0,-Assumptions!$C$29*Assumptions!$E$36/100,0)+IF(AND(W$183&gt;=2,MOD(W$183,2)=0,W$183&lt;=IF($C188=1,$C$5-2,12)),Assumptions!$C$29*Assumptions!$D$36/2,0)+IF($C188=1,IF(W$183=$C$6,Assumptions!$C$29*$C$181,0),IF(W$183=12,Assumptions!$C$29*$E188/100,0))</f>
        <v>0</v>
      </c>
      <c r="X188" s="40" t="n">
        <f aca="false">IF(X$183=0,-Assumptions!$C$29*Assumptions!$E$36/100,0)+IF(AND(X$183&gt;=2,MOD(X$183,2)=0,X$183&lt;=IF($C188=1,$C$5-2,12)),Assumptions!$C$29*Assumptions!$D$36/2,0)+IF($C188=1,IF(X$183=$C$6,Assumptions!$C$29*$C$181,0),IF(X$183=12,Assumptions!$C$29*$E188/100,0))</f>
        <v>0</v>
      </c>
      <c r="Y188" s="40" t="n">
        <f aca="false">IF(Y$183=0,-Assumptions!$C$29*Assumptions!$E$36/100,0)+IF(AND(Y$183&gt;=2,MOD(Y$183,2)=0,Y$183&lt;=IF($C188=1,$C$5-2,12)),Assumptions!$C$29*Assumptions!$D$36/2,0)+IF($C188=1,IF(Y$183=$C$6,Assumptions!$C$29*$C$181,0),IF(Y$183=12,Assumptions!$C$29*$E188/100,0))</f>
        <v>0</v>
      </c>
    </row>
    <row r="189" customFormat="false" ht="15" hidden="false" customHeight="false" outlineLevel="0" collapsed="false">
      <c r="B189" s="9" t="s">
        <v>52</v>
      </c>
      <c r="C189" s="28" t="n">
        <f aca="false">IF($C$14&lt;=$C$182,1,0)</f>
        <v>1</v>
      </c>
      <c r="D189" s="19" t="n">
        <f aca="false">Assumptions!$F$37</f>
        <v>11750</v>
      </c>
      <c r="E189" s="39" t="n">
        <f aca="false">PV($F189/2,(Assumptions!$C$30*4-12)/2,-Assumptions!$D$37*100/2,-100)</f>
        <v>97.2427387979842</v>
      </c>
      <c r="F189" s="17" t="n">
        <f aca="false">RATE(Assumptions!$C$30*2,Assumptions!$D$37*100/2,-Assumptions!$E$37,100)*2</f>
        <v>0.100561753609911</v>
      </c>
      <c r="G189" s="26" t="n">
        <f aca="false">SUM(I189:Y189)</f>
        <v>-3812.5</v>
      </c>
      <c r="H189" s="17" t="n">
        <f aca="false">(1+IRR(I189:Y189,IF(SUM(I189:Y189)&lt;0,-0.05,0.01)))^4-1</f>
        <v>-0.15713978929984</v>
      </c>
      <c r="I189" s="40" t="n">
        <f aca="false">IF(I$183=0,-Assumptions!$C$29*Assumptions!$E$37/100,0)+IF(AND(I$183&gt;=2,MOD(I$183,2)=0,I$183&lt;=IF($C189=1,$C$5-2,12)),Assumptions!$C$29*Assumptions!$D$37/2,0)+IF($C189=1,IF(I$183=$C$6,Assumptions!$C$29*$C$181,0),IF(I$183=12,Assumptions!$C$29*$E189/100,0))</f>
        <v>-11750</v>
      </c>
      <c r="J189" s="40" t="n">
        <f aca="false">IF(J$183=0,-Assumptions!$C$29*Assumptions!$E$37/100,0)+IF(AND(J$183&gt;=2,MOD(J$183,2)=0,J$183&lt;=IF($C189=1,$C$5-2,12)),Assumptions!$C$29*Assumptions!$D$37/2,0)+IF($C189=1,IF(J$183=$C$6,Assumptions!$C$29*$C$181,0),IF(J$183=12,Assumptions!$C$29*$E189/100,0))</f>
        <v>0</v>
      </c>
      <c r="K189" s="40" t="n">
        <f aca="false">IF(K$183=0,-Assumptions!$C$29*Assumptions!$E$37/100,0)+IF(AND(K$183&gt;=2,MOD(K$183,2)=0,K$183&lt;=IF($C189=1,$C$5-2,12)),Assumptions!$C$29*Assumptions!$D$37/2,0)+IF($C189=1,IF(K$183=$C$6,Assumptions!$C$29*$C$181,0),IF(K$183=12,Assumptions!$C$29*$E189/100,0))</f>
        <v>531.25</v>
      </c>
      <c r="L189" s="40" t="n">
        <f aca="false">IF(L$183=0,-Assumptions!$C$29*Assumptions!$E$37/100,0)+IF(AND(L$183&gt;=2,MOD(L$183,2)=0,L$183&lt;=IF($C189=1,$C$5-2,12)),Assumptions!$C$29*Assumptions!$D$37/2,0)+IF($C189=1,IF(L$183=$C$6,Assumptions!$C$29*$C$181,0),IF(L$183=12,Assumptions!$C$29*$E189/100,0))</f>
        <v>0</v>
      </c>
      <c r="M189" s="40" t="n">
        <f aca="false">IF(M$183=0,-Assumptions!$C$29*Assumptions!$E$37/100,0)+IF(AND(M$183&gt;=2,MOD(M$183,2)=0,M$183&lt;=IF($C189=1,$C$5-2,12)),Assumptions!$C$29*Assumptions!$D$37/2,0)+IF($C189=1,IF(M$183=$C$6,Assumptions!$C$29*$C$181,0),IF(M$183=12,Assumptions!$C$29*$E189/100,0))</f>
        <v>531.25</v>
      </c>
      <c r="N189" s="40" t="n">
        <f aca="false">IF(N$183=0,-Assumptions!$C$29*Assumptions!$E$37/100,0)+IF(AND(N$183&gt;=2,MOD(N$183,2)=0,N$183&lt;=IF($C189=1,$C$5-2,12)),Assumptions!$C$29*Assumptions!$D$37/2,0)+IF($C189=1,IF(N$183=$C$6,Assumptions!$C$29*$C$181,0),IF(N$183=12,Assumptions!$C$29*$E189/100,0))</f>
        <v>0</v>
      </c>
      <c r="O189" s="40" t="n">
        <f aca="false">IF(O$183=0,-Assumptions!$C$29*Assumptions!$E$37/100,0)+IF(AND(O$183&gt;=2,MOD(O$183,2)=0,O$183&lt;=IF($C189=1,$C$5-2,12)),Assumptions!$C$29*Assumptions!$D$37/2,0)+IF($C189=1,IF(O$183=$C$6,Assumptions!$C$29*$C$181,0),IF(O$183=12,Assumptions!$C$29*$E189/100,0))</f>
        <v>0</v>
      </c>
      <c r="P189" s="40" t="n">
        <f aca="false">IF(P$183=0,-Assumptions!$C$29*Assumptions!$E$37/100,0)+IF(AND(P$183&gt;=2,MOD(P$183,2)=0,P$183&lt;=IF($C189=1,$C$5-2,12)),Assumptions!$C$29*Assumptions!$D$37/2,0)+IF($C189=1,IF(P$183=$C$6,Assumptions!$C$29*$C$181,0),IF(P$183=12,Assumptions!$C$29*$E189/100,0))</f>
        <v>0</v>
      </c>
      <c r="Q189" s="40" t="n">
        <f aca="false">IF(Q$183=0,-Assumptions!$C$29*Assumptions!$E$37/100,0)+IF(AND(Q$183&gt;=2,MOD(Q$183,2)=0,Q$183&lt;=IF($C189=1,$C$5-2,12)),Assumptions!$C$29*Assumptions!$D$37/2,0)+IF($C189=1,IF(Q$183=$C$6,Assumptions!$C$29*$C$181,0),IF(Q$183=12,Assumptions!$C$29*$E189/100,0))</f>
        <v>0</v>
      </c>
      <c r="R189" s="40" t="n">
        <f aca="false">IF(R$183=0,-Assumptions!$C$29*Assumptions!$E$37/100,0)+IF(AND(R$183&gt;=2,MOD(R$183,2)=0,R$183&lt;=IF($C189=1,$C$5-2,12)),Assumptions!$C$29*Assumptions!$D$37/2,0)+IF($C189=1,IF(R$183=$C$6,Assumptions!$C$29*$C$181,0),IF(R$183=12,Assumptions!$C$29*$E189/100,0))</f>
        <v>0</v>
      </c>
      <c r="S189" s="40" t="n">
        <f aca="false">IF(S$183=0,-Assumptions!$C$29*Assumptions!$E$37/100,0)+IF(AND(S$183&gt;=2,MOD(S$183,2)=0,S$183&lt;=IF($C189=1,$C$5-2,12)),Assumptions!$C$29*Assumptions!$D$37/2,0)+IF($C189=1,IF(S$183=$C$6,Assumptions!$C$29*$C$181,0),IF(S$183=12,Assumptions!$C$29*$E189/100,0))</f>
        <v>6875</v>
      </c>
      <c r="T189" s="40" t="n">
        <f aca="false">IF(T$183=0,-Assumptions!$C$29*Assumptions!$E$37/100,0)+IF(AND(T$183&gt;=2,MOD(T$183,2)=0,T$183&lt;=IF($C189=1,$C$5-2,12)),Assumptions!$C$29*Assumptions!$D$37/2,0)+IF($C189=1,IF(T$183=$C$6,Assumptions!$C$29*$C$181,0),IF(T$183=12,Assumptions!$C$29*$E189/100,0))</f>
        <v>0</v>
      </c>
      <c r="U189" s="40" t="n">
        <f aca="false">IF(U$183=0,-Assumptions!$C$29*Assumptions!$E$37/100,0)+IF(AND(U$183&gt;=2,MOD(U$183,2)=0,U$183&lt;=IF($C189=1,$C$5-2,12)),Assumptions!$C$29*Assumptions!$D$37/2,0)+IF($C189=1,IF(U$183=$C$6,Assumptions!$C$29*$C$181,0),IF(U$183=12,Assumptions!$C$29*$E189/100,0))</f>
        <v>0</v>
      </c>
      <c r="V189" s="40" t="n">
        <f aca="false">IF(V$183=0,-Assumptions!$C$29*Assumptions!$E$37/100,0)+IF(AND(V$183&gt;=2,MOD(V$183,2)=0,V$183&lt;=IF($C189=1,$C$5-2,12)),Assumptions!$C$29*Assumptions!$D$37/2,0)+IF($C189=1,IF(V$183=$C$6,Assumptions!$C$29*$C$181,0),IF(V$183=12,Assumptions!$C$29*$E189/100,0))</f>
        <v>0</v>
      </c>
      <c r="W189" s="40" t="n">
        <f aca="false">IF(W$183=0,-Assumptions!$C$29*Assumptions!$E$37/100,0)+IF(AND(W$183&gt;=2,MOD(W$183,2)=0,W$183&lt;=IF($C189=1,$C$5-2,12)),Assumptions!$C$29*Assumptions!$D$37/2,0)+IF($C189=1,IF(W$183=$C$6,Assumptions!$C$29*$C$181,0),IF(W$183=12,Assumptions!$C$29*$E189/100,0))</f>
        <v>0</v>
      </c>
      <c r="X189" s="40" t="n">
        <f aca="false">IF(X$183=0,-Assumptions!$C$29*Assumptions!$E$37/100,0)+IF(AND(X$183&gt;=2,MOD(X$183,2)=0,X$183&lt;=IF($C189=1,$C$5-2,12)),Assumptions!$C$29*Assumptions!$D$37/2,0)+IF($C189=1,IF(X$183=$C$6,Assumptions!$C$29*$C$181,0),IF(X$183=12,Assumptions!$C$29*$E189/100,0))</f>
        <v>0</v>
      </c>
      <c r="Y189" s="40" t="n">
        <f aca="false">IF(Y$183=0,-Assumptions!$C$29*Assumptions!$E$37/100,0)+IF(AND(Y$183&gt;=2,MOD(Y$183,2)=0,Y$183&lt;=IF($C189=1,$C$5-2,12)),Assumptions!$C$29*Assumptions!$D$37/2,0)+IF($C189=1,IF(Y$183=$C$6,Assumptions!$C$29*$C$181,0),IF(Y$183=12,Assumptions!$C$29*$E189/100,0))</f>
        <v>0</v>
      </c>
    </row>
    <row r="190" customFormat="false" ht="15" hidden="false" customHeight="false" outlineLevel="0" collapsed="false">
      <c r="B190" s="29" t="s">
        <v>154</v>
      </c>
      <c r="D190" s="41" t="n">
        <f aca="false">SUM(D184:D189)</f>
        <v>73000</v>
      </c>
      <c r="G190" s="41" t="n">
        <f aca="false">SUM(I190:Y190)</f>
        <v>-4249.91391258205</v>
      </c>
      <c r="H190" s="30" t="n">
        <f aca="false">(1+IRR(I190:Y190,IF(SUM(I190:Y190)&lt;0,-0.05,0.01)))^4-1</f>
        <v>-0.0226912277354683</v>
      </c>
      <c r="I190" s="42" t="n">
        <f aca="false">SUM(I184:I189)</f>
        <v>-73000</v>
      </c>
      <c r="J190" s="42" t="n">
        <f aca="false">SUM(J184:J189)</f>
        <v>0</v>
      </c>
      <c r="K190" s="42" t="n">
        <f aca="false">SUM(K184:K189)</f>
        <v>2812.5</v>
      </c>
      <c r="L190" s="42" t="n">
        <f aca="false">SUM(L184:L189)</f>
        <v>0</v>
      </c>
      <c r="M190" s="42" t="n">
        <f aca="false">SUM(M184:M189)</f>
        <v>2812.5</v>
      </c>
      <c r="N190" s="42" t="n">
        <f aca="false">SUM(N184:N189)</f>
        <v>0</v>
      </c>
      <c r="O190" s="42" t="n">
        <f aca="false">SUM(O184:O189)</f>
        <v>1312.5</v>
      </c>
      <c r="P190" s="42" t="n">
        <f aca="false">SUM(P184:P189)</f>
        <v>0</v>
      </c>
      <c r="Q190" s="42" t="n">
        <f aca="false">SUM(Q184:Q189)</f>
        <v>1312.5</v>
      </c>
      <c r="R190" s="42" t="n">
        <f aca="false">SUM(R184:R189)</f>
        <v>0</v>
      </c>
      <c r="S190" s="42" t="n">
        <f aca="false">SUM(S184:S189)</f>
        <v>21937.5</v>
      </c>
      <c r="T190" s="42" t="n">
        <f aca="false">SUM(T184:T189)</f>
        <v>0</v>
      </c>
      <c r="U190" s="42" t="n">
        <f aca="false">SUM(U184:U189)</f>
        <v>38562.586087418</v>
      </c>
      <c r="V190" s="42" t="n">
        <f aca="false">SUM(V184:V189)</f>
        <v>0</v>
      </c>
      <c r="W190" s="42" t="n">
        <f aca="false">SUM(W184:W189)</f>
        <v>0</v>
      </c>
      <c r="X190" s="42" t="n">
        <f aca="false">SUM(X184:X189)</f>
        <v>0</v>
      </c>
      <c r="Y190" s="42" t="n">
        <f aca="false">SUM(Y184:Y189)</f>
        <v>0</v>
      </c>
    </row>
    <row r="192" customFormat="false" ht="15" hidden="false" customHeight="false" outlineLevel="0" collapsed="false">
      <c r="B192" s="7" t="s">
        <v>168</v>
      </c>
      <c r="C192" s="8"/>
      <c r="D192" s="8"/>
      <c r="E192" s="8"/>
      <c r="F192" s="8"/>
      <c r="G192" s="8"/>
      <c r="H192" s="8"/>
      <c r="I192" s="8"/>
      <c r="J192" s="8"/>
      <c r="K192" s="8"/>
      <c r="L192" s="8"/>
      <c r="M192" s="8"/>
      <c r="N192" s="8"/>
      <c r="O192" s="8"/>
      <c r="P192" s="8"/>
      <c r="Q192" s="8"/>
      <c r="R192" s="8"/>
      <c r="S192" s="8"/>
      <c r="T192" s="8"/>
      <c r="U192" s="8"/>
      <c r="V192" s="8"/>
      <c r="W192" s="8"/>
      <c r="X192" s="8"/>
      <c r="Y192" s="8"/>
    </row>
    <row r="193" customFormat="false" ht="15" hidden="false" customHeight="false" outlineLevel="0" collapsed="false">
      <c r="B193" s="9" t="s">
        <v>117</v>
      </c>
      <c r="C193" s="22" t="n">
        <f aca="false">$B$20</f>
        <v>0.55</v>
      </c>
    </row>
    <row r="194" customFormat="false" ht="15" hidden="false" customHeight="false" outlineLevel="0" collapsed="false">
      <c r="B194" s="9" t="s">
        <v>148</v>
      </c>
      <c r="C194" s="28" t="n">
        <f aca="false">G$17</f>
        <v>4</v>
      </c>
    </row>
    <row r="195" customFormat="false" ht="30" hidden="false" customHeight="true" outlineLevel="0" collapsed="false">
      <c r="B195" s="13" t="s">
        <v>32</v>
      </c>
      <c r="C195" s="14" t="s">
        <v>149</v>
      </c>
      <c r="D195" s="14" t="s">
        <v>46</v>
      </c>
      <c r="E195" s="14" t="s">
        <v>150</v>
      </c>
      <c r="F195" s="14" t="s">
        <v>151</v>
      </c>
      <c r="G195" s="14" t="s">
        <v>152</v>
      </c>
      <c r="H195" s="14" t="s">
        <v>153</v>
      </c>
      <c r="I195" s="38" t="n">
        <v>0</v>
      </c>
      <c r="J195" s="38" t="n">
        <v>1</v>
      </c>
      <c r="K195" s="38" t="n">
        <v>2</v>
      </c>
      <c r="L195" s="38" t="n">
        <v>3</v>
      </c>
      <c r="M195" s="38" t="n">
        <v>4</v>
      </c>
      <c r="N195" s="38" t="n">
        <v>5</v>
      </c>
      <c r="O195" s="38" t="n">
        <v>6</v>
      </c>
      <c r="P195" s="38" t="n">
        <v>7</v>
      </c>
      <c r="Q195" s="38" t="n">
        <v>8</v>
      </c>
      <c r="R195" s="38" t="n">
        <v>9</v>
      </c>
      <c r="S195" s="38" t="n">
        <v>10</v>
      </c>
      <c r="T195" s="38" t="n">
        <v>11</v>
      </c>
      <c r="U195" s="38" t="n">
        <v>12</v>
      </c>
      <c r="V195" s="38" t="n">
        <v>13</v>
      </c>
      <c r="W195" s="38" t="n">
        <v>14</v>
      </c>
      <c r="X195" s="38" t="n">
        <v>15</v>
      </c>
      <c r="Y195" s="38" t="n">
        <v>16</v>
      </c>
    </row>
    <row r="196" customFormat="false" ht="15" hidden="false" customHeight="false" outlineLevel="0" collapsed="false">
      <c r="B196" s="9" t="s">
        <v>47</v>
      </c>
      <c r="C196" s="28" t="n">
        <f aca="false">IF($C$9&lt;=$C$194,1,0)</f>
        <v>0</v>
      </c>
      <c r="D196" s="19" t="n">
        <f aca="false">Assumptions!$F$32</f>
        <v>12375</v>
      </c>
      <c r="E196" s="39" t="n">
        <f aca="false">PV($F196/2,(Assumptions!$C$30*4-12)/2,-Assumptions!$D$32*100/2,-100)</f>
        <v>99.5584003138178</v>
      </c>
      <c r="F196" s="17" t="n">
        <f aca="false">RATE(Assumptions!$C$30*2,Assumptions!$D$32*100/2,-Assumptions!$E$32,100)*2</f>
        <v>0.0699042470751673</v>
      </c>
      <c r="G196" s="26" t="n">
        <f aca="false">SUM(I196:Y196)</f>
        <v>2601.05003922723</v>
      </c>
      <c r="H196" s="17" t="n">
        <f aca="false">(1+IRR(I196:Y196,IF(SUM(I196:Y196)&lt;0,-0.05,0.01)))^4-1</f>
        <v>0.0711258980149541</v>
      </c>
      <c r="I196" s="40" t="n">
        <f aca="false">IF(I$195=0,-Assumptions!$C$29*Assumptions!$E$32/100,0)+IF(AND(I$195&gt;=2,MOD(I$195,2)=0,I$195&lt;=IF($C196=1,$C$5-2,12)),Assumptions!$C$29*Assumptions!$D$32/2,0)+IF($C196=1,IF(I$195=$C$6,Assumptions!$C$29*$C$193,0),IF(I$195=12,Assumptions!$C$29*$E196/100,0))</f>
        <v>-12375</v>
      </c>
      <c r="J196" s="40" t="n">
        <f aca="false">IF(J$195=0,-Assumptions!$C$29*Assumptions!$E$32/100,0)+IF(AND(J$195&gt;=2,MOD(J$195,2)=0,J$195&lt;=IF($C196=1,$C$5-2,12)),Assumptions!$C$29*Assumptions!$D$32/2,0)+IF($C196=1,IF(J$195=$C$6,Assumptions!$C$29*$C$193,0),IF(J$195=12,Assumptions!$C$29*$E196/100,0))</f>
        <v>0</v>
      </c>
      <c r="K196" s="40" t="n">
        <f aca="false">IF(K$195=0,-Assumptions!$C$29*Assumptions!$E$32/100,0)+IF(AND(K$195&gt;=2,MOD(K$195,2)=0,K$195&lt;=IF($C196=1,$C$5-2,12)),Assumptions!$C$29*Assumptions!$D$32/2,0)+IF($C196=1,IF(K$195=$C$6,Assumptions!$C$29*$C$193,0),IF(K$195=12,Assumptions!$C$29*$E196/100,0))</f>
        <v>421.875</v>
      </c>
      <c r="L196" s="40" t="n">
        <f aca="false">IF(L$195=0,-Assumptions!$C$29*Assumptions!$E$32/100,0)+IF(AND(L$195&gt;=2,MOD(L$195,2)=0,L$195&lt;=IF($C196=1,$C$5-2,12)),Assumptions!$C$29*Assumptions!$D$32/2,0)+IF($C196=1,IF(L$195=$C$6,Assumptions!$C$29*$C$193,0),IF(L$195=12,Assumptions!$C$29*$E196/100,0))</f>
        <v>0</v>
      </c>
      <c r="M196" s="40" t="n">
        <f aca="false">IF(M$195=0,-Assumptions!$C$29*Assumptions!$E$32/100,0)+IF(AND(M$195&gt;=2,MOD(M$195,2)=0,M$195&lt;=IF($C196=1,$C$5-2,12)),Assumptions!$C$29*Assumptions!$D$32/2,0)+IF($C196=1,IF(M$195=$C$6,Assumptions!$C$29*$C$193,0),IF(M$195=12,Assumptions!$C$29*$E196/100,0))</f>
        <v>421.875</v>
      </c>
      <c r="N196" s="40" t="n">
        <f aca="false">IF(N$195=0,-Assumptions!$C$29*Assumptions!$E$32/100,0)+IF(AND(N$195&gt;=2,MOD(N$195,2)=0,N$195&lt;=IF($C196=1,$C$5-2,12)),Assumptions!$C$29*Assumptions!$D$32/2,0)+IF($C196=1,IF(N$195=$C$6,Assumptions!$C$29*$C$193,0),IF(N$195=12,Assumptions!$C$29*$E196/100,0))</f>
        <v>0</v>
      </c>
      <c r="O196" s="40" t="n">
        <f aca="false">IF(O$195=0,-Assumptions!$C$29*Assumptions!$E$32/100,0)+IF(AND(O$195&gt;=2,MOD(O$195,2)=0,O$195&lt;=IF($C196=1,$C$5-2,12)),Assumptions!$C$29*Assumptions!$D$32/2,0)+IF($C196=1,IF(O$195=$C$6,Assumptions!$C$29*$C$193,0),IF(O$195=12,Assumptions!$C$29*$E196/100,0))</f>
        <v>421.875</v>
      </c>
      <c r="P196" s="40" t="n">
        <f aca="false">IF(P$195=0,-Assumptions!$C$29*Assumptions!$E$32/100,0)+IF(AND(P$195&gt;=2,MOD(P$195,2)=0,P$195&lt;=IF($C196=1,$C$5-2,12)),Assumptions!$C$29*Assumptions!$D$32/2,0)+IF($C196=1,IF(P$195=$C$6,Assumptions!$C$29*$C$193,0),IF(P$195=12,Assumptions!$C$29*$E196/100,0))</f>
        <v>0</v>
      </c>
      <c r="Q196" s="40" t="n">
        <f aca="false">IF(Q$195=0,-Assumptions!$C$29*Assumptions!$E$32/100,0)+IF(AND(Q$195&gt;=2,MOD(Q$195,2)=0,Q$195&lt;=IF($C196=1,$C$5-2,12)),Assumptions!$C$29*Assumptions!$D$32/2,0)+IF($C196=1,IF(Q$195=$C$6,Assumptions!$C$29*$C$193,0),IF(Q$195=12,Assumptions!$C$29*$E196/100,0))</f>
        <v>421.875</v>
      </c>
      <c r="R196" s="40" t="n">
        <f aca="false">IF(R$195=0,-Assumptions!$C$29*Assumptions!$E$32/100,0)+IF(AND(R$195&gt;=2,MOD(R$195,2)=0,R$195&lt;=IF($C196=1,$C$5-2,12)),Assumptions!$C$29*Assumptions!$D$32/2,0)+IF($C196=1,IF(R$195=$C$6,Assumptions!$C$29*$C$193,0),IF(R$195=12,Assumptions!$C$29*$E196/100,0))</f>
        <v>0</v>
      </c>
      <c r="S196" s="40" t="n">
        <f aca="false">IF(S$195=0,-Assumptions!$C$29*Assumptions!$E$32/100,0)+IF(AND(S$195&gt;=2,MOD(S$195,2)=0,S$195&lt;=IF($C196=1,$C$5-2,12)),Assumptions!$C$29*Assumptions!$D$32/2,0)+IF($C196=1,IF(S$195=$C$6,Assumptions!$C$29*$C$193,0),IF(S$195=12,Assumptions!$C$29*$E196/100,0))</f>
        <v>421.875</v>
      </c>
      <c r="T196" s="40" t="n">
        <f aca="false">IF(T$195=0,-Assumptions!$C$29*Assumptions!$E$32/100,0)+IF(AND(T$195&gt;=2,MOD(T$195,2)=0,T$195&lt;=IF($C196=1,$C$5-2,12)),Assumptions!$C$29*Assumptions!$D$32/2,0)+IF($C196=1,IF(T$195=$C$6,Assumptions!$C$29*$C$193,0),IF(T$195=12,Assumptions!$C$29*$E196/100,0))</f>
        <v>0</v>
      </c>
      <c r="U196" s="40" t="n">
        <f aca="false">IF(U$195=0,-Assumptions!$C$29*Assumptions!$E$32/100,0)+IF(AND(U$195&gt;=2,MOD(U$195,2)=0,U$195&lt;=IF($C196=1,$C$5-2,12)),Assumptions!$C$29*Assumptions!$D$32/2,0)+IF($C196=1,IF(U$195=$C$6,Assumptions!$C$29*$C$193,0),IF(U$195=12,Assumptions!$C$29*$E196/100,0))</f>
        <v>12866.6750392272</v>
      </c>
      <c r="V196" s="40" t="n">
        <f aca="false">IF(V$195=0,-Assumptions!$C$29*Assumptions!$E$32/100,0)+IF(AND(V$195&gt;=2,MOD(V$195,2)=0,V$195&lt;=IF($C196=1,$C$5-2,12)),Assumptions!$C$29*Assumptions!$D$32/2,0)+IF($C196=1,IF(V$195=$C$6,Assumptions!$C$29*$C$193,0),IF(V$195=12,Assumptions!$C$29*$E196/100,0))</f>
        <v>0</v>
      </c>
      <c r="W196" s="40" t="n">
        <f aca="false">IF(W$195=0,-Assumptions!$C$29*Assumptions!$E$32/100,0)+IF(AND(W$195&gt;=2,MOD(W$195,2)=0,W$195&lt;=IF($C196=1,$C$5-2,12)),Assumptions!$C$29*Assumptions!$D$32/2,0)+IF($C196=1,IF(W$195=$C$6,Assumptions!$C$29*$C$193,0),IF(W$195=12,Assumptions!$C$29*$E196/100,0))</f>
        <v>0</v>
      </c>
      <c r="X196" s="40" t="n">
        <f aca="false">IF(X$195=0,-Assumptions!$C$29*Assumptions!$E$32/100,0)+IF(AND(X$195&gt;=2,MOD(X$195,2)=0,X$195&lt;=IF($C196=1,$C$5-2,12)),Assumptions!$C$29*Assumptions!$D$32/2,0)+IF($C196=1,IF(X$195=$C$6,Assumptions!$C$29*$C$193,0),IF(X$195=12,Assumptions!$C$29*$E196/100,0))</f>
        <v>0</v>
      </c>
      <c r="Y196" s="40" t="n">
        <f aca="false">IF(Y$195=0,-Assumptions!$C$29*Assumptions!$E$32/100,0)+IF(AND(Y$195&gt;=2,MOD(Y$195,2)=0,Y$195&lt;=IF($C196=1,$C$5-2,12)),Assumptions!$C$29*Assumptions!$D$32/2,0)+IF($C196=1,IF(Y$195=$C$6,Assumptions!$C$29*$C$193,0),IF(Y$195=12,Assumptions!$C$29*$E196/100,0))</f>
        <v>0</v>
      </c>
    </row>
    <row r="197" customFormat="false" ht="15" hidden="false" customHeight="false" outlineLevel="0" collapsed="false">
      <c r="B197" s="9" t="s">
        <v>48</v>
      </c>
      <c r="C197" s="28" t="n">
        <f aca="false">IF($C$10&lt;=$C$194,1,0)</f>
        <v>0</v>
      </c>
      <c r="D197" s="19" t="n">
        <f aca="false">Assumptions!$F$33</f>
        <v>12312.5</v>
      </c>
      <c r="E197" s="39" t="n">
        <f aca="false">PV($F197/2,(Assumptions!$C$30*4-12)/2,-Assumptions!$D$33*100/2,-100)</f>
        <v>99.3343027458663</v>
      </c>
      <c r="F197" s="17" t="n">
        <f aca="false">RATE(Assumptions!$C$30*2,Assumptions!$D$33*100/2,-Assumptions!$E$33,100)*2</f>
        <v>0.0736404123832243</v>
      </c>
      <c r="G197" s="26" t="n">
        <f aca="false">SUM(I197:Y197)</f>
        <v>2729.28784323328</v>
      </c>
      <c r="H197" s="17" t="n">
        <f aca="false">(1+IRR(I197:Y197,IF(SUM(I197:Y197)&lt;0,-0.05,0.01)))^4-1</f>
        <v>0.0749961399672177</v>
      </c>
      <c r="I197" s="40" t="n">
        <f aca="false">IF(I$195=0,-Assumptions!$C$29*Assumptions!$E$33/100,0)+IF(AND(I$195&gt;=2,MOD(I$195,2)=0,I$195&lt;=IF($C197=1,$C$5-2,12)),Assumptions!$C$29*Assumptions!$D$33/2,0)+IF($C197=1,IF(I$195=$C$6,Assumptions!$C$29*$C$193,0),IF(I$195=12,Assumptions!$C$29*$E197/100,0))</f>
        <v>-12312.5</v>
      </c>
      <c r="J197" s="40" t="n">
        <f aca="false">IF(J$195=0,-Assumptions!$C$29*Assumptions!$E$33/100,0)+IF(AND(J$195&gt;=2,MOD(J$195,2)=0,J$195&lt;=IF($C197=1,$C$5-2,12)),Assumptions!$C$29*Assumptions!$D$33/2,0)+IF($C197=1,IF(J$195=$C$6,Assumptions!$C$29*$C$193,0),IF(J$195=12,Assumptions!$C$29*$E197/100,0))</f>
        <v>0</v>
      </c>
      <c r="K197" s="40" t="n">
        <f aca="false">IF(K$195=0,-Assumptions!$C$29*Assumptions!$E$33/100,0)+IF(AND(K$195&gt;=2,MOD(K$195,2)=0,K$195&lt;=IF($C197=1,$C$5-2,12)),Assumptions!$C$29*Assumptions!$D$33/2,0)+IF($C197=1,IF(K$195=$C$6,Assumptions!$C$29*$C$193,0),IF(K$195=12,Assumptions!$C$29*$E197/100,0))</f>
        <v>437.5</v>
      </c>
      <c r="L197" s="40" t="n">
        <f aca="false">IF(L$195=0,-Assumptions!$C$29*Assumptions!$E$33/100,0)+IF(AND(L$195&gt;=2,MOD(L$195,2)=0,L$195&lt;=IF($C197=1,$C$5-2,12)),Assumptions!$C$29*Assumptions!$D$33/2,0)+IF($C197=1,IF(L$195=$C$6,Assumptions!$C$29*$C$193,0),IF(L$195=12,Assumptions!$C$29*$E197/100,0))</f>
        <v>0</v>
      </c>
      <c r="M197" s="40" t="n">
        <f aca="false">IF(M$195=0,-Assumptions!$C$29*Assumptions!$E$33/100,0)+IF(AND(M$195&gt;=2,MOD(M$195,2)=0,M$195&lt;=IF($C197=1,$C$5-2,12)),Assumptions!$C$29*Assumptions!$D$33/2,0)+IF($C197=1,IF(M$195=$C$6,Assumptions!$C$29*$C$193,0),IF(M$195=12,Assumptions!$C$29*$E197/100,0))</f>
        <v>437.5</v>
      </c>
      <c r="N197" s="40" t="n">
        <f aca="false">IF(N$195=0,-Assumptions!$C$29*Assumptions!$E$33/100,0)+IF(AND(N$195&gt;=2,MOD(N$195,2)=0,N$195&lt;=IF($C197=1,$C$5-2,12)),Assumptions!$C$29*Assumptions!$D$33/2,0)+IF($C197=1,IF(N$195=$C$6,Assumptions!$C$29*$C$193,0),IF(N$195=12,Assumptions!$C$29*$E197/100,0))</f>
        <v>0</v>
      </c>
      <c r="O197" s="40" t="n">
        <f aca="false">IF(O$195=0,-Assumptions!$C$29*Assumptions!$E$33/100,0)+IF(AND(O$195&gt;=2,MOD(O$195,2)=0,O$195&lt;=IF($C197=1,$C$5-2,12)),Assumptions!$C$29*Assumptions!$D$33/2,0)+IF($C197=1,IF(O$195=$C$6,Assumptions!$C$29*$C$193,0),IF(O$195=12,Assumptions!$C$29*$E197/100,0))</f>
        <v>437.5</v>
      </c>
      <c r="P197" s="40" t="n">
        <f aca="false">IF(P$195=0,-Assumptions!$C$29*Assumptions!$E$33/100,0)+IF(AND(P$195&gt;=2,MOD(P$195,2)=0,P$195&lt;=IF($C197=1,$C$5-2,12)),Assumptions!$C$29*Assumptions!$D$33/2,0)+IF($C197=1,IF(P$195=$C$6,Assumptions!$C$29*$C$193,0),IF(P$195=12,Assumptions!$C$29*$E197/100,0))</f>
        <v>0</v>
      </c>
      <c r="Q197" s="40" t="n">
        <f aca="false">IF(Q$195=0,-Assumptions!$C$29*Assumptions!$E$33/100,0)+IF(AND(Q$195&gt;=2,MOD(Q$195,2)=0,Q$195&lt;=IF($C197=1,$C$5-2,12)),Assumptions!$C$29*Assumptions!$D$33/2,0)+IF($C197=1,IF(Q$195=$C$6,Assumptions!$C$29*$C$193,0),IF(Q$195=12,Assumptions!$C$29*$E197/100,0))</f>
        <v>437.5</v>
      </c>
      <c r="R197" s="40" t="n">
        <f aca="false">IF(R$195=0,-Assumptions!$C$29*Assumptions!$E$33/100,0)+IF(AND(R$195&gt;=2,MOD(R$195,2)=0,R$195&lt;=IF($C197=1,$C$5-2,12)),Assumptions!$C$29*Assumptions!$D$33/2,0)+IF($C197=1,IF(R$195=$C$6,Assumptions!$C$29*$C$193,0),IF(R$195=12,Assumptions!$C$29*$E197/100,0))</f>
        <v>0</v>
      </c>
      <c r="S197" s="40" t="n">
        <f aca="false">IF(S$195=0,-Assumptions!$C$29*Assumptions!$E$33/100,0)+IF(AND(S$195&gt;=2,MOD(S$195,2)=0,S$195&lt;=IF($C197=1,$C$5-2,12)),Assumptions!$C$29*Assumptions!$D$33/2,0)+IF($C197=1,IF(S$195=$C$6,Assumptions!$C$29*$C$193,0),IF(S$195=12,Assumptions!$C$29*$E197/100,0))</f>
        <v>437.5</v>
      </c>
      <c r="T197" s="40" t="n">
        <f aca="false">IF(T$195=0,-Assumptions!$C$29*Assumptions!$E$33/100,0)+IF(AND(T$195&gt;=2,MOD(T$195,2)=0,T$195&lt;=IF($C197=1,$C$5-2,12)),Assumptions!$C$29*Assumptions!$D$33/2,0)+IF($C197=1,IF(T$195=$C$6,Assumptions!$C$29*$C$193,0),IF(T$195=12,Assumptions!$C$29*$E197/100,0))</f>
        <v>0</v>
      </c>
      <c r="U197" s="40" t="n">
        <f aca="false">IF(U$195=0,-Assumptions!$C$29*Assumptions!$E$33/100,0)+IF(AND(U$195&gt;=2,MOD(U$195,2)=0,U$195&lt;=IF($C197=1,$C$5-2,12)),Assumptions!$C$29*Assumptions!$D$33/2,0)+IF($C197=1,IF(U$195=$C$6,Assumptions!$C$29*$C$193,0),IF(U$195=12,Assumptions!$C$29*$E197/100,0))</f>
        <v>12854.2878432333</v>
      </c>
      <c r="V197" s="40" t="n">
        <f aca="false">IF(V$195=0,-Assumptions!$C$29*Assumptions!$E$33/100,0)+IF(AND(V$195&gt;=2,MOD(V$195,2)=0,V$195&lt;=IF($C197=1,$C$5-2,12)),Assumptions!$C$29*Assumptions!$D$33/2,0)+IF($C197=1,IF(V$195=$C$6,Assumptions!$C$29*$C$193,0),IF(V$195=12,Assumptions!$C$29*$E197/100,0))</f>
        <v>0</v>
      </c>
      <c r="W197" s="40" t="n">
        <f aca="false">IF(W$195=0,-Assumptions!$C$29*Assumptions!$E$33/100,0)+IF(AND(W$195&gt;=2,MOD(W$195,2)=0,W$195&lt;=IF($C197=1,$C$5-2,12)),Assumptions!$C$29*Assumptions!$D$33/2,0)+IF($C197=1,IF(W$195=$C$6,Assumptions!$C$29*$C$193,0),IF(W$195=12,Assumptions!$C$29*$E197/100,0))</f>
        <v>0</v>
      </c>
      <c r="X197" s="40" t="n">
        <f aca="false">IF(X$195=0,-Assumptions!$C$29*Assumptions!$E$33/100,0)+IF(AND(X$195&gt;=2,MOD(X$195,2)=0,X$195&lt;=IF($C197=1,$C$5-2,12)),Assumptions!$C$29*Assumptions!$D$33/2,0)+IF($C197=1,IF(X$195=$C$6,Assumptions!$C$29*$C$193,0),IF(X$195=12,Assumptions!$C$29*$E197/100,0))</f>
        <v>0</v>
      </c>
      <c r="Y197" s="40" t="n">
        <f aca="false">IF(Y$195=0,-Assumptions!$C$29*Assumptions!$E$33/100,0)+IF(AND(Y$195&gt;=2,MOD(Y$195,2)=0,Y$195&lt;=IF($C197=1,$C$5-2,12)),Assumptions!$C$29*Assumptions!$D$33/2,0)+IF($C197=1,IF(Y$195=$C$6,Assumptions!$C$29*$C$193,0),IF(Y$195=12,Assumptions!$C$29*$E197/100,0))</f>
        <v>0</v>
      </c>
    </row>
    <row r="198" customFormat="false" ht="15" hidden="false" customHeight="false" outlineLevel="0" collapsed="false">
      <c r="B198" s="9" t="s">
        <v>49</v>
      </c>
      <c r="C198" s="28" t="n">
        <f aca="false">IF($C$11&lt;=$C$194,1,0)</f>
        <v>1</v>
      </c>
      <c r="D198" s="19" t="n">
        <f aca="false">Assumptions!$F$34</f>
        <v>12250</v>
      </c>
      <c r="E198" s="39" t="n">
        <f aca="false">PV($F198/2,(Assumptions!$C$30*4-12)/2,-Assumptions!$D$34*100/2,-100)</f>
        <v>99.1079856396595</v>
      </c>
      <c r="F198" s="17" t="n">
        <f aca="false">RATE(Assumptions!$C$30*2,Assumptions!$D$34*100/2,-Assumptions!$E$34,100)*2</f>
        <v>0.0773997713205988</v>
      </c>
      <c r="G198" s="26" t="n">
        <f aca="false">SUM(I198:Y198)</f>
        <v>-4468.75</v>
      </c>
      <c r="H198" s="17" t="n">
        <f aca="false">(1+IRR(I198:Y198,IF(SUM(I198:Y198)&lt;0,-0.05,0.01)))^4-1</f>
        <v>-0.177326174007628</v>
      </c>
      <c r="I198" s="40" t="n">
        <f aca="false">IF(I$195=0,-Assumptions!$C$29*Assumptions!$E$34/100,0)+IF(AND(I$195&gt;=2,MOD(I$195,2)=0,I$195&lt;=IF($C198=1,$C$5-2,12)),Assumptions!$C$29*Assumptions!$D$34/2,0)+IF($C198=1,IF(I$195=$C$6,Assumptions!$C$29*$C$193,0),IF(I$195=12,Assumptions!$C$29*$E198/100,0))</f>
        <v>-12250</v>
      </c>
      <c r="J198" s="40" t="n">
        <f aca="false">IF(J$195=0,-Assumptions!$C$29*Assumptions!$E$34/100,0)+IF(AND(J$195&gt;=2,MOD(J$195,2)=0,J$195&lt;=IF($C198=1,$C$5-2,12)),Assumptions!$C$29*Assumptions!$D$34/2,0)+IF($C198=1,IF(J$195=$C$6,Assumptions!$C$29*$C$193,0),IF(J$195=12,Assumptions!$C$29*$E198/100,0))</f>
        <v>0</v>
      </c>
      <c r="K198" s="40" t="n">
        <f aca="false">IF(K$195=0,-Assumptions!$C$29*Assumptions!$E$34/100,0)+IF(AND(K$195&gt;=2,MOD(K$195,2)=0,K$195&lt;=IF($C198=1,$C$5-2,12)),Assumptions!$C$29*Assumptions!$D$34/2,0)+IF($C198=1,IF(K$195=$C$6,Assumptions!$C$29*$C$193,0),IF(K$195=12,Assumptions!$C$29*$E198/100,0))</f>
        <v>453.125</v>
      </c>
      <c r="L198" s="40" t="n">
        <f aca="false">IF(L$195=0,-Assumptions!$C$29*Assumptions!$E$34/100,0)+IF(AND(L$195&gt;=2,MOD(L$195,2)=0,L$195&lt;=IF($C198=1,$C$5-2,12)),Assumptions!$C$29*Assumptions!$D$34/2,0)+IF($C198=1,IF(L$195=$C$6,Assumptions!$C$29*$C$193,0),IF(L$195=12,Assumptions!$C$29*$E198/100,0))</f>
        <v>0</v>
      </c>
      <c r="M198" s="40" t="n">
        <f aca="false">IF(M$195=0,-Assumptions!$C$29*Assumptions!$E$34/100,0)+IF(AND(M$195&gt;=2,MOD(M$195,2)=0,M$195&lt;=IF($C198=1,$C$5-2,12)),Assumptions!$C$29*Assumptions!$D$34/2,0)+IF($C198=1,IF(M$195=$C$6,Assumptions!$C$29*$C$193,0),IF(M$195=12,Assumptions!$C$29*$E198/100,0))</f>
        <v>453.125</v>
      </c>
      <c r="N198" s="40" t="n">
        <f aca="false">IF(N$195=0,-Assumptions!$C$29*Assumptions!$E$34/100,0)+IF(AND(N$195&gt;=2,MOD(N$195,2)=0,N$195&lt;=IF($C198=1,$C$5-2,12)),Assumptions!$C$29*Assumptions!$D$34/2,0)+IF($C198=1,IF(N$195=$C$6,Assumptions!$C$29*$C$193,0),IF(N$195=12,Assumptions!$C$29*$E198/100,0))</f>
        <v>0</v>
      </c>
      <c r="O198" s="40" t="n">
        <f aca="false">IF(O$195=0,-Assumptions!$C$29*Assumptions!$E$34/100,0)+IF(AND(O$195&gt;=2,MOD(O$195,2)=0,O$195&lt;=IF($C198=1,$C$5-2,12)),Assumptions!$C$29*Assumptions!$D$34/2,0)+IF($C198=1,IF(O$195=$C$6,Assumptions!$C$29*$C$193,0),IF(O$195=12,Assumptions!$C$29*$E198/100,0))</f>
        <v>0</v>
      </c>
      <c r="P198" s="40" t="n">
        <f aca="false">IF(P$195=0,-Assumptions!$C$29*Assumptions!$E$34/100,0)+IF(AND(P$195&gt;=2,MOD(P$195,2)=0,P$195&lt;=IF($C198=1,$C$5-2,12)),Assumptions!$C$29*Assumptions!$D$34/2,0)+IF($C198=1,IF(P$195=$C$6,Assumptions!$C$29*$C$193,0),IF(P$195=12,Assumptions!$C$29*$E198/100,0))</f>
        <v>0</v>
      </c>
      <c r="Q198" s="40" t="n">
        <f aca="false">IF(Q$195=0,-Assumptions!$C$29*Assumptions!$E$34/100,0)+IF(AND(Q$195&gt;=2,MOD(Q$195,2)=0,Q$195&lt;=IF($C198=1,$C$5-2,12)),Assumptions!$C$29*Assumptions!$D$34/2,0)+IF($C198=1,IF(Q$195=$C$6,Assumptions!$C$29*$C$193,0),IF(Q$195=12,Assumptions!$C$29*$E198/100,0))</f>
        <v>0</v>
      </c>
      <c r="R198" s="40" t="n">
        <f aca="false">IF(R$195=0,-Assumptions!$C$29*Assumptions!$E$34/100,0)+IF(AND(R$195&gt;=2,MOD(R$195,2)=0,R$195&lt;=IF($C198=1,$C$5-2,12)),Assumptions!$C$29*Assumptions!$D$34/2,0)+IF($C198=1,IF(R$195=$C$6,Assumptions!$C$29*$C$193,0),IF(R$195=12,Assumptions!$C$29*$E198/100,0))</f>
        <v>0</v>
      </c>
      <c r="S198" s="40" t="n">
        <f aca="false">IF(S$195=0,-Assumptions!$C$29*Assumptions!$E$34/100,0)+IF(AND(S$195&gt;=2,MOD(S$195,2)=0,S$195&lt;=IF($C198=1,$C$5-2,12)),Assumptions!$C$29*Assumptions!$D$34/2,0)+IF($C198=1,IF(S$195=$C$6,Assumptions!$C$29*$C$193,0),IF(S$195=12,Assumptions!$C$29*$E198/100,0))</f>
        <v>6875</v>
      </c>
      <c r="T198" s="40" t="n">
        <f aca="false">IF(T$195=0,-Assumptions!$C$29*Assumptions!$E$34/100,0)+IF(AND(T$195&gt;=2,MOD(T$195,2)=0,T$195&lt;=IF($C198=1,$C$5-2,12)),Assumptions!$C$29*Assumptions!$D$34/2,0)+IF($C198=1,IF(T$195=$C$6,Assumptions!$C$29*$C$193,0),IF(T$195=12,Assumptions!$C$29*$E198/100,0))</f>
        <v>0</v>
      </c>
      <c r="U198" s="40" t="n">
        <f aca="false">IF(U$195=0,-Assumptions!$C$29*Assumptions!$E$34/100,0)+IF(AND(U$195&gt;=2,MOD(U$195,2)=0,U$195&lt;=IF($C198=1,$C$5-2,12)),Assumptions!$C$29*Assumptions!$D$34/2,0)+IF($C198=1,IF(U$195=$C$6,Assumptions!$C$29*$C$193,0),IF(U$195=12,Assumptions!$C$29*$E198/100,0))</f>
        <v>0</v>
      </c>
      <c r="V198" s="40" t="n">
        <f aca="false">IF(V$195=0,-Assumptions!$C$29*Assumptions!$E$34/100,0)+IF(AND(V$195&gt;=2,MOD(V$195,2)=0,V$195&lt;=IF($C198=1,$C$5-2,12)),Assumptions!$C$29*Assumptions!$D$34/2,0)+IF($C198=1,IF(V$195=$C$6,Assumptions!$C$29*$C$193,0),IF(V$195=12,Assumptions!$C$29*$E198/100,0))</f>
        <v>0</v>
      </c>
      <c r="W198" s="40" t="n">
        <f aca="false">IF(W$195=0,-Assumptions!$C$29*Assumptions!$E$34/100,0)+IF(AND(W$195&gt;=2,MOD(W$195,2)=0,W$195&lt;=IF($C198=1,$C$5-2,12)),Assumptions!$C$29*Assumptions!$D$34/2,0)+IF($C198=1,IF(W$195=$C$6,Assumptions!$C$29*$C$193,0),IF(W$195=12,Assumptions!$C$29*$E198/100,0))</f>
        <v>0</v>
      </c>
      <c r="X198" s="40" t="n">
        <f aca="false">IF(X$195=0,-Assumptions!$C$29*Assumptions!$E$34/100,0)+IF(AND(X$195&gt;=2,MOD(X$195,2)=0,X$195&lt;=IF($C198=1,$C$5-2,12)),Assumptions!$C$29*Assumptions!$D$34/2,0)+IF($C198=1,IF(X$195=$C$6,Assumptions!$C$29*$C$193,0),IF(X$195=12,Assumptions!$C$29*$E198/100,0))</f>
        <v>0</v>
      </c>
      <c r="Y198" s="40" t="n">
        <f aca="false">IF(Y$195=0,-Assumptions!$C$29*Assumptions!$E$34/100,0)+IF(AND(Y$195&gt;=2,MOD(Y$195,2)=0,Y$195&lt;=IF($C198=1,$C$5-2,12)),Assumptions!$C$29*Assumptions!$D$34/2,0)+IF($C198=1,IF(Y$195=$C$6,Assumptions!$C$29*$C$193,0),IF(Y$195=12,Assumptions!$C$29*$E198/100,0))</f>
        <v>0</v>
      </c>
    </row>
    <row r="199" customFormat="false" ht="15" hidden="false" customHeight="false" outlineLevel="0" collapsed="false">
      <c r="B199" s="9" t="s">
        <v>50</v>
      </c>
      <c r="C199" s="28" t="n">
        <f aca="false">IF($C$12&lt;=$C$194,1,0)</f>
        <v>1</v>
      </c>
      <c r="D199" s="19" t="n">
        <f aca="false">Assumptions!$F$35</f>
        <v>12187.5</v>
      </c>
      <c r="E199" s="39" t="n">
        <f aca="false">PV($F199/2,(Assumptions!$C$30*4-12)/2,-Assumptions!$D$35*100/2,-100)</f>
        <v>98.8794329841845</v>
      </c>
      <c r="F199" s="17" t="n">
        <f aca="false">RATE(Assumptions!$C$30*2,Assumptions!$D$35*100/2,-Assumptions!$E$35,100)*2</f>
        <v>0.0811827080590467</v>
      </c>
      <c r="G199" s="26" t="n">
        <f aca="false">SUM(I199:Y199)</f>
        <v>-4375</v>
      </c>
      <c r="H199" s="17" t="n">
        <f aca="false">(1+IRR(I199:Y199,IF(SUM(I199:Y199)&lt;0,-0.05,0.01)))^4-1</f>
        <v>-0.174492135729601</v>
      </c>
      <c r="I199" s="40" t="n">
        <f aca="false">IF(I$195=0,-Assumptions!$C$29*Assumptions!$E$35/100,0)+IF(AND(I$195&gt;=2,MOD(I$195,2)=0,I$195&lt;=IF($C199=1,$C$5-2,12)),Assumptions!$C$29*Assumptions!$D$35/2,0)+IF($C199=1,IF(I$195=$C$6,Assumptions!$C$29*$C$193,0),IF(I$195=12,Assumptions!$C$29*$E199/100,0))</f>
        <v>-12187.5</v>
      </c>
      <c r="J199" s="40" t="n">
        <f aca="false">IF(J$195=0,-Assumptions!$C$29*Assumptions!$E$35/100,0)+IF(AND(J$195&gt;=2,MOD(J$195,2)=0,J$195&lt;=IF($C199=1,$C$5-2,12)),Assumptions!$C$29*Assumptions!$D$35/2,0)+IF($C199=1,IF(J$195=$C$6,Assumptions!$C$29*$C$193,0),IF(J$195=12,Assumptions!$C$29*$E199/100,0))</f>
        <v>0</v>
      </c>
      <c r="K199" s="40" t="n">
        <f aca="false">IF(K$195=0,-Assumptions!$C$29*Assumptions!$E$35/100,0)+IF(AND(K$195&gt;=2,MOD(K$195,2)=0,K$195&lt;=IF($C199=1,$C$5-2,12)),Assumptions!$C$29*Assumptions!$D$35/2,0)+IF($C199=1,IF(K$195=$C$6,Assumptions!$C$29*$C$193,0),IF(K$195=12,Assumptions!$C$29*$E199/100,0))</f>
        <v>468.75</v>
      </c>
      <c r="L199" s="40" t="n">
        <f aca="false">IF(L$195=0,-Assumptions!$C$29*Assumptions!$E$35/100,0)+IF(AND(L$195&gt;=2,MOD(L$195,2)=0,L$195&lt;=IF($C199=1,$C$5-2,12)),Assumptions!$C$29*Assumptions!$D$35/2,0)+IF($C199=1,IF(L$195=$C$6,Assumptions!$C$29*$C$193,0),IF(L$195=12,Assumptions!$C$29*$E199/100,0))</f>
        <v>0</v>
      </c>
      <c r="M199" s="40" t="n">
        <f aca="false">IF(M$195=0,-Assumptions!$C$29*Assumptions!$E$35/100,0)+IF(AND(M$195&gt;=2,MOD(M$195,2)=0,M$195&lt;=IF($C199=1,$C$5-2,12)),Assumptions!$C$29*Assumptions!$D$35/2,0)+IF($C199=1,IF(M$195=$C$6,Assumptions!$C$29*$C$193,0),IF(M$195=12,Assumptions!$C$29*$E199/100,0))</f>
        <v>468.75</v>
      </c>
      <c r="N199" s="40" t="n">
        <f aca="false">IF(N$195=0,-Assumptions!$C$29*Assumptions!$E$35/100,0)+IF(AND(N$195&gt;=2,MOD(N$195,2)=0,N$195&lt;=IF($C199=1,$C$5-2,12)),Assumptions!$C$29*Assumptions!$D$35/2,0)+IF($C199=1,IF(N$195=$C$6,Assumptions!$C$29*$C$193,0),IF(N$195=12,Assumptions!$C$29*$E199/100,0))</f>
        <v>0</v>
      </c>
      <c r="O199" s="40" t="n">
        <f aca="false">IF(O$195=0,-Assumptions!$C$29*Assumptions!$E$35/100,0)+IF(AND(O$195&gt;=2,MOD(O$195,2)=0,O$195&lt;=IF($C199=1,$C$5-2,12)),Assumptions!$C$29*Assumptions!$D$35/2,0)+IF($C199=1,IF(O$195=$C$6,Assumptions!$C$29*$C$193,0),IF(O$195=12,Assumptions!$C$29*$E199/100,0))</f>
        <v>0</v>
      </c>
      <c r="P199" s="40" t="n">
        <f aca="false">IF(P$195=0,-Assumptions!$C$29*Assumptions!$E$35/100,0)+IF(AND(P$195&gt;=2,MOD(P$195,2)=0,P$195&lt;=IF($C199=1,$C$5-2,12)),Assumptions!$C$29*Assumptions!$D$35/2,0)+IF($C199=1,IF(P$195=$C$6,Assumptions!$C$29*$C$193,0),IF(P$195=12,Assumptions!$C$29*$E199/100,0))</f>
        <v>0</v>
      </c>
      <c r="Q199" s="40" t="n">
        <f aca="false">IF(Q$195=0,-Assumptions!$C$29*Assumptions!$E$35/100,0)+IF(AND(Q$195&gt;=2,MOD(Q$195,2)=0,Q$195&lt;=IF($C199=1,$C$5-2,12)),Assumptions!$C$29*Assumptions!$D$35/2,0)+IF($C199=1,IF(Q$195=$C$6,Assumptions!$C$29*$C$193,0),IF(Q$195=12,Assumptions!$C$29*$E199/100,0))</f>
        <v>0</v>
      </c>
      <c r="R199" s="40" t="n">
        <f aca="false">IF(R$195=0,-Assumptions!$C$29*Assumptions!$E$35/100,0)+IF(AND(R$195&gt;=2,MOD(R$195,2)=0,R$195&lt;=IF($C199=1,$C$5-2,12)),Assumptions!$C$29*Assumptions!$D$35/2,0)+IF($C199=1,IF(R$195=$C$6,Assumptions!$C$29*$C$193,0),IF(R$195=12,Assumptions!$C$29*$E199/100,0))</f>
        <v>0</v>
      </c>
      <c r="S199" s="40" t="n">
        <f aca="false">IF(S$195=0,-Assumptions!$C$29*Assumptions!$E$35/100,0)+IF(AND(S$195&gt;=2,MOD(S$195,2)=0,S$195&lt;=IF($C199=1,$C$5-2,12)),Assumptions!$C$29*Assumptions!$D$35/2,0)+IF($C199=1,IF(S$195=$C$6,Assumptions!$C$29*$C$193,0),IF(S$195=12,Assumptions!$C$29*$E199/100,0))</f>
        <v>6875</v>
      </c>
      <c r="T199" s="40" t="n">
        <f aca="false">IF(T$195=0,-Assumptions!$C$29*Assumptions!$E$35/100,0)+IF(AND(T$195&gt;=2,MOD(T$195,2)=0,T$195&lt;=IF($C199=1,$C$5-2,12)),Assumptions!$C$29*Assumptions!$D$35/2,0)+IF($C199=1,IF(T$195=$C$6,Assumptions!$C$29*$C$193,0),IF(T$195=12,Assumptions!$C$29*$E199/100,0))</f>
        <v>0</v>
      </c>
      <c r="U199" s="40" t="n">
        <f aca="false">IF(U$195=0,-Assumptions!$C$29*Assumptions!$E$35/100,0)+IF(AND(U$195&gt;=2,MOD(U$195,2)=0,U$195&lt;=IF($C199=1,$C$5-2,12)),Assumptions!$C$29*Assumptions!$D$35/2,0)+IF($C199=1,IF(U$195=$C$6,Assumptions!$C$29*$C$193,0),IF(U$195=12,Assumptions!$C$29*$E199/100,0))</f>
        <v>0</v>
      </c>
      <c r="V199" s="40" t="n">
        <f aca="false">IF(V$195=0,-Assumptions!$C$29*Assumptions!$E$35/100,0)+IF(AND(V$195&gt;=2,MOD(V$195,2)=0,V$195&lt;=IF($C199=1,$C$5-2,12)),Assumptions!$C$29*Assumptions!$D$35/2,0)+IF($C199=1,IF(V$195=$C$6,Assumptions!$C$29*$C$193,0),IF(V$195=12,Assumptions!$C$29*$E199/100,0))</f>
        <v>0</v>
      </c>
      <c r="W199" s="40" t="n">
        <f aca="false">IF(W$195=0,-Assumptions!$C$29*Assumptions!$E$35/100,0)+IF(AND(W$195&gt;=2,MOD(W$195,2)=0,W$195&lt;=IF($C199=1,$C$5-2,12)),Assumptions!$C$29*Assumptions!$D$35/2,0)+IF($C199=1,IF(W$195=$C$6,Assumptions!$C$29*$C$193,0),IF(W$195=12,Assumptions!$C$29*$E199/100,0))</f>
        <v>0</v>
      </c>
      <c r="X199" s="40" t="n">
        <f aca="false">IF(X$195=0,-Assumptions!$C$29*Assumptions!$E$35/100,0)+IF(AND(X$195&gt;=2,MOD(X$195,2)=0,X$195&lt;=IF($C199=1,$C$5-2,12)),Assumptions!$C$29*Assumptions!$D$35/2,0)+IF($C199=1,IF(X$195=$C$6,Assumptions!$C$29*$C$193,0),IF(X$195=12,Assumptions!$C$29*$E199/100,0))</f>
        <v>0</v>
      </c>
      <c r="Y199" s="40" t="n">
        <f aca="false">IF(Y$195=0,-Assumptions!$C$29*Assumptions!$E$35/100,0)+IF(AND(Y$195&gt;=2,MOD(Y$195,2)=0,Y$195&lt;=IF($C199=1,$C$5-2,12)),Assumptions!$C$29*Assumptions!$D$35/2,0)+IF($C199=1,IF(Y$195=$C$6,Assumptions!$C$29*$C$193,0),IF(Y$195=12,Assumptions!$C$29*$E199/100,0))</f>
        <v>0</v>
      </c>
    </row>
    <row r="200" customFormat="false" ht="15" hidden="false" customHeight="false" outlineLevel="0" collapsed="false">
      <c r="B200" s="9" t="s">
        <v>51</v>
      </c>
      <c r="C200" s="28" t="n">
        <f aca="false">IF($C$13&lt;=$C$194,1,0)</f>
        <v>1</v>
      </c>
      <c r="D200" s="19" t="n">
        <f aca="false">Assumptions!$F$36</f>
        <v>12125</v>
      </c>
      <c r="E200" s="39" t="n">
        <f aca="false">PV($F200/2,(Assumptions!$C$30*4-12)/2,-Assumptions!$D$36*100/2,-100)</f>
        <v>98.6441572961372</v>
      </c>
      <c r="F200" s="17" t="n">
        <f aca="false">RATE(Assumptions!$C$30*2,Assumptions!$D$36*100/2,-Assumptions!$E$36,100)*2</f>
        <v>0.0875368825411204</v>
      </c>
      <c r="G200" s="26" t="n">
        <f aca="false">SUM(I200:Y200)</f>
        <v>-4250</v>
      </c>
      <c r="H200" s="17" t="n">
        <f aca="false">(1+IRR(I200:Y200,IF(SUM(I200:Y200)&lt;0,-0.05,0.01)))^4-1</f>
        <v>-0.170576378219333</v>
      </c>
      <c r="I200" s="40" t="n">
        <f aca="false">IF(I$195=0,-Assumptions!$C$29*Assumptions!$E$36/100,0)+IF(AND(I$195&gt;=2,MOD(I$195,2)=0,I$195&lt;=IF($C200=1,$C$5-2,12)),Assumptions!$C$29*Assumptions!$D$36/2,0)+IF($C200=1,IF(I$195=$C$6,Assumptions!$C$29*$C$193,0),IF(I$195=12,Assumptions!$C$29*$E200/100,0))</f>
        <v>-12125</v>
      </c>
      <c r="J200" s="40" t="n">
        <f aca="false">IF(J$195=0,-Assumptions!$C$29*Assumptions!$E$36/100,0)+IF(AND(J$195&gt;=2,MOD(J$195,2)=0,J$195&lt;=IF($C200=1,$C$5-2,12)),Assumptions!$C$29*Assumptions!$D$36/2,0)+IF($C200=1,IF(J$195=$C$6,Assumptions!$C$29*$C$193,0),IF(J$195=12,Assumptions!$C$29*$E200/100,0))</f>
        <v>0</v>
      </c>
      <c r="K200" s="40" t="n">
        <f aca="false">IF(K$195=0,-Assumptions!$C$29*Assumptions!$E$36/100,0)+IF(AND(K$195&gt;=2,MOD(K$195,2)=0,K$195&lt;=IF($C200=1,$C$5-2,12)),Assumptions!$C$29*Assumptions!$D$36/2,0)+IF($C200=1,IF(K$195=$C$6,Assumptions!$C$29*$C$193,0),IF(K$195=12,Assumptions!$C$29*$E200/100,0))</f>
        <v>500</v>
      </c>
      <c r="L200" s="40" t="n">
        <f aca="false">IF(L$195=0,-Assumptions!$C$29*Assumptions!$E$36/100,0)+IF(AND(L$195&gt;=2,MOD(L$195,2)=0,L$195&lt;=IF($C200=1,$C$5-2,12)),Assumptions!$C$29*Assumptions!$D$36/2,0)+IF($C200=1,IF(L$195=$C$6,Assumptions!$C$29*$C$193,0),IF(L$195=12,Assumptions!$C$29*$E200/100,0))</f>
        <v>0</v>
      </c>
      <c r="M200" s="40" t="n">
        <f aca="false">IF(M$195=0,-Assumptions!$C$29*Assumptions!$E$36/100,0)+IF(AND(M$195&gt;=2,MOD(M$195,2)=0,M$195&lt;=IF($C200=1,$C$5-2,12)),Assumptions!$C$29*Assumptions!$D$36/2,0)+IF($C200=1,IF(M$195=$C$6,Assumptions!$C$29*$C$193,0),IF(M$195=12,Assumptions!$C$29*$E200/100,0))</f>
        <v>500</v>
      </c>
      <c r="N200" s="40" t="n">
        <f aca="false">IF(N$195=0,-Assumptions!$C$29*Assumptions!$E$36/100,0)+IF(AND(N$195&gt;=2,MOD(N$195,2)=0,N$195&lt;=IF($C200=1,$C$5-2,12)),Assumptions!$C$29*Assumptions!$D$36/2,0)+IF($C200=1,IF(N$195=$C$6,Assumptions!$C$29*$C$193,0),IF(N$195=12,Assumptions!$C$29*$E200/100,0))</f>
        <v>0</v>
      </c>
      <c r="O200" s="40" t="n">
        <f aca="false">IF(O$195=0,-Assumptions!$C$29*Assumptions!$E$36/100,0)+IF(AND(O$195&gt;=2,MOD(O$195,2)=0,O$195&lt;=IF($C200=1,$C$5-2,12)),Assumptions!$C$29*Assumptions!$D$36/2,0)+IF($C200=1,IF(O$195=$C$6,Assumptions!$C$29*$C$193,0),IF(O$195=12,Assumptions!$C$29*$E200/100,0))</f>
        <v>0</v>
      </c>
      <c r="P200" s="40" t="n">
        <f aca="false">IF(P$195=0,-Assumptions!$C$29*Assumptions!$E$36/100,0)+IF(AND(P$195&gt;=2,MOD(P$195,2)=0,P$195&lt;=IF($C200=1,$C$5-2,12)),Assumptions!$C$29*Assumptions!$D$36/2,0)+IF($C200=1,IF(P$195=$C$6,Assumptions!$C$29*$C$193,0),IF(P$195=12,Assumptions!$C$29*$E200/100,0))</f>
        <v>0</v>
      </c>
      <c r="Q200" s="40" t="n">
        <f aca="false">IF(Q$195=0,-Assumptions!$C$29*Assumptions!$E$36/100,0)+IF(AND(Q$195&gt;=2,MOD(Q$195,2)=0,Q$195&lt;=IF($C200=1,$C$5-2,12)),Assumptions!$C$29*Assumptions!$D$36/2,0)+IF($C200=1,IF(Q$195=$C$6,Assumptions!$C$29*$C$193,0),IF(Q$195=12,Assumptions!$C$29*$E200/100,0))</f>
        <v>0</v>
      </c>
      <c r="R200" s="40" t="n">
        <f aca="false">IF(R$195=0,-Assumptions!$C$29*Assumptions!$E$36/100,0)+IF(AND(R$195&gt;=2,MOD(R$195,2)=0,R$195&lt;=IF($C200=1,$C$5-2,12)),Assumptions!$C$29*Assumptions!$D$36/2,0)+IF($C200=1,IF(R$195=$C$6,Assumptions!$C$29*$C$193,0),IF(R$195=12,Assumptions!$C$29*$E200/100,0))</f>
        <v>0</v>
      </c>
      <c r="S200" s="40" t="n">
        <f aca="false">IF(S$195=0,-Assumptions!$C$29*Assumptions!$E$36/100,0)+IF(AND(S$195&gt;=2,MOD(S$195,2)=0,S$195&lt;=IF($C200=1,$C$5-2,12)),Assumptions!$C$29*Assumptions!$D$36/2,0)+IF($C200=1,IF(S$195=$C$6,Assumptions!$C$29*$C$193,0),IF(S$195=12,Assumptions!$C$29*$E200/100,0))</f>
        <v>6875</v>
      </c>
      <c r="T200" s="40" t="n">
        <f aca="false">IF(T$195=0,-Assumptions!$C$29*Assumptions!$E$36/100,0)+IF(AND(T$195&gt;=2,MOD(T$195,2)=0,T$195&lt;=IF($C200=1,$C$5-2,12)),Assumptions!$C$29*Assumptions!$D$36/2,0)+IF($C200=1,IF(T$195=$C$6,Assumptions!$C$29*$C$193,0),IF(T$195=12,Assumptions!$C$29*$E200/100,0))</f>
        <v>0</v>
      </c>
      <c r="U200" s="40" t="n">
        <f aca="false">IF(U$195=0,-Assumptions!$C$29*Assumptions!$E$36/100,0)+IF(AND(U$195&gt;=2,MOD(U$195,2)=0,U$195&lt;=IF($C200=1,$C$5-2,12)),Assumptions!$C$29*Assumptions!$D$36/2,0)+IF($C200=1,IF(U$195=$C$6,Assumptions!$C$29*$C$193,0),IF(U$195=12,Assumptions!$C$29*$E200/100,0))</f>
        <v>0</v>
      </c>
      <c r="V200" s="40" t="n">
        <f aca="false">IF(V$195=0,-Assumptions!$C$29*Assumptions!$E$36/100,0)+IF(AND(V$195&gt;=2,MOD(V$195,2)=0,V$195&lt;=IF($C200=1,$C$5-2,12)),Assumptions!$C$29*Assumptions!$D$36/2,0)+IF($C200=1,IF(V$195=$C$6,Assumptions!$C$29*$C$193,0),IF(V$195=12,Assumptions!$C$29*$E200/100,0))</f>
        <v>0</v>
      </c>
      <c r="W200" s="40" t="n">
        <f aca="false">IF(W$195=0,-Assumptions!$C$29*Assumptions!$E$36/100,0)+IF(AND(W$195&gt;=2,MOD(W$195,2)=0,W$195&lt;=IF($C200=1,$C$5-2,12)),Assumptions!$C$29*Assumptions!$D$36/2,0)+IF($C200=1,IF(W$195=$C$6,Assumptions!$C$29*$C$193,0),IF(W$195=12,Assumptions!$C$29*$E200/100,0))</f>
        <v>0</v>
      </c>
      <c r="X200" s="40" t="n">
        <f aca="false">IF(X$195=0,-Assumptions!$C$29*Assumptions!$E$36/100,0)+IF(AND(X$195&gt;=2,MOD(X$195,2)=0,X$195&lt;=IF($C200=1,$C$5-2,12)),Assumptions!$C$29*Assumptions!$D$36/2,0)+IF($C200=1,IF(X$195=$C$6,Assumptions!$C$29*$C$193,0),IF(X$195=12,Assumptions!$C$29*$E200/100,0))</f>
        <v>0</v>
      </c>
      <c r="Y200" s="40" t="n">
        <f aca="false">IF(Y$195=0,-Assumptions!$C$29*Assumptions!$E$36/100,0)+IF(AND(Y$195&gt;=2,MOD(Y$195,2)=0,Y$195&lt;=IF($C200=1,$C$5-2,12)),Assumptions!$C$29*Assumptions!$D$36/2,0)+IF($C200=1,IF(Y$195=$C$6,Assumptions!$C$29*$C$193,0),IF(Y$195=12,Assumptions!$C$29*$E200/100,0))</f>
        <v>0</v>
      </c>
    </row>
    <row r="201" customFormat="false" ht="15" hidden="false" customHeight="false" outlineLevel="0" collapsed="false">
      <c r="B201" s="9" t="s">
        <v>52</v>
      </c>
      <c r="C201" s="28" t="n">
        <f aca="false">IF($C$14&lt;=$C$194,1,0)</f>
        <v>1</v>
      </c>
      <c r="D201" s="19" t="n">
        <f aca="false">Assumptions!$F$37</f>
        <v>11750</v>
      </c>
      <c r="E201" s="39" t="n">
        <f aca="false">PV($F201/2,(Assumptions!$C$30*4-12)/2,-Assumptions!$D$37*100/2,-100)</f>
        <v>97.2427387979842</v>
      </c>
      <c r="F201" s="17" t="n">
        <f aca="false">RATE(Assumptions!$C$30*2,Assumptions!$D$37*100/2,-Assumptions!$E$37,100)*2</f>
        <v>0.100561753609911</v>
      </c>
      <c r="G201" s="26" t="n">
        <f aca="false">SUM(I201:Y201)</f>
        <v>-3812.5</v>
      </c>
      <c r="H201" s="17" t="n">
        <f aca="false">(1+IRR(I201:Y201,IF(SUM(I201:Y201)&lt;0,-0.05,0.01)))^4-1</f>
        <v>-0.15713978929984</v>
      </c>
      <c r="I201" s="40" t="n">
        <f aca="false">IF(I$195=0,-Assumptions!$C$29*Assumptions!$E$37/100,0)+IF(AND(I$195&gt;=2,MOD(I$195,2)=0,I$195&lt;=IF($C201=1,$C$5-2,12)),Assumptions!$C$29*Assumptions!$D$37/2,0)+IF($C201=1,IF(I$195=$C$6,Assumptions!$C$29*$C$193,0),IF(I$195=12,Assumptions!$C$29*$E201/100,0))</f>
        <v>-11750</v>
      </c>
      <c r="J201" s="40" t="n">
        <f aca="false">IF(J$195=0,-Assumptions!$C$29*Assumptions!$E$37/100,0)+IF(AND(J$195&gt;=2,MOD(J$195,2)=0,J$195&lt;=IF($C201=1,$C$5-2,12)),Assumptions!$C$29*Assumptions!$D$37/2,0)+IF($C201=1,IF(J$195=$C$6,Assumptions!$C$29*$C$193,0),IF(J$195=12,Assumptions!$C$29*$E201/100,0))</f>
        <v>0</v>
      </c>
      <c r="K201" s="40" t="n">
        <f aca="false">IF(K$195=0,-Assumptions!$C$29*Assumptions!$E$37/100,0)+IF(AND(K$195&gt;=2,MOD(K$195,2)=0,K$195&lt;=IF($C201=1,$C$5-2,12)),Assumptions!$C$29*Assumptions!$D$37/2,0)+IF($C201=1,IF(K$195=$C$6,Assumptions!$C$29*$C$193,0),IF(K$195=12,Assumptions!$C$29*$E201/100,0))</f>
        <v>531.25</v>
      </c>
      <c r="L201" s="40" t="n">
        <f aca="false">IF(L$195=0,-Assumptions!$C$29*Assumptions!$E$37/100,0)+IF(AND(L$195&gt;=2,MOD(L$195,2)=0,L$195&lt;=IF($C201=1,$C$5-2,12)),Assumptions!$C$29*Assumptions!$D$37/2,0)+IF($C201=1,IF(L$195=$C$6,Assumptions!$C$29*$C$193,0),IF(L$195=12,Assumptions!$C$29*$E201/100,0))</f>
        <v>0</v>
      </c>
      <c r="M201" s="40" t="n">
        <f aca="false">IF(M$195=0,-Assumptions!$C$29*Assumptions!$E$37/100,0)+IF(AND(M$195&gt;=2,MOD(M$195,2)=0,M$195&lt;=IF($C201=1,$C$5-2,12)),Assumptions!$C$29*Assumptions!$D$37/2,0)+IF($C201=1,IF(M$195=$C$6,Assumptions!$C$29*$C$193,0),IF(M$195=12,Assumptions!$C$29*$E201/100,0))</f>
        <v>531.25</v>
      </c>
      <c r="N201" s="40" t="n">
        <f aca="false">IF(N$195=0,-Assumptions!$C$29*Assumptions!$E$37/100,0)+IF(AND(N$195&gt;=2,MOD(N$195,2)=0,N$195&lt;=IF($C201=1,$C$5-2,12)),Assumptions!$C$29*Assumptions!$D$37/2,0)+IF($C201=1,IF(N$195=$C$6,Assumptions!$C$29*$C$193,0),IF(N$195=12,Assumptions!$C$29*$E201/100,0))</f>
        <v>0</v>
      </c>
      <c r="O201" s="40" t="n">
        <f aca="false">IF(O$195=0,-Assumptions!$C$29*Assumptions!$E$37/100,0)+IF(AND(O$195&gt;=2,MOD(O$195,2)=0,O$195&lt;=IF($C201=1,$C$5-2,12)),Assumptions!$C$29*Assumptions!$D$37/2,0)+IF($C201=1,IF(O$195=$C$6,Assumptions!$C$29*$C$193,0),IF(O$195=12,Assumptions!$C$29*$E201/100,0))</f>
        <v>0</v>
      </c>
      <c r="P201" s="40" t="n">
        <f aca="false">IF(P$195=0,-Assumptions!$C$29*Assumptions!$E$37/100,0)+IF(AND(P$195&gt;=2,MOD(P$195,2)=0,P$195&lt;=IF($C201=1,$C$5-2,12)),Assumptions!$C$29*Assumptions!$D$37/2,0)+IF($C201=1,IF(P$195=$C$6,Assumptions!$C$29*$C$193,0),IF(P$195=12,Assumptions!$C$29*$E201/100,0))</f>
        <v>0</v>
      </c>
      <c r="Q201" s="40" t="n">
        <f aca="false">IF(Q$195=0,-Assumptions!$C$29*Assumptions!$E$37/100,0)+IF(AND(Q$195&gt;=2,MOD(Q$195,2)=0,Q$195&lt;=IF($C201=1,$C$5-2,12)),Assumptions!$C$29*Assumptions!$D$37/2,0)+IF($C201=1,IF(Q$195=$C$6,Assumptions!$C$29*$C$193,0),IF(Q$195=12,Assumptions!$C$29*$E201/100,0))</f>
        <v>0</v>
      </c>
      <c r="R201" s="40" t="n">
        <f aca="false">IF(R$195=0,-Assumptions!$C$29*Assumptions!$E$37/100,0)+IF(AND(R$195&gt;=2,MOD(R$195,2)=0,R$195&lt;=IF($C201=1,$C$5-2,12)),Assumptions!$C$29*Assumptions!$D$37/2,0)+IF($C201=1,IF(R$195=$C$6,Assumptions!$C$29*$C$193,0),IF(R$195=12,Assumptions!$C$29*$E201/100,0))</f>
        <v>0</v>
      </c>
      <c r="S201" s="40" t="n">
        <f aca="false">IF(S$195=0,-Assumptions!$C$29*Assumptions!$E$37/100,0)+IF(AND(S$195&gt;=2,MOD(S$195,2)=0,S$195&lt;=IF($C201=1,$C$5-2,12)),Assumptions!$C$29*Assumptions!$D$37/2,0)+IF($C201=1,IF(S$195=$C$6,Assumptions!$C$29*$C$193,0),IF(S$195=12,Assumptions!$C$29*$E201/100,0))</f>
        <v>6875</v>
      </c>
      <c r="T201" s="40" t="n">
        <f aca="false">IF(T$195=0,-Assumptions!$C$29*Assumptions!$E$37/100,0)+IF(AND(T$195&gt;=2,MOD(T$195,2)=0,T$195&lt;=IF($C201=1,$C$5-2,12)),Assumptions!$C$29*Assumptions!$D$37/2,0)+IF($C201=1,IF(T$195=$C$6,Assumptions!$C$29*$C$193,0),IF(T$195=12,Assumptions!$C$29*$E201/100,0))</f>
        <v>0</v>
      </c>
      <c r="U201" s="40" t="n">
        <f aca="false">IF(U$195=0,-Assumptions!$C$29*Assumptions!$E$37/100,0)+IF(AND(U$195&gt;=2,MOD(U$195,2)=0,U$195&lt;=IF($C201=1,$C$5-2,12)),Assumptions!$C$29*Assumptions!$D$37/2,0)+IF($C201=1,IF(U$195=$C$6,Assumptions!$C$29*$C$193,0),IF(U$195=12,Assumptions!$C$29*$E201/100,0))</f>
        <v>0</v>
      </c>
      <c r="V201" s="40" t="n">
        <f aca="false">IF(V$195=0,-Assumptions!$C$29*Assumptions!$E$37/100,0)+IF(AND(V$195&gt;=2,MOD(V$195,2)=0,V$195&lt;=IF($C201=1,$C$5-2,12)),Assumptions!$C$29*Assumptions!$D$37/2,0)+IF($C201=1,IF(V$195=$C$6,Assumptions!$C$29*$C$193,0),IF(V$195=12,Assumptions!$C$29*$E201/100,0))</f>
        <v>0</v>
      </c>
      <c r="W201" s="40" t="n">
        <f aca="false">IF(W$195=0,-Assumptions!$C$29*Assumptions!$E$37/100,0)+IF(AND(W$195&gt;=2,MOD(W$195,2)=0,W$195&lt;=IF($C201=1,$C$5-2,12)),Assumptions!$C$29*Assumptions!$D$37/2,0)+IF($C201=1,IF(W$195=$C$6,Assumptions!$C$29*$C$193,0),IF(W$195=12,Assumptions!$C$29*$E201/100,0))</f>
        <v>0</v>
      </c>
      <c r="X201" s="40" t="n">
        <f aca="false">IF(X$195=0,-Assumptions!$C$29*Assumptions!$E$37/100,0)+IF(AND(X$195&gt;=2,MOD(X$195,2)=0,X$195&lt;=IF($C201=1,$C$5-2,12)),Assumptions!$C$29*Assumptions!$D$37/2,0)+IF($C201=1,IF(X$195=$C$6,Assumptions!$C$29*$C$193,0),IF(X$195=12,Assumptions!$C$29*$E201/100,0))</f>
        <v>0</v>
      </c>
      <c r="Y201" s="40" t="n">
        <f aca="false">IF(Y$195=0,-Assumptions!$C$29*Assumptions!$E$37/100,0)+IF(AND(Y$195&gt;=2,MOD(Y$195,2)=0,Y$195&lt;=IF($C201=1,$C$5-2,12)),Assumptions!$C$29*Assumptions!$D$37/2,0)+IF($C201=1,IF(Y$195=$C$6,Assumptions!$C$29*$C$193,0),IF(Y$195=12,Assumptions!$C$29*$E201/100,0))</f>
        <v>0</v>
      </c>
    </row>
    <row r="202" customFormat="false" ht="15" hidden="false" customHeight="false" outlineLevel="0" collapsed="false">
      <c r="B202" s="29" t="s">
        <v>154</v>
      </c>
      <c r="D202" s="41" t="n">
        <f aca="false">SUM(D196:D201)</f>
        <v>73000</v>
      </c>
      <c r="G202" s="41" t="n">
        <f aca="false">SUM(I202:Y202)</f>
        <v>-11575.9121175395</v>
      </c>
      <c r="H202" s="30" t="n">
        <f aca="false">(1+IRR(I202:Y202,IF(SUM(I202:Y202)&lt;0,-0.05,0.01)))^4-1</f>
        <v>-0.0656770399067929</v>
      </c>
      <c r="I202" s="42" t="n">
        <f aca="false">SUM(I196:I201)</f>
        <v>-73000</v>
      </c>
      <c r="J202" s="42" t="n">
        <f aca="false">SUM(J196:J201)</f>
        <v>0</v>
      </c>
      <c r="K202" s="42" t="n">
        <f aca="false">SUM(K196:K201)</f>
        <v>2812.5</v>
      </c>
      <c r="L202" s="42" t="n">
        <f aca="false">SUM(L196:L201)</f>
        <v>0</v>
      </c>
      <c r="M202" s="42" t="n">
        <f aca="false">SUM(M196:M201)</f>
        <v>2812.5</v>
      </c>
      <c r="N202" s="42" t="n">
        <f aca="false">SUM(N196:N201)</f>
        <v>0</v>
      </c>
      <c r="O202" s="42" t="n">
        <f aca="false">SUM(O196:O201)</f>
        <v>859.375</v>
      </c>
      <c r="P202" s="42" t="n">
        <f aca="false">SUM(P196:P201)</f>
        <v>0</v>
      </c>
      <c r="Q202" s="42" t="n">
        <f aca="false">SUM(Q196:Q201)</f>
        <v>859.375</v>
      </c>
      <c r="R202" s="42" t="n">
        <f aca="false">SUM(R196:R201)</f>
        <v>0</v>
      </c>
      <c r="S202" s="42" t="n">
        <f aca="false">SUM(S196:S201)</f>
        <v>28359.375</v>
      </c>
      <c r="T202" s="42" t="n">
        <f aca="false">SUM(T196:T201)</f>
        <v>0</v>
      </c>
      <c r="U202" s="42" t="n">
        <f aca="false">SUM(U196:U201)</f>
        <v>25720.9628824605</v>
      </c>
      <c r="V202" s="42" t="n">
        <f aca="false">SUM(V196:V201)</f>
        <v>0</v>
      </c>
      <c r="W202" s="42" t="n">
        <f aca="false">SUM(W196:W201)</f>
        <v>0</v>
      </c>
      <c r="X202" s="42" t="n">
        <f aca="false">SUM(X196:X201)</f>
        <v>0</v>
      </c>
      <c r="Y202" s="42" t="n">
        <f aca="false">SUM(Y196:Y201)</f>
        <v>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J1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50"/>
    <col collapsed="false" customWidth="true" hidden="false" outlineLevel="0" max="5" min="3" style="0" width="13"/>
    <col collapsed="false" customWidth="true" hidden="false" outlineLevel="0" max="6" min="6" style="0" width="15"/>
    <col collapsed="false" customWidth="true" hidden="false" outlineLevel="0" max="9" min="7" style="0" width="13"/>
  </cols>
  <sheetData>
    <row r="1" customFormat="false" ht="6" hidden="false" customHeight="true" outlineLevel="0" collapsed="false"/>
    <row r="2" customFormat="false" ht="17.35" hidden="false" customHeight="false" outlineLevel="0" collapsed="false">
      <c r="B2" s="5" t="s">
        <v>169</v>
      </c>
    </row>
    <row r="3" customFormat="false" ht="15" hidden="false" customHeight="false" outlineLevel="0" collapsed="false">
      <c r="B3" s="6" t="s">
        <v>170</v>
      </c>
    </row>
    <row r="5" customFormat="false" ht="15" hidden="false" customHeight="false" outlineLevel="0" collapsed="false">
      <c r="B5" s="9" t="s">
        <v>171</v>
      </c>
      <c r="C5" s="17" t="n">
        <f aca="false">Assumptions!$F$26</f>
        <v>0.0545</v>
      </c>
    </row>
    <row r="6" customFormat="false" ht="15" hidden="false" customHeight="false" outlineLevel="0" collapsed="false">
      <c r="B6" s="9" t="s">
        <v>172</v>
      </c>
      <c r="C6" s="17" t="n">
        <f aca="false">$C$5</f>
        <v>0.0545</v>
      </c>
    </row>
    <row r="7" customFormat="false" ht="15" hidden="false" customHeight="false" outlineLevel="0" collapsed="false">
      <c r="B7" s="9" t="s">
        <v>173</v>
      </c>
      <c r="C7" s="28" t="n">
        <f aca="false">Assumptions!$E$26*2</f>
        <v>12</v>
      </c>
    </row>
    <row r="9" customFormat="false" ht="15" hidden="false" customHeight="false" outlineLevel="0" collapsed="false">
      <c r="B9" s="7" t="s">
        <v>174</v>
      </c>
      <c r="C9" s="8"/>
      <c r="D9" s="8"/>
      <c r="E9" s="8"/>
      <c r="F9" s="8"/>
      <c r="G9" s="8"/>
      <c r="H9" s="8"/>
      <c r="I9" s="8"/>
      <c r="J9" s="8"/>
    </row>
    <row r="10" customFormat="false" ht="30" hidden="false" customHeight="true" outlineLevel="0" collapsed="false">
      <c r="B10" s="13" t="s">
        <v>175</v>
      </c>
      <c r="C10" s="14" t="s">
        <v>109</v>
      </c>
      <c r="D10" s="14" t="s">
        <v>176</v>
      </c>
      <c r="E10" s="14" t="s">
        <v>177</v>
      </c>
      <c r="F10" s="14" t="s">
        <v>178</v>
      </c>
      <c r="G10" s="14" t="s">
        <v>179</v>
      </c>
      <c r="H10" s="14" t="s">
        <v>179</v>
      </c>
      <c r="I10" s="14" t="s">
        <v>179</v>
      </c>
    </row>
    <row r="11" customFormat="false" ht="15" hidden="false" customHeight="false" outlineLevel="0" collapsed="false">
      <c r="B11" s="43" t="s">
        <v>180</v>
      </c>
      <c r="G11" s="10" t="n">
        <v>0.01</v>
      </c>
      <c r="H11" s="10" t="n">
        <v>-0.01</v>
      </c>
      <c r="I11" s="10" t="n">
        <v>0.02</v>
      </c>
    </row>
    <row r="12" customFormat="false" ht="15" hidden="false" customHeight="false" outlineLevel="0" collapsed="false">
      <c r="B12" s="31" t="n">
        <v>1</v>
      </c>
      <c r="C12" s="39" t="n">
        <f aca="false">IF(B12&lt;=$C$7,$C$5*100/2+IF(B12=$C$7,100,0),0)</f>
        <v>2.725</v>
      </c>
      <c r="D12" s="39" t="n">
        <f aca="false">C12/(1+$C$6/2)^B12</f>
        <v>2.65271355560964</v>
      </c>
      <c r="E12" s="39" t="n">
        <f aca="false">B12*D12</f>
        <v>2.65271355560964</v>
      </c>
      <c r="F12" s="39" t="n">
        <f aca="false">B12*(B12+1)*D12</f>
        <v>5.30542711121928</v>
      </c>
      <c r="G12" s="39" t="n">
        <f aca="false">C12/(1+($C$6+G$11)/2)^B12</f>
        <v>2.63986437394042</v>
      </c>
      <c r="H12" s="39" t="n">
        <f aca="false">C12/(1+($C$6+H$11)/2)^B12</f>
        <v>2.66568843237955</v>
      </c>
      <c r="I12" s="39" t="n">
        <f aca="false">C12/(1+($C$6+I$11)/2)^B12</f>
        <v>2.62713906965534</v>
      </c>
    </row>
    <row r="13" customFormat="false" ht="15" hidden="false" customHeight="false" outlineLevel="0" collapsed="false">
      <c r="B13" s="31" t="n">
        <v>2</v>
      </c>
      <c r="C13" s="39" t="n">
        <f aca="false">IF(B13&lt;=$C$7,$C$5*100/2+IF(B13=$C$7,100,0),0)</f>
        <v>2.725</v>
      </c>
      <c r="D13" s="39" t="n">
        <f aca="false">C13/(1+$C$6/2)^B13</f>
        <v>2.58234466352849</v>
      </c>
      <c r="E13" s="39" t="n">
        <f aca="false">B13*D13</f>
        <v>5.16468932705697</v>
      </c>
      <c r="F13" s="39" t="n">
        <f aca="false">B13*(B13+1)*D13</f>
        <v>15.4940679811709</v>
      </c>
      <c r="G13" s="39" t="n">
        <f aca="false">C13/(1+($C$6+G$11)/2)^B13</f>
        <v>2.55738859185316</v>
      </c>
      <c r="H13" s="39" t="n">
        <f aca="false">C13/(1+($C$6+H$11)/2)^B13</f>
        <v>2.60766782331089</v>
      </c>
      <c r="I13" s="39" t="n">
        <f aca="false">C13/(1+($C$6+I$11)/2)^B13</f>
        <v>2.53279254726955</v>
      </c>
    </row>
    <row r="14" customFormat="false" ht="15" hidden="false" customHeight="false" outlineLevel="0" collapsed="false">
      <c r="B14" s="31" t="n">
        <v>3</v>
      </c>
      <c r="C14" s="39" t="n">
        <f aca="false">IF(B14&lt;=$C$7,$C$5*100/2+IF(B14=$C$7,100,0),0)</f>
        <v>2.725</v>
      </c>
      <c r="D14" s="39" t="n">
        <f aca="false">C14/(1+$C$6/2)^B14</f>
        <v>2.5138424565865</v>
      </c>
      <c r="E14" s="39" t="n">
        <f aca="false">B14*D14</f>
        <v>7.54152736975951</v>
      </c>
      <c r="F14" s="39" t="n">
        <f aca="false">B14*(B14+1)*D14</f>
        <v>30.166109479038</v>
      </c>
      <c r="G14" s="39" t="n">
        <f aca="false">C14/(1+($C$6+G$11)/2)^B14</f>
        <v>2.47748955374489</v>
      </c>
      <c r="H14" s="39" t="n">
        <f aca="false">C14/(1+($C$6+H$11)/2)^B14</f>
        <v>2.55091007416081</v>
      </c>
      <c r="I14" s="39" t="n">
        <f aca="false">C14/(1+($C$6+I$11)/2)^B14</f>
        <v>2.44183422248209</v>
      </c>
    </row>
    <row r="15" customFormat="false" ht="15" hidden="false" customHeight="false" outlineLevel="0" collapsed="false">
      <c r="B15" s="31" t="n">
        <v>4</v>
      </c>
      <c r="C15" s="39" t="n">
        <f aca="false">IF(B15&lt;=$C$7,$C$5*100/2+IF(B15=$C$7,100,0),0)</f>
        <v>2.725</v>
      </c>
      <c r="D15" s="39" t="n">
        <f aca="false">C15/(1+$C$6/2)^B15</f>
        <v>2.44715741697396</v>
      </c>
      <c r="E15" s="39" t="n">
        <f aca="false">B15*D15</f>
        <v>9.78862966789585</v>
      </c>
      <c r="F15" s="39" t="n">
        <f aca="false">B15*(B15+1)*D15</f>
        <v>48.9431483394793</v>
      </c>
      <c r="G15" s="39" t="n">
        <f aca="false">C15/(1+($C$6+G$11)/2)^B15</f>
        <v>2.40008675586814</v>
      </c>
      <c r="H15" s="39" t="n">
        <f aca="false">C15/(1+($C$6+H$11)/2)^B15</f>
        <v>2.49538769788291</v>
      </c>
      <c r="I15" s="39" t="n">
        <f aca="false">C15/(1+($C$6+I$11)/2)^B15</f>
        <v>2.35414241743272</v>
      </c>
    </row>
    <row r="16" customFormat="false" ht="15" hidden="false" customHeight="false" outlineLevel="0" collapsed="false">
      <c r="B16" s="31" t="n">
        <v>5</v>
      </c>
      <c r="C16" s="39" t="n">
        <f aca="false">IF(B16&lt;=$C$7,$C$5*100/2+IF(B16=$C$7,100,0),0)</f>
        <v>2.725</v>
      </c>
      <c r="D16" s="39" t="n">
        <f aca="false">C16/(1+$C$6/2)^B16</f>
        <v>2.38224134044679</v>
      </c>
      <c r="E16" s="39" t="n">
        <f aca="false">B16*D16</f>
        <v>11.9112067022339</v>
      </c>
      <c r="F16" s="39" t="n">
        <f aca="false">B16*(B16+1)*D16</f>
        <v>71.4672402134037</v>
      </c>
      <c r="G16" s="39" t="n">
        <f aca="false">C16/(1+($C$6+G$11)/2)^B16</f>
        <v>2.32510220960827</v>
      </c>
      <c r="H16" s="39" t="n">
        <f aca="false">C16/(1+($C$6+H$11)/2)^B16</f>
        <v>2.44107380570596</v>
      </c>
      <c r="I16" s="39" t="n">
        <f aca="false">C16/(1+($C$6+I$11)/2)^B16</f>
        <v>2.26959982398913</v>
      </c>
    </row>
    <row r="17" customFormat="false" ht="15" hidden="false" customHeight="false" outlineLevel="0" collapsed="false">
      <c r="B17" s="31" t="n">
        <v>6</v>
      </c>
      <c r="C17" s="39" t="n">
        <f aca="false">IF(B17&lt;=$C$7,$C$5*100/2+IF(B17=$C$7,100,0),0)</f>
        <v>2.725</v>
      </c>
      <c r="D17" s="39" t="n">
        <f aca="false">C17/(1+$C$6/2)^B17</f>
        <v>2.31904730148142</v>
      </c>
      <c r="E17" s="39" t="n">
        <f aca="false">B17*D17</f>
        <v>13.9142838088885</v>
      </c>
      <c r="F17" s="39" t="n">
        <f aca="false">B17*(B17+1)*D17</f>
        <v>97.3999866622196</v>
      </c>
      <c r="G17" s="39" t="n">
        <f aca="false">C17/(1+($C$6+G$11)/2)^B17</f>
        <v>2.2524603629046</v>
      </c>
      <c r="H17" s="39" t="n">
        <f aca="false">C17/(1+($C$6+H$11)/2)^B17</f>
        <v>2.38794209411196</v>
      </c>
      <c r="I17" s="39" t="n">
        <f aca="false">C17/(1+($C$6+I$11)/2)^B17</f>
        <v>2.18809334682008</v>
      </c>
    </row>
    <row r="18" customFormat="false" ht="15" hidden="false" customHeight="false" outlineLevel="0" collapsed="false">
      <c r="B18" s="31" t="n">
        <v>7</v>
      </c>
      <c r="C18" s="39" t="n">
        <f aca="false">IF(B18&lt;=$C$7,$C$5*100/2+IF(B18=$C$7,100,0),0)</f>
        <v>2.725</v>
      </c>
      <c r="D18" s="39" t="n">
        <f aca="false">C18/(1+$C$6/2)^B18</f>
        <v>2.25752961935402</v>
      </c>
      <c r="E18" s="39" t="n">
        <f aca="false">B18*D18</f>
        <v>15.8027073354782</v>
      </c>
      <c r="F18" s="39" t="n">
        <f aca="false">B18*(B18+1)*D18</f>
        <v>126.421658683825</v>
      </c>
      <c r="G18" s="39" t="n">
        <f aca="false">C18/(1+($C$6+G$11)/2)^B18</f>
        <v>2.18208802412652</v>
      </c>
      <c r="H18" s="39" t="n">
        <f aca="false">C18/(1+($C$6+H$11)/2)^B18</f>
        <v>2.33596683209779</v>
      </c>
      <c r="I18" s="39" t="n">
        <f aca="false">C18/(1+($C$6+I$11)/2)^B18</f>
        <v>2.1095139521042</v>
      </c>
    </row>
    <row r="19" customFormat="false" ht="15" hidden="false" customHeight="false" outlineLevel="0" collapsed="false">
      <c r="B19" s="31" t="n">
        <v>8</v>
      </c>
      <c r="C19" s="39" t="n">
        <f aca="false">IF(B19&lt;=$C$7,$C$5*100/2+IF(B19=$C$7,100,0),0)</f>
        <v>2.725</v>
      </c>
      <c r="D19" s="39" t="n">
        <f aca="false">C19/(1+$C$6/2)^B19</f>
        <v>2.19764382511952</v>
      </c>
      <c r="E19" s="39" t="n">
        <f aca="false">B19*D19</f>
        <v>17.5811506009561</v>
      </c>
      <c r="F19" s="39" t="n">
        <f aca="false">B19*(B19+1)*D19</f>
        <v>158.230355408605</v>
      </c>
      <c r="G19" s="39" t="n">
        <f aca="false">C19/(1+($C$6+G$11)/2)^B19</f>
        <v>2.11391428832794</v>
      </c>
      <c r="H19" s="39" t="n">
        <f aca="false">C19/(1+($C$6+H$11)/2)^B19</f>
        <v>2.2851228487139</v>
      </c>
      <c r="I19" s="39" t="n">
        <f aca="false">C19/(1+($C$6+I$11)/2)^B19</f>
        <v>2.03375652167192</v>
      </c>
    </row>
    <row r="20" customFormat="false" ht="15" hidden="false" customHeight="false" outlineLevel="0" collapsed="false">
      <c r="B20" s="31" t="n">
        <v>9</v>
      </c>
      <c r="C20" s="39" t="n">
        <f aca="false">IF(B20&lt;=$C$7,$C$5*100/2+IF(B20=$C$7,100,0),0)</f>
        <v>2.725</v>
      </c>
      <c r="D20" s="39" t="n">
        <f aca="false">C20/(1+$C$6/2)^B20</f>
        <v>2.13934662946655</v>
      </c>
      <c r="E20" s="39" t="n">
        <f aca="false">B20*D20</f>
        <v>19.254119665199</v>
      </c>
      <c r="F20" s="39" t="n">
        <f aca="false">B20*(B20+1)*D20</f>
        <v>192.54119665199</v>
      </c>
      <c r="G20" s="39" t="n">
        <f aca="false">C20/(1+($C$6+G$11)/2)^B20</f>
        <v>2.04787046580571</v>
      </c>
      <c r="H20" s="39" t="n">
        <f aca="false">C20/(1+($C$6+H$11)/2)^B20</f>
        <v>2.23538552087445</v>
      </c>
      <c r="I20" s="39" t="n">
        <f aca="false">C20/(1+($C$6+I$11)/2)^B20</f>
        <v>1.96071971238556</v>
      </c>
    </row>
    <row r="21" customFormat="false" ht="15" hidden="false" customHeight="false" outlineLevel="0" collapsed="false">
      <c r="B21" s="31" t="n">
        <v>10</v>
      </c>
      <c r="C21" s="39" t="n">
        <f aca="false">IF(B21&lt;=$C$7,$C$5*100/2+IF(B21=$C$7,100,0),0)</f>
        <v>2.725</v>
      </c>
      <c r="D21" s="39" t="n">
        <f aca="false">C21/(1+$C$6/2)^B21</f>
        <v>2.08259589142522</v>
      </c>
      <c r="E21" s="39" t="n">
        <f aca="false">B21*D21</f>
        <v>20.8259589142522</v>
      </c>
      <c r="F21" s="39" t="n">
        <f aca="false">B21*(B21+1)*D21</f>
        <v>229.085548056774</v>
      </c>
      <c r="G21" s="39" t="n">
        <f aca="false">C21/(1+($C$6+G$11)/2)^B21</f>
        <v>1.98389001289001</v>
      </c>
      <c r="H21" s="39" t="n">
        <f aca="false">C21/(1+($C$6+H$11)/2)^B21</f>
        <v>2.18673076143257</v>
      </c>
      <c r="I21" s="39" t="n">
        <f aca="false">C21/(1+($C$6+I$11)/2)^B21</f>
        <v>1.89030582056935</v>
      </c>
    </row>
    <row r="22" customFormat="false" ht="15" hidden="false" customHeight="false" outlineLevel="0" collapsed="false">
      <c r="B22" s="31" t="n">
        <v>11</v>
      </c>
      <c r="C22" s="39" t="n">
        <f aca="false">IF(B22&lt;=$C$7,$C$5*100/2+IF(B22=$C$7,100,0),0)</f>
        <v>2.725</v>
      </c>
      <c r="D22" s="39" t="n">
        <f aca="false">C22/(1+$C$6/2)^B22</f>
        <v>2.02735058790481</v>
      </c>
      <c r="E22" s="39" t="n">
        <f aca="false">B22*D22</f>
        <v>22.3008564669529</v>
      </c>
      <c r="F22" s="39" t="n">
        <f aca="false">B22*(B22+1)*D22</f>
        <v>267.610277603435</v>
      </c>
      <c r="G22" s="39" t="n">
        <f aca="false">C22/(1+($C$6+G$11)/2)^B22</f>
        <v>1.92190846489708</v>
      </c>
      <c r="H22" s="39" t="n">
        <f aca="false">C22/(1+($C$6+H$11)/2)^B22</f>
        <v>2.13913500751536</v>
      </c>
      <c r="I22" s="39" t="n">
        <f aca="false">C22/(1+($C$6+I$11)/2)^B22</f>
        <v>1.82242065130812</v>
      </c>
    </row>
    <row r="23" customFormat="false" ht="15" hidden="false" customHeight="false" outlineLevel="0" collapsed="false">
      <c r="B23" s="31" t="n">
        <v>12</v>
      </c>
      <c r="C23" s="39" t="n">
        <f aca="false">IF(B23&lt;=$C$7,$C$5*100/2+IF(B23=$C$7,100,0),0)</f>
        <v>102.725</v>
      </c>
      <c r="D23" s="39" t="n">
        <f aca="false">C23/(1+$C$6/2)^B23</f>
        <v>74.3981867121031</v>
      </c>
      <c r="E23" s="39" t="n">
        <f aca="false">B23*D23</f>
        <v>892.778240545237</v>
      </c>
      <c r="F23" s="39" t="n">
        <f aca="false">B23*(B23+1)*D23</f>
        <v>11606.1171270881</v>
      </c>
      <c r="G23" s="39" t="n">
        <f aca="false">C23/(1+($C$6+G$11)/2)^B23</f>
        <v>70.1871246987594</v>
      </c>
      <c r="H23" s="39" t="n">
        <f aca="false">C23/(1+($C$6+H$11)/2)^B23</f>
        <v>78.8843260022355</v>
      </c>
      <c r="I23" s="39" t="n">
        <f aca="false">C23/(1+($C$6+I$11)/2)^B23</f>
        <v>66.2330611883935</v>
      </c>
    </row>
    <row r="24" customFormat="false" ht="15" hidden="false" customHeight="false" outlineLevel="0" collapsed="false">
      <c r="B24" s="9" t="s">
        <v>181</v>
      </c>
      <c r="C24" s="27" t="n">
        <f aca="false">SUM(D12:D23)</f>
        <v>100</v>
      </c>
    </row>
    <row r="25" customFormat="false" ht="15" hidden="false" customHeight="false" outlineLevel="0" collapsed="false">
      <c r="B25" s="9" t="s">
        <v>182</v>
      </c>
      <c r="C25" s="27" t="n">
        <f aca="false">SUM(E12:E23)/C24/2</f>
        <v>5.1975804197976</v>
      </c>
    </row>
    <row r="26" customFormat="false" ht="15" hidden="false" customHeight="false" outlineLevel="0" collapsed="false">
      <c r="B26" s="9" t="s">
        <v>183</v>
      </c>
      <c r="C26" s="27" t="n">
        <f aca="false">C25/(1+$C$6/2)</f>
        <v>5.05970349943792</v>
      </c>
    </row>
    <row r="27" customFormat="false" ht="15" hidden="false" customHeight="false" outlineLevel="0" collapsed="false">
      <c r="B27" s="9" t="s">
        <v>184</v>
      </c>
      <c r="C27" s="27" t="n">
        <f aca="false">SUM(F12:F23)/C24/(1+$C$6/2)^2/4</f>
        <v>30.4403522940709</v>
      </c>
    </row>
    <row r="28" customFormat="false" ht="15" hidden="false" customHeight="false" outlineLevel="0" collapsed="false">
      <c r="B28" s="9" t="s">
        <v>185</v>
      </c>
      <c r="C28" s="27" t="n">
        <f aca="false">SUM(G12:G23)</f>
        <v>95.0891878027261</v>
      </c>
    </row>
    <row r="29" customFormat="false" ht="15" hidden="false" customHeight="false" outlineLevel="0" collapsed="false">
      <c r="B29" s="9" t="s">
        <v>186</v>
      </c>
      <c r="C29" s="27" t="n">
        <f aca="false">SUM(H12:H23)</f>
        <v>105.215336900422</v>
      </c>
    </row>
    <row r="30" customFormat="false" ht="15" hidden="false" customHeight="false" outlineLevel="0" collapsed="false">
      <c r="B30" s="9" t="s">
        <v>187</v>
      </c>
      <c r="C30" s="27" t="n">
        <f aca="false">SUM(I12:I23)</f>
        <v>90.4633792740816</v>
      </c>
    </row>
    <row r="31" customFormat="false" ht="15" hidden="false" customHeight="false" outlineLevel="0" collapsed="false">
      <c r="B31" s="9" t="s">
        <v>188</v>
      </c>
      <c r="C31" s="27" t="n">
        <f aca="false">PV($C$6/2,$C$7,-$C$5*100/2,-100)</f>
        <v>100</v>
      </c>
    </row>
    <row r="33" customFormat="false" ht="15" hidden="false" customHeight="false" outlineLevel="0" collapsed="false">
      <c r="B33" s="9" t="s">
        <v>189</v>
      </c>
      <c r="C33" s="17" t="n">
        <f aca="false">$C$28/$C$24-1</f>
        <v>-0.0491081219727392</v>
      </c>
    </row>
    <row r="34" customFormat="false" ht="15" hidden="false" customHeight="false" outlineLevel="0" collapsed="false">
      <c r="B34" s="9" t="s">
        <v>190</v>
      </c>
      <c r="C34" s="17" t="n">
        <f aca="false">-$C$26*$G$11</f>
        <v>-0.0505970349943792</v>
      </c>
    </row>
    <row r="35" customFormat="false" ht="15" hidden="false" customHeight="false" outlineLevel="0" collapsed="false">
      <c r="B35" s="9" t="s">
        <v>191</v>
      </c>
      <c r="C35" s="17" t="n">
        <f aca="false">$C$34+0.5*$C$27*$G$11^2</f>
        <v>-0.0490750173796756</v>
      </c>
    </row>
    <row r="37" customFormat="false" ht="15" hidden="false" customHeight="false" outlineLevel="0" collapsed="false">
      <c r="B37" s="9" t="s">
        <v>192</v>
      </c>
      <c r="C37" s="17" t="n">
        <f aca="false">Assumptions!$F$22</f>
        <v>0.048</v>
      </c>
    </row>
    <row r="38" customFormat="false" ht="15" hidden="false" customHeight="false" outlineLevel="0" collapsed="false">
      <c r="B38" s="9" t="s">
        <v>173</v>
      </c>
      <c r="C38" s="28" t="n">
        <f aca="false">Assumptions!$E$22*2</f>
        <v>4</v>
      </c>
    </row>
    <row r="40" customFormat="false" ht="15" hidden="false" customHeight="false" outlineLevel="0" collapsed="false">
      <c r="B40" s="7" t="s">
        <v>193</v>
      </c>
      <c r="C40" s="8"/>
      <c r="D40" s="8"/>
      <c r="E40" s="8"/>
      <c r="F40" s="8"/>
      <c r="G40" s="8"/>
      <c r="H40" s="8"/>
    </row>
    <row r="41" customFormat="false" ht="30" hidden="false" customHeight="true" outlineLevel="0" collapsed="false">
      <c r="B41" s="13" t="s">
        <v>175</v>
      </c>
      <c r="C41" s="14" t="s">
        <v>109</v>
      </c>
      <c r="D41" s="14" t="s">
        <v>176</v>
      </c>
      <c r="E41" s="14" t="s">
        <v>177</v>
      </c>
      <c r="F41" s="14" t="s">
        <v>178</v>
      </c>
      <c r="G41" s="14" t="s">
        <v>179</v>
      </c>
    </row>
    <row r="42" customFormat="false" ht="15" hidden="false" customHeight="false" outlineLevel="0" collapsed="false">
      <c r="B42" s="43" t="s">
        <v>180</v>
      </c>
      <c r="G42" s="10" t="n">
        <v>0.01</v>
      </c>
    </row>
    <row r="43" customFormat="false" ht="15" hidden="false" customHeight="false" outlineLevel="0" collapsed="false">
      <c r="B43" s="31" t="n">
        <v>1</v>
      </c>
      <c r="C43" s="39" t="n">
        <f aca="false">IF(B43&lt;=$C$38,$C$37*100/2+IF(B43=$C$38,100,0),0)</f>
        <v>2.4</v>
      </c>
      <c r="D43" s="39" t="n">
        <f aca="false">C43/(1+$C$37/2)^B43</f>
        <v>2.34375</v>
      </c>
      <c r="E43" s="39" t="n">
        <f aca="false">B43*D43</f>
        <v>2.34375</v>
      </c>
      <c r="F43" s="39" t="n">
        <f aca="false">B43*(B43+1)*D43</f>
        <v>4.6875</v>
      </c>
      <c r="G43" s="39" t="n">
        <f aca="false">C43/(1+($C$37+G$42)/2)^B43</f>
        <v>2.33236151603499</v>
      </c>
    </row>
    <row r="44" customFormat="false" ht="15" hidden="false" customHeight="false" outlineLevel="0" collapsed="false">
      <c r="B44" s="31" t="n">
        <v>2</v>
      </c>
      <c r="C44" s="39" t="n">
        <f aca="false">IF(B44&lt;=$C$38,$C$37*100/2+IF(B44=$C$38,100,0),0)</f>
        <v>2.4</v>
      </c>
      <c r="D44" s="39" t="n">
        <f aca="false">C44/(1+$C$37/2)^B44</f>
        <v>2.288818359375</v>
      </c>
      <c r="E44" s="39" t="n">
        <f aca="false">B44*D44</f>
        <v>4.57763671875</v>
      </c>
      <c r="F44" s="39" t="n">
        <f aca="false">B44*(B44+1)*D44</f>
        <v>13.73291015625</v>
      </c>
      <c r="G44" s="39" t="n">
        <f aca="false">C44/(1+($C$37+G$42)/2)^B44</f>
        <v>2.26662926728376</v>
      </c>
    </row>
    <row r="45" customFormat="false" ht="15" hidden="false" customHeight="false" outlineLevel="0" collapsed="false">
      <c r="B45" s="31" t="n">
        <v>3</v>
      </c>
      <c r="C45" s="39" t="n">
        <f aca="false">IF(B45&lt;=$C$38,$C$37*100/2+IF(B45=$C$38,100,0),0)</f>
        <v>2.4</v>
      </c>
      <c r="D45" s="39" t="n">
        <f aca="false">C45/(1+$C$37/2)^B45</f>
        <v>2.23517417907715</v>
      </c>
      <c r="E45" s="39" t="n">
        <f aca="false">B45*D45</f>
        <v>6.70552253723145</v>
      </c>
      <c r="F45" s="39" t="n">
        <f aca="false">B45*(B45+1)*D45</f>
        <v>26.8220901489258</v>
      </c>
      <c r="G45" s="39" t="n">
        <f aca="false">C45/(1+($C$37+G$42)/2)^B45</f>
        <v>2.202749530888</v>
      </c>
    </row>
    <row r="46" customFormat="false" ht="15" hidden="false" customHeight="false" outlineLevel="0" collapsed="false">
      <c r="B46" s="31" t="n">
        <v>4</v>
      </c>
      <c r="C46" s="39" t="n">
        <f aca="false">IF(B46&lt;=$C$38,$C$37*100/2+IF(B46=$C$38,100,0),0)</f>
        <v>102.4</v>
      </c>
      <c r="D46" s="39" t="n">
        <f aca="false">C46/(1+$C$37/2)^B46</f>
        <v>93.1322574615478</v>
      </c>
      <c r="E46" s="39" t="n">
        <f aca="false">B46*D46</f>
        <v>372.529029846191</v>
      </c>
      <c r="F46" s="39" t="n">
        <f aca="false">B46*(B46+1)*D46</f>
        <v>1862.64514923096</v>
      </c>
      <c r="G46" s="39" t="n">
        <f aca="false">C46/(1+($C$37+G$42)/2)^B46</f>
        <v>91.3352575165743</v>
      </c>
    </row>
    <row r="47" customFormat="false" ht="15" hidden="false" customHeight="false" outlineLevel="0" collapsed="false">
      <c r="B47" s="31" t="n">
        <v>5</v>
      </c>
      <c r="C47" s="39" t="n">
        <f aca="false">IF(B47&lt;=$C$38,$C$37*100/2+IF(B47=$C$38,100,0),0)</f>
        <v>0</v>
      </c>
      <c r="D47" s="39" t="n">
        <f aca="false">C47/(1+$C$37/2)^B47</f>
        <v>0</v>
      </c>
      <c r="E47" s="39" t="n">
        <f aca="false">B47*D47</f>
        <v>0</v>
      </c>
      <c r="F47" s="39" t="n">
        <f aca="false">B47*(B47+1)*D47</f>
        <v>0</v>
      </c>
      <c r="G47" s="39" t="n">
        <f aca="false">C47/(1+($C$37+G$42)/2)^B47</f>
        <v>0</v>
      </c>
    </row>
    <row r="48" customFormat="false" ht="15" hidden="false" customHeight="false" outlineLevel="0" collapsed="false">
      <c r="B48" s="31" t="n">
        <v>6</v>
      </c>
      <c r="C48" s="39" t="n">
        <f aca="false">IF(B48&lt;=$C$38,$C$37*100/2+IF(B48=$C$38,100,0),0)</f>
        <v>0</v>
      </c>
      <c r="D48" s="39" t="n">
        <f aca="false">C48/(1+$C$37/2)^B48</f>
        <v>0</v>
      </c>
      <c r="E48" s="39" t="n">
        <f aca="false">B48*D48</f>
        <v>0</v>
      </c>
      <c r="F48" s="39" t="n">
        <f aca="false">B48*(B48+1)*D48</f>
        <v>0</v>
      </c>
      <c r="G48" s="39" t="n">
        <f aca="false">C48/(1+($C$37+G$42)/2)^B48</f>
        <v>0</v>
      </c>
    </row>
    <row r="49" customFormat="false" ht="15" hidden="false" customHeight="false" outlineLevel="0" collapsed="false">
      <c r="B49" s="31" t="n">
        <v>7</v>
      </c>
      <c r="C49" s="39" t="n">
        <f aca="false">IF(B49&lt;=$C$38,$C$37*100/2+IF(B49=$C$38,100,0),0)</f>
        <v>0</v>
      </c>
      <c r="D49" s="39" t="n">
        <f aca="false">C49/(1+$C$37/2)^B49</f>
        <v>0</v>
      </c>
      <c r="E49" s="39" t="n">
        <f aca="false">B49*D49</f>
        <v>0</v>
      </c>
      <c r="F49" s="39" t="n">
        <f aca="false">B49*(B49+1)*D49</f>
        <v>0</v>
      </c>
      <c r="G49" s="39" t="n">
        <f aca="false">C49/(1+($C$37+G$42)/2)^B49</f>
        <v>0</v>
      </c>
    </row>
    <row r="50" customFormat="false" ht="15" hidden="false" customHeight="false" outlineLevel="0" collapsed="false">
      <c r="B50" s="31" t="n">
        <v>8</v>
      </c>
      <c r="C50" s="39" t="n">
        <f aca="false">IF(B50&lt;=$C$38,$C$37*100/2+IF(B50=$C$38,100,0),0)</f>
        <v>0</v>
      </c>
      <c r="D50" s="39" t="n">
        <f aca="false">C50/(1+$C$37/2)^B50</f>
        <v>0</v>
      </c>
      <c r="E50" s="39" t="n">
        <f aca="false">B50*D50</f>
        <v>0</v>
      </c>
      <c r="F50" s="39" t="n">
        <f aca="false">B50*(B50+1)*D50</f>
        <v>0</v>
      </c>
      <c r="G50" s="39" t="n">
        <f aca="false">C50/(1+($C$37+G$42)/2)^B50</f>
        <v>0</v>
      </c>
    </row>
    <row r="51" customFormat="false" ht="15" hidden="false" customHeight="false" outlineLevel="0" collapsed="false">
      <c r="B51" s="31" t="n">
        <v>9</v>
      </c>
      <c r="C51" s="39" t="n">
        <f aca="false">IF(B51&lt;=$C$38,$C$37*100/2+IF(B51=$C$38,100,0),0)</f>
        <v>0</v>
      </c>
      <c r="D51" s="39" t="n">
        <f aca="false">C51/(1+$C$37/2)^B51</f>
        <v>0</v>
      </c>
      <c r="E51" s="39" t="n">
        <f aca="false">B51*D51</f>
        <v>0</v>
      </c>
      <c r="F51" s="39" t="n">
        <f aca="false">B51*(B51+1)*D51</f>
        <v>0</v>
      </c>
      <c r="G51" s="39" t="n">
        <f aca="false">C51/(1+($C$37+G$42)/2)^B51</f>
        <v>0</v>
      </c>
    </row>
    <row r="52" customFormat="false" ht="15" hidden="false" customHeight="false" outlineLevel="0" collapsed="false">
      <c r="B52" s="31" t="n">
        <v>10</v>
      </c>
      <c r="C52" s="39" t="n">
        <f aca="false">IF(B52&lt;=$C$38,$C$37*100/2+IF(B52=$C$38,100,0),0)</f>
        <v>0</v>
      </c>
      <c r="D52" s="39" t="n">
        <f aca="false">C52/(1+$C$37/2)^B52</f>
        <v>0</v>
      </c>
      <c r="E52" s="39" t="n">
        <f aca="false">B52*D52</f>
        <v>0</v>
      </c>
      <c r="F52" s="39" t="n">
        <f aca="false">B52*(B52+1)*D52</f>
        <v>0</v>
      </c>
      <c r="G52" s="39" t="n">
        <f aca="false">C52/(1+($C$37+G$42)/2)^B52</f>
        <v>0</v>
      </c>
    </row>
    <row r="53" customFormat="false" ht="15" hidden="false" customHeight="false" outlineLevel="0" collapsed="false">
      <c r="B53" s="31" t="n">
        <v>11</v>
      </c>
      <c r="C53" s="39" t="n">
        <f aca="false">IF(B53&lt;=$C$38,$C$37*100/2+IF(B53=$C$38,100,0),0)</f>
        <v>0</v>
      </c>
      <c r="D53" s="39" t="n">
        <f aca="false">C53/(1+$C$37/2)^B53</f>
        <v>0</v>
      </c>
      <c r="E53" s="39" t="n">
        <f aca="false">B53*D53</f>
        <v>0</v>
      </c>
      <c r="F53" s="39" t="n">
        <f aca="false">B53*(B53+1)*D53</f>
        <v>0</v>
      </c>
      <c r="G53" s="39" t="n">
        <f aca="false">C53/(1+($C$37+G$42)/2)^B53</f>
        <v>0</v>
      </c>
    </row>
    <row r="54" customFormat="false" ht="15" hidden="false" customHeight="false" outlineLevel="0" collapsed="false">
      <c r="B54" s="31" t="n">
        <v>12</v>
      </c>
      <c r="C54" s="39" t="n">
        <f aca="false">IF(B54&lt;=$C$38,$C$37*100/2+IF(B54=$C$38,100,0),0)</f>
        <v>0</v>
      </c>
      <c r="D54" s="39" t="n">
        <f aca="false">C54/(1+$C$37/2)^B54</f>
        <v>0</v>
      </c>
      <c r="E54" s="39" t="n">
        <f aca="false">B54*D54</f>
        <v>0</v>
      </c>
      <c r="F54" s="39" t="n">
        <f aca="false">B54*(B54+1)*D54</f>
        <v>0</v>
      </c>
      <c r="G54" s="39" t="n">
        <f aca="false">C54/(1+($C$37+G$42)/2)^B54</f>
        <v>0</v>
      </c>
    </row>
    <row r="55" customFormat="false" ht="15" hidden="false" customHeight="false" outlineLevel="0" collapsed="false">
      <c r="B55" s="9" t="s">
        <v>194</v>
      </c>
      <c r="C55" s="27" t="n">
        <f aca="false">SUM(D43:D54)</f>
        <v>100</v>
      </c>
    </row>
    <row r="56" customFormat="false" ht="15" hidden="false" customHeight="false" outlineLevel="0" collapsed="false">
      <c r="B56" s="9" t="s">
        <v>195</v>
      </c>
      <c r="C56" s="27" t="n">
        <f aca="false">SUM(E43:E54)/C55/2</f>
        <v>1.93077969551086</v>
      </c>
    </row>
    <row r="57" customFormat="false" ht="15" hidden="false" customHeight="false" outlineLevel="0" collapsed="false">
      <c r="B57" s="9" t="s">
        <v>196</v>
      </c>
      <c r="C57" s="27" t="n">
        <f aca="false">C56/(1+$C$37/2)</f>
        <v>1.88552704639733</v>
      </c>
    </row>
    <row r="58" customFormat="false" ht="15" hidden="false" customHeight="false" outlineLevel="0" collapsed="false">
      <c r="B58" s="9" t="s">
        <v>197</v>
      </c>
      <c r="C58" s="27" t="n">
        <f aca="false">SUM(F43:F54)/C55/(1+$C$37/2)^2/4</f>
        <v>4.54875862487825</v>
      </c>
    </row>
    <row r="59" customFormat="false" ht="15" hidden="false" customHeight="false" outlineLevel="0" collapsed="false">
      <c r="B59" s="9" t="s">
        <v>198</v>
      </c>
      <c r="C59" s="27" t="n">
        <f aca="false">SUM(G43:G54)</f>
        <v>98.136997830781</v>
      </c>
    </row>
    <row r="60" customFormat="false" ht="15" hidden="false" customHeight="false" outlineLevel="0" collapsed="false">
      <c r="B60" s="9" t="s">
        <v>199</v>
      </c>
      <c r="C60" s="27" t="n">
        <f aca="false">PV($C$37/2,$C$38,-$C$37*100/2,-100)</f>
        <v>100</v>
      </c>
    </row>
    <row r="62" customFormat="false" ht="15" hidden="false" customHeight="false" outlineLevel="0" collapsed="false">
      <c r="B62" s="9" t="s">
        <v>200</v>
      </c>
      <c r="C62" s="17" t="n">
        <f aca="false">Assumptions!$F$23</f>
        <v>0.0495</v>
      </c>
    </row>
    <row r="63" customFormat="false" ht="15" hidden="false" customHeight="false" outlineLevel="0" collapsed="false">
      <c r="B63" s="9" t="s">
        <v>173</v>
      </c>
      <c r="C63" s="28" t="n">
        <f aca="false">Assumptions!$E$23*2</f>
        <v>6</v>
      </c>
    </row>
    <row r="65" customFormat="false" ht="15" hidden="false" customHeight="false" outlineLevel="0" collapsed="false">
      <c r="B65" s="7" t="s">
        <v>201</v>
      </c>
      <c r="C65" s="8"/>
      <c r="D65" s="8"/>
      <c r="E65" s="8"/>
      <c r="F65" s="8"/>
      <c r="G65" s="8"/>
    </row>
    <row r="66" customFormat="false" ht="30" hidden="false" customHeight="true" outlineLevel="0" collapsed="false">
      <c r="B66" s="13" t="s">
        <v>175</v>
      </c>
      <c r="C66" s="14" t="s">
        <v>109</v>
      </c>
      <c r="D66" s="14" t="s">
        <v>176</v>
      </c>
      <c r="E66" s="14" t="s">
        <v>177</v>
      </c>
      <c r="F66" s="14" t="s">
        <v>178</v>
      </c>
    </row>
    <row r="67" customFormat="false" ht="15" hidden="false" customHeight="false" outlineLevel="0" collapsed="false">
      <c r="B67" s="43" t="s">
        <v>180</v>
      </c>
    </row>
    <row r="68" customFormat="false" ht="15" hidden="false" customHeight="false" outlineLevel="0" collapsed="false">
      <c r="B68" s="31" t="n">
        <v>1</v>
      </c>
      <c r="C68" s="39" t="n">
        <f aca="false">IF(B68&lt;=$C$63,$C$62*100/2+IF(B68=$C$63,100,0),0)</f>
        <v>2.475</v>
      </c>
      <c r="D68" s="39" t="n">
        <f aca="false">C68/(1+$C$62/2)^B68</f>
        <v>2.41522322517687</v>
      </c>
      <c r="E68" s="39" t="n">
        <f aca="false">B68*D68</f>
        <v>2.41522322517687</v>
      </c>
      <c r="F68" s="39" t="n">
        <f aca="false">B68*(B68+1)*D68</f>
        <v>4.83044645035375</v>
      </c>
    </row>
    <row r="69" customFormat="false" ht="15" hidden="false" customHeight="false" outlineLevel="0" collapsed="false">
      <c r="B69" s="31" t="n">
        <v>2</v>
      </c>
      <c r="C69" s="39" t="n">
        <f aca="false">IF(B69&lt;=$C$63,$C$62*100/2+IF(B69=$C$63,100,0),0)</f>
        <v>2.475</v>
      </c>
      <c r="D69" s="39" t="n">
        <f aca="false">C69/(1+$C$62/2)^B69</f>
        <v>2.35689019290253</v>
      </c>
      <c r="E69" s="39" t="n">
        <f aca="false">B69*D69</f>
        <v>4.71378038580507</v>
      </c>
      <c r="F69" s="39" t="n">
        <f aca="false">B69*(B69+1)*D69</f>
        <v>14.1413411574152</v>
      </c>
    </row>
    <row r="70" customFormat="false" ht="15" hidden="false" customHeight="false" outlineLevel="0" collapsed="false">
      <c r="B70" s="31" t="n">
        <v>3</v>
      </c>
      <c r="C70" s="39" t="n">
        <f aca="false">IF(B70&lt;=$C$63,$C$62*100/2+IF(B70=$C$63,100,0),0)</f>
        <v>2.475</v>
      </c>
      <c r="D70" s="39" t="n">
        <f aca="false">C70/(1+$C$62/2)^B70</f>
        <v>2.29996603357164</v>
      </c>
      <c r="E70" s="39" t="n">
        <f aca="false">B70*D70</f>
        <v>6.89989810071491</v>
      </c>
      <c r="F70" s="39" t="n">
        <f aca="false">B70*(B70+1)*D70</f>
        <v>27.5995924028596</v>
      </c>
    </row>
    <row r="71" customFormat="false" ht="15" hidden="false" customHeight="false" outlineLevel="0" collapsed="false">
      <c r="B71" s="31" t="n">
        <v>4</v>
      </c>
      <c r="C71" s="39" t="n">
        <f aca="false">IF(B71&lt;=$C$63,$C$62*100/2+IF(B71=$C$63,100,0),0)</f>
        <v>2.475</v>
      </c>
      <c r="D71" s="39" t="n">
        <f aca="false">C71/(1+$C$62/2)^B71</f>
        <v>2.24441671975764</v>
      </c>
      <c r="E71" s="39" t="n">
        <f aca="false">B71*D71</f>
        <v>8.97766687903054</v>
      </c>
      <c r="F71" s="39" t="n">
        <f aca="false">B71*(B71+1)*D71</f>
        <v>44.8883343951527</v>
      </c>
    </row>
    <row r="72" customFormat="false" ht="15" hidden="false" customHeight="false" outlineLevel="0" collapsed="false">
      <c r="B72" s="31" t="n">
        <v>5</v>
      </c>
      <c r="C72" s="39" t="n">
        <f aca="false">IF(B72&lt;=$C$63,$C$62*100/2+IF(B72=$C$63,100,0),0)</f>
        <v>2.475</v>
      </c>
      <c r="D72" s="39" t="n">
        <f aca="false">C72/(1+$C$62/2)^B72</f>
        <v>2.1902090458723</v>
      </c>
      <c r="E72" s="39" t="n">
        <f aca="false">B72*D72</f>
        <v>10.9510452293615</v>
      </c>
      <c r="F72" s="39" t="n">
        <f aca="false">B72*(B72+1)*D72</f>
        <v>65.7062713761689</v>
      </c>
    </row>
    <row r="73" customFormat="false" ht="15" hidden="false" customHeight="false" outlineLevel="0" collapsed="false">
      <c r="B73" s="31" t="n">
        <v>6</v>
      </c>
      <c r="C73" s="39" t="n">
        <f aca="false">IF(B73&lt;=$C$63,$C$62*100/2+IF(B73=$C$63,100,0),0)</f>
        <v>102.475</v>
      </c>
      <c r="D73" s="39" t="n">
        <f aca="false">C73/(1+$C$62/2)^B73</f>
        <v>88.493294782719</v>
      </c>
      <c r="E73" s="39" t="n">
        <f aca="false">B73*D73</f>
        <v>530.959768696314</v>
      </c>
      <c r="F73" s="39" t="n">
        <f aca="false">B73*(B73+1)*D73</f>
        <v>3716.7183808742</v>
      </c>
    </row>
    <row r="74" customFormat="false" ht="15" hidden="false" customHeight="false" outlineLevel="0" collapsed="false">
      <c r="B74" s="31" t="n">
        <v>7</v>
      </c>
      <c r="C74" s="39" t="n">
        <f aca="false">IF(B74&lt;=$C$63,$C$62*100/2+IF(B74=$C$63,100,0),0)</f>
        <v>0</v>
      </c>
      <c r="D74" s="39" t="n">
        <f aca="false">C74/(1+$C$62/2)^B74</f>
        <v>0</v>
      </c>
      <c r="E74" s="39" t="n">
        <f aca="false">B74*D74</f>
        <v>0</v>
      </c>
      <c r="F74" s="39" t="n">
        <f aca="false">B74*(B74+1)*D74</f>
        <v>0</v>
      </c>
    </row>
    <row r="75" customFormat="false" ht="15" hidden="false" customHeight="false" outlineLevel="0" collapsed="false">
      <c r="B75" s="31" t="n">
        <v>8</v>
      </c>
      <c r="C75" s="39" t="n">
        <f aca="false">IF(B75&lt;=$C$63,$C$62*100/2+IF(B75=$C$63,100,0),0)</f>
        <v>0</v>
      </c>
      <c r="D75" s="39" t="n">
        <f aca="false">C75/(1+$C$62/2)^B75</f>
        <v>0</v>
      </c>
      <c r="E75" s="39" t="n">
        <f aca="false">B75*D75</f>
        <v>0</v>
      </c>
      <c r="F75" s="39" t="n">
        <f aca="false">B75*(B75+1)*D75</f>
        <v>0</v>
      </c>
    </row>
    <row r="76" customFormat="false" ht="15" hidden="false" customHeight="false" outlineLevel="0" collapsed="false">
      <c r="B76" s="31" t="n">
        <v>9</v>
      </c>
      <c r="C76" s="39" t="n">
        <f aca="false">IF(B76&lt;=$C$63,$C$62*100/2+IF(B76=$C$63,100,0),0)</f>
        <v>0</v>
      </c>
      <c r="D76" s="39" t="n">
        <f aca="false">C76/(1+$C$62/2)^B76</f>
        <v>0</v>
      </c>
      <c r="E76" s="39" t="n">
        <f aca="false">B76*D76</f>
        <v>0</v>
      </c>
      <c r="F76" s="39" t="n">
        <f aca="false">B76*(B76+1)*D76</f>
        <v>0</v>
      </c>
    </row>
    <row r="77" customFormat="false" ht="15" hidden="false" customHeight="false" outlineLevel="0" collapsed="false">
      <c r="B77" s="31" t="n">
        <v>10</v>
      </c>
      <c r="C77" s="39" t="n">
        <f aca="false">IF(B77&lt;=$C$63,$C$62*100/2+IF(B77=$C$63,100,0),0)</f>
        <v>0</v>
      </c>
      <c r="D77" s="39" t="n">
        <f aca="false">C77/(1+$C$62/2)^B77</f>
        <v>0</v>
      </c>
      <c r="E77" s="39" t="n">
        <f aca="false">B77*D77</f>
        <v>0</v>
      </c>
      <c r="F77" s="39" t="n">
        <f aca="false">B77*(B77+1)*D77</f>
        <v>0</v>
      </c>
    </row>
    <row r="78" customFormat="false" ht="15" hidden="false" customHeight="false" outlineLevel="0" collapsed="false">
      <c r="B78" s="31" t="n">
        <v>11</v>
      </c>
      <c r="C78" s="39" t="n">
        <f aca="false">IF(B78&lt;=$C$63,$C$62*100/2+IF(B78=$C$63,100,0),0)</f>
        <v>0</v>
      </c>
      <c r="D78" s="39" t="n">
        <f aca="false">C78/(1+$C$62/2)^B78</f>
        <v>0</v>
      </c>
      <c r="E78" s="39" t="n">
        <f aca="false">B78*D78</f>
        <v>0</v>
      </c>
      <c r="F78" s="39" t="n">
        <f aca="false">B78*(B78+1)*D78</f>
        <v>0</v>
      </c>
    </row>
    <row r="79" customFormat="false" ht="15" hidden="false" customHeight="false" outlineLevel="0" collapsed="false">
      <c r="B79" s="31" t="n">
        <v>12</v>
      </c>
      <c r="C79" s="39" t="n">
        <f aca="false">IF(B79&lt;=$C$63,$C$62*100/2+IF(B79=$C$63,100,0),0)</f>
        <v>0</v>
      </c>
      <c r="D79" s="39" t="n">
        <f aca="false">C79/(1+$C$62/2)^B79</f>
        <v>0</v>
      </c>
      <c r="E79" s="39" t="n">
        <f aca="false">B79*D79</f>
        <v>0</v>
      </c>
      <c r="F79" s="39" t="n">
        <f aca="false">B79*(B79+1)*D79</f>
        <v>0</v>
      </c>
    </row>
    <row r="80" customFormat="false" ht="15" hidden="false" customHeight="false" outlineLevel="0" collapsed="false">
      <c r="B80" s="9" t="s">
        <v>202</v>
      </c>
      <c r="C80" s="27" t="n">
        <f aca="false">SUM(D68:D79)</f>
        <v>100</v>
      </c>
    </row>
    <row r="81" customFormat="false" ht="15" hidden="false" customHeight="false" outlineLevel="0" collapsed="false">
      <c r="B81" s="9" t="s">
        <v>203</v>
      </c>
      <c r="C81" s="27" t="n">
        <f aca="false">SUM(E68:E79)/C80/2</f>
        <v>2.82458691258202</v>
      </c>
    </row>
    <row r="82" customFormat="false" ht="15" hidden="false" customHeight="false" outlineLevel="0" collapsed="false">
      <c r="B82" s="9" t="s">
        <v>204</v>
      </c>
      <c r="C82" s="27" t="n">
        <f aca="false">C81/(1+$C$62/2)</f>
        <v>2.75636683345403</v>
      </c>
    </row>
    <row r="83" customFormat="false" ht="15" hidden="false" customHeight="false" outlineLevel="0" collapsed="false">
      <c r="B83" s="9" t="s">
        <v>205</v>
      </c>
      <c r="C83" s="27" t="n">
        <f aca="false">SUM(F68:F79)/C80/(1+$C$62/2)^2/4</f>
        <v>9.22254552748517</v>
      </c>
    </row>
    <row r="84" customFormat="false" ht="15" hidden="false" customHeight="false" outlineLevel="0" collapsed="false">
      <c r="B84" s="9" t="s">
        <v>206</v>
      </c>
      <c r="C84" s="27" t="n">
        <f aca="false">PV($C$62/2,$C$63,-$C$62*100/2,-100)</f>
        <v>100</v>
      </c>
    </row>
    <row r="86" customFormat="false" ht="15" hidden="false" customHeight="false" outlineLevel="0" collapsed="false">
      <c r="B86" s="9" t="s">
        <v>207</v>
      </c>
      <c r="C86" s="17" t="n">
        <f aca="false">Assumptions!$F$24</f>
        <v>0.0515</v>
      </c>
    </row>
    <row r="87" customFormat="false" ht="15" hidden="false" customHeight="false" outlineLevel="0" collapsed="false">
      <c r="B87" s="9" t="s">
        <v>173</v>
      </c>
      <c r="C87" s="28" t="n">
        <f aca="false">Assumptions!$E$24*2</f>
        <v>8</v>
      </c>
    </row>
    <row r="89" customFormat="false" ht="15" hidden="false" customHeight="false" outlineLevel="0" collapsed="false">
      <c r="B89" s="7" t="s">
        <v>208</v>
      </c>
      <c r="C89" s="8"/>
      <c r="D89" s="8"/>
      <c r="E89" s="8"/>
      <c r="F89" s="8"/>
      <c r="G89" s="8"/>
    </row>
    <row r="90" customFormat="false" ht="30" hidden="false" customHeight="true" outlineLevel="0" collapsed="false">
      <c r="B90" s="13" t="s">
        <v>175</v>
      </c>
      <c r="C90" s="14" t="s">
        <v>109</v>
      </c>
      <c r="D90" s="14" t="s">
        <v>176</v>
      </c>
      <c r="E90" s="14" t="s">
        <v>177</v>
      </c>
      <c r="F90" s="14" t="s">
        <v>178</v>
      </c>
    </row>
    <row r="91" customFormat="false" ht="15" hidden="false" customHeight="false" outlineLevel="0" collapsed="false">
      <c r="B91" s="43" t="s">
        <v>180</v>
      </c>
    </row>
    <row r="92" customFormat="false" ht="15" hidden="false" customHeight="false" outlineLevel="0" collapsed="false">
      <c r="B92" s="31" t="n">
        <v>1</v>
      </c>
      <c r="C92" s="39" t="n">
        <f aca="false">IF(B92&lt;=$C$87,$C$86*100/2+IF(B92=$C$87,100,0),0)</f>
        <v>2.575</v>
      </c>
      <c r="D92" s="39" t="n">
        <f aca="false">C92/(1+$C$86/2)^B92</f>
        <v>2.51035827443334</v>
      </c>
      <c r="E92" s="39" t="n">
        <f aca="false">B92*D92</f>
        <v>2.51035827443334</v>
      </c>
      <c r="F92" s="39" t="n">
        <f aca="false">B92*(B92+1)*D92</f>
        <v>5.02071654886668</v>
      </c>
    </row>
    <row r="93" customFormat="false" ht="15" hidden="false" customHeight="false" outlineLevel="0" collapsed="false">
      <c r="B93" s="31" t="n">
        <v>2</v>
      </c>
      <c r="C93" s="39" t="n">
        <f aca="false">IF(B93&lt;=$C$87,$C$86*100/2+IF(B93=$C$87,100,0),0)</f>
        <v>2.575</v>
      </c>
      <c r="D93" s="39" t="n">
        <f aca="false">C93/(1+$C$86/2)^B93</f>
        <v>2.44733928777318</v>
      </c>
      <c r="E93" s="39" t="n">
        <f aca="false">B93*D93</f>
        <v>4.89467857554637</v>
      </c>
      <c r="F93" s="39" t="n">
        <f aca="false">B93*(B93+1)*D93</f>
        <v>14.6840357266391</v>
      </c>
    </row>
    <row r="94" customFormat="false" ht="15" hidden="false" customHeight="false" outlineLevel="0" collapsed="false">
      <c r="B94" s="31" t="n">
        <v>3</v>
      </c>
      <c r="C94" s="39" t="n">
        <f aca="false">IF(B94&lt;=$C$87,$C$86*100/2+IF(B94=$C$87,100,0),0)</f>
        <v>2.575</v>
      </c>
      <c r="D94" s="39" t="n">
        <f aca="false">C94/(1+$C$86/2)^B94</f>
        <v>2.38590230345911</v>
      </c>
      <c r="E94" s="39" t="n">
        <f aca="false">B94*D94</f>
        <v>7.15770691037733</v>
      </c>
      <c r="F94" s="39" t="n">
        <f aca="false">B94*(B94+1)*D94</f>
        <v>28.6308276415093</v>
      </c>
    </row>
    <row r="95" customFormat="false" ht="15" hidden="false" customHeight="false" outlineLevel="0" collapsed="false">
      <c r="B95" s="31" t="n">
        <v>4</v>
      </c>
      <c r="C95" s="39" t="n">
        <f aca="false">IF(B95&lt;=$C$87,$C$86*100/2+IF(B95=$C$87,100,0),0)</f>
        <v>2.575</v>
      </c>
      <c r="D95" s="39" t="n">
        <f aca="false">C95/(1+$C$86/2)^B95</f>
        <v>2.32600760756433</v>
      </c>
      <c r="E95" s="39" t="n">
        <f aca="false">B95*D95</f>
        <v>9.30403043025732</v>
      </c>
      <c r="F95" s="39" t="n">
        <f aca="false">B95*(B95+1)*D95</f>
        <v>46.5201521512866</v>
      </c>
    </row>
    <row r="96" customFormat="false" ht="15" hidden="false" customHeight="false" outlineLevel="0" collapsed="false">
      <c r="B96" s="31" t="n">
        <v>5</v>
      </c>
      <c r="C96" s="39" t="n">
        <f aca="false">IF(B96&lt;=$C$87,$C$86*100/2+IF(B96=$C$87,100,0),0)</f>
        <v>2.575</v>
      </c>
      <c r="D96" s="39" t="n">
        <f aca="false">C96/(1+$C$86/2)^B96</f>
        <v>2.26761648312389</v>
      </c>
      <c r="E96" s="39" t="n">
        <f aca="false">B96*D96</f>
        <v>11.3380824156194</v>
      </c>
      <c r="F96" s="39" t="n">
        <f aca="false">B96*(B96+1)*D96</f>
        <v>68.0284944937167</v>
      </c>
    </row>
    <row r="97" customFormat="false" ht="15" hidden="false" customHeight="false" outlineLevel="0" collapsed="false">
      <c r="B97" s="31" t="n">
        <v>6</v>
      </c>
      <c r="C97" s="39" t="n">
        <f aca="false">IF(B97&lt;=$C$87,$C$86*100/2+IF(B97=$C$87,100,0),0)</f>
        <v>2.575</v>
      </c>
      <c r="D97" s="39" t="n">
        <f aca="false">C97/(1+$C$86/2)^B97</f>
        <v>2.21069118510737</v>
      </c>
      <c r="E97" s="39" t="n">
        <f aca="false">B97*D97</f>
        <v>13.2641471106442</v>
      </c>
      <c r="F97" s="39" t="n">
        <f aca="false">B97*(B97+1)*D97</f>
        <v>92.8490297745097</v>
      </c>
    </row>
    <row r="98" customFormat="false" ht="15" hidden="false" customHeight="false" outlineLevel="0" collapsed="false">
      <c r="B98" s="31" t="n">
        <v>7</v>
      </c>
      <c r="C98" s="39" t="n">
        <f aca="false">IF(B98&lt;=$C$87,$C$86*100/2+IF(B98=$C$87,100,0),0)</f>
        <v>2.575</v>
      </c>
      <c r="D98" s="39" t="n">
        <f aca="false">C98/(1+$C$86/2)^B98</f>
        <v>2.15519491601986</v>
      </c>
      <c r="E98" s="39" t="n">
        <f aca="false">B98*D98</f>
        <v>15.086364412139</v>
      </c>
      <c r="F98" s="39" t="n">
        <f aca="false">B98*(B98+1)*D98</f>
        <v>120.690915297112</v>
      </c>
    </row>
    <row r="99" customFormat="false" ht="15" hidden="false" customHeight="false" outlineLevel="0" collapsed="false">
      <c r="B99" s="31" t="n">
        <v>8</v>
      </c>
      <c r="C99" s="39" t="n">
        <f aca="false">IF(B99&lt;=$C$87,$C$86*100/2+IF(B99=$C$87,100,0),0)</f>
        <v>102.575</v>
      </c>
      <c r="D99" s="39" t="n">
        <f aca="false">C99/(1+$C$86/2)^B99</f>
        <v>83.696889942519</v>
      </c>
      <c r="E99" s="39" t="n">
        <f aca="false">B99*D99</f>
        <v>669.575119540152</v>
      </c>
      <c r="F99" s="39" t="n">
        <f aca="false">B99*(B99+1)*D99</f>
        <v>6026.17607586137</v>
      </c>
    </row>
    <row r="100" customFormat="false" ht="15" hidden="false" customHeight="false" outlineLevel="0" collapsed="false">
      <c r="B100" s="31" t="n">
        <v>9</v>
      </c>
      <c r="C100" s="39" t="n">
        <f aca="false">IF(B100&lt;=$C$87,$C$86*100/2+IF(B100=$C$87,100,0),0)</f>
        <v>0</v>
      </c>
      <c r="D100" s="39" t="n">
        <f aca="false">C100/(1+$C$86/2)^B100</f>
        <v>0</v>
      </c>
      <c r="E100" s="39" t="n">
        <f aca="false">B100*D100</f>
        <v>0</v>
      </c>
      <c r="F100" s="39" t="n">
        <f aca="false">B100*(B100+1)*D100</f>
        <v>0</v>
      </c>
    </row>
    <row r="101" customFormat="false" ht="15" hidden="false" customHeight="false" outlineLevel="0" collapsed="false">
      <c r="B101" s="31" t="n">
        <v>10</v>
      </c>
      <c r="C101" s="39" t="n">
        <f aca="false">IF(B101&lt;=$C$87,$C$86*100/2+IF(B101=$C$87,100,0),0)</f>
        <v>0</v>
      </c>
      <c r="D101" s="39" t="n">
        <f aca="false">C101/(1+$C$86/2)^B101</f>
        <v>0</v>
      </c>
      <c r="E101" s="39" t="n">
        <f aca="false">B101*D101</f>
        <v>0</v>
      </c>
      <c r="F101" s="39" t="n">
        <f aca="false">B101*(B101+1)*D101</f>
        <v>0</v>
      </c>
    </row>
    <row r="102" customFormat="false" ht="15" hidden="false" customHeight="false" outlineLevel="0" collapsed="false">
      <c r="B102" s="31" t="n">
        <v>11</v>
      </c>
      <c r="C102" s="39" t="n">
        <f aca="false">IF(B102&lt;=$C$87,$C$86*100/2+IF(B102=$C$87,100,0),0)</f>
        <v>0</v>
      </c>
      <c r="D102" s="39" t="n">
        <f aca="false">C102/(1+$C$86/2)^B102</f>
        <v>0</v>
      </c>
      <c r="E102" s="39" t="n">
        <f aca="false">B102*D102</f>
        <v>0</v>
      </c>
      <c r="F102" s="39" t="n">
        <f aca="false">B102*(B102+1)*D102</f>
        <v>0</v>
      </c>
    </row>
    <row r="103" customFormat="false" ht="15" hidden="false" customHeight="false" outlineLevel="0" collapsed="false">
      <c r="B103" s="31" t="n">
        <v>12</v>
      </c>
      <c r="C103" s="39" t="n">
        <f aca="false">IF(B103&lt;=$C$87,$C$86*100/2+IF(B103=$C$87,100,0),0)</f>
        <v>0</v>
      </c>
      <c r="D103" s="39" t="n">
        <f aca="false">C103/(1+$C$86/2)^B103</f>
        <v>0</v>
      </c>
      <c r="E103" s="39" t="n">
        <f aca="false">B103*D103</f>
        <v>0</v>
      </c>
      <c r="F103" s="39" t="n">
        <f aca="false">B103*(B103+1)*D103</f>
        <v>0</v>
      </c>
    </row>
    <row r="104" customFormat="false" ht="15" hidden="false" customHeight="false" outlineLevel="0" collapsed="false">
      <c r="B104" s="9" t="s">
        <v>209</v>
      </c>
      <c r="C104" s="27" t="n">
        <f aca="false">SUM(D92:D103)</f>
        <v>100</v>
      </c>
    </row>
    <row r="105" customFormat="false" ht="15" hidden="false" customHeight="false" outlineLevel="0" collapsed="false">
      <c r="B105" s="9" t="s">
        <v>210</v>
      </c>
      <c r="C105" s="27" t="n">
        <f aca="false">SUM(E92:E103)/C104/2</f>
        <v>3.66565243834584</v>
      </c>
    </row>
    <row r="106" customFormat="false" ht="15" hidden="false" customHeight="false" outlineLevel="0" collapsed="false">
      <c r="B106" s="9" t="s">
        <v>211</v>
      </c>
      <c r="C106" s="27" t="n">
        <f aca="false">C105/(1+$C$86/2)</f>
        <v>3.57363142904786</v>
      </c>
    </row>
    <row r="107" customFormat="false" ht="15" hidden="false" customHeight="false" outlineLevel="0" collapsed="false">
      <c r="B107" s="9" t="s">
        <v>212</v>
      </c>
      <c r="C107" s="27" t="n">
        <f aca="false">SUM(F92:F103)/C104/(1+$C$86/2)^2/4</f>
        <v>15.2129467277678</v>
      </c>
    </row>
    <row r="108" customFormat="false" ht="15" hidden="false" customHeight="false" outlineLevel="0" collapsed="false">
      <c r="B108" s="9" t="s">
        <v>213</v>
      </c>
      <c r="C108" s="27" t="n">
        <f aca="false">PV($C$86/2,$C$87,-$C$86*100/2,-100)</f>
        <v>100</v>
      </c>
    </row>
    <row r="110" customFormat="false" ht="15" hidden="false" customHeight="false" outlineLevel="0" collapsed="false">
      <c r="B110" s="9" t="s">
        <v>214</v>
      </c>
      <c r="C110" s="17" t="n">
        <f aca="false">Assumptions!$F$25</f>
        <v>0.053</v>
      </c>
    </row>
    <row r="111" customFormat="false" ht="15" hidden="false" customHeight="false" outlineLevel="0" collapsed="false">
      <c r="B111" s="9" t="s">
        <v>173</v>
      </c>
      <c r="C111" s="28" t="n">
        <f aca="false">Assumptions!$E$25*2</f>
        <v>10</v>
      </c>
    </row>
    <row r="113" customFormat="false" ht="15" hidden="false" customHeight="false" outlineLevel="0" collapsed="false">
      <c r="B113" s="7" t="s">
        <v>215</v>
      </c>
      <c r="C113" s="8"/>
      <c r="D113" s="8"/>
      <c r="E113" s="8"/>
      <c r="F113" s="8"/>
      <c r="G113" s="8"/>
    </row>
    <row r="114" customFormat="false" ht="30" hidden="false" customHeight="true" outlineLevel="0" collapsed="false">
      <c r="B114" s="13" t="s">
        <v>175</v>
      </c>
      <c r="C114" s="14" t="s">
        <v>109</v>
      </c>
      <c r="D114" s="14" t="s">
        <v>176</v>
      </c>
      <c r="E114" s="14" t="s">
        <v>177</v>
      </c>
      <c r="F114" s="14" t="s">
        <v>178</v>
      </c>
    </row>
    <row r="115" customFormat="false" ht="15" hidden="false" customHeight="false" outlineLevel="0" collapsed="false">
      <c r="B115" s="43" t="s">
        <v>180</v>
      </c>
    </row>
    <row r="116" customFormat="false" ht="15" hidden="false" customHeight="false" outlineLevel="0" collapsed="false">
      <c r="B116" s="31" t="n">
        <v>1</v>
      </c>
      <c r="C116" s="39" t="n">
        <f aca="false">IF(B116&lt;=$C$111,$C$110*100/2+IF(B116=$C$111,100,0),0)</f>
        <v>2.65</v>
      </c>
      <c r="D116" s="39" t="n">
        <f aca="false">C116/(1+$C$110/2)^B116</f>
        <v>2.5815879201169</v>
      </c>
      <c r="E116" s="39" t="n">
        <f aca="false">B116*D116</f>
        <v>2.5815879201169</v>
      </c>
      <c r="F116" s="39" t="n">
        <f aca="false">B116*(B116+1)*D116</f>
        <v>5.1631758402338</v>
      </c>
    </row>
    <row r="117" customFormat="false" ht="15" hidden="false" customHeight="false" outlineLevel="0" collapsed="false">
      <c r="B117" s="31" t="n">
        <v>2</v>
      </c>
      <c r="C117" s="39" t="n">
        <f aca="false">IF(B117&lt;=$C$111,$C$110*100/2+IF(B117=$C$111,100,0),0)</f>
        <v>2.65</v>
      </c>
      <c r="D117" s="39" t="n">
        <f aca="false">C117/(1+$C$110/2)^B117</f>
        <v>2.51494195822397</v>
      </c>
      <c r="E117" s="39" t="n">
        <f aca="false">B117*D117</f>
        <v>5.02988391644793</v>
      </c>
      <c r="F117" s="39" t="n">
        <f aca="false">B117*(B117+1)*D117</f>
        <v>15.0896517493438</v>
      </c>
    </row>
    <row r="118" customFormat="false" ht="15" hidden="false" customHeight="false" outlineLevel="0" collapsed="false">
      <c r="B118" s="31" t="n">
        <v>3</v>
      </c>
      <c r="C118" s="39" t="n">
        <f aca="false">IF(B118&lt;=$C$111,$C$110*100/2+IF(B118=$C$111,100,0),0)</f>
        <v>2.65</v>
      </c>
      <c r="D118" s="39" t="n">
        <f aca="false">C118/(1+$C$110/2)^B118</f>
        <v>2.45001652043251</v>
      </c>
      <c r="E118" s="39" t="n">
        <f aca="false">B118*D118</f>
        <v>7.35004956129752</v>
      </c>
      <c r="F118" s="39" t="n">
        <f aca="false">B118*(B118+1)*D118</f>
        <v>29.4001982451901</v>
      </c>
    </row>
    <row r="119" customFormat="false" ht="15" hidden="false" customHeight="false" outlineLevel="0" collapsed="false">
      <c r="B119" s="31" t="n">
        <v>4</v>
      </c>
      <c r="C119" s="39" t="n">
        <f aca="false">IF(B119&lt;=$C$111,$C$110*100/2+IF(B119=$C$111,100,0),0)</f>
        <v>2.65</v>
      </c>
      <c r="D119" s="39" t="n">
        <f aca="false">C119/(1+$C$110/2)^B119</f>
        <v>2.38676718990015</v>
      </c>
      <c r="E119" s="39" t="n">
        <f aca="false">B119*D119</f>
        <v>9.54706875960061</v>
      </c>
      <c r="F119" s="39" t="n">
        <f aca="false">B119*(B119+1)*D119</f>
        <v>47.735343798003</v>
      </c>
    </row>
    <row r="120" customFormat="false" ht="15" hidden="false" customHeight="false" outlineLevel="0" collapsed="false">
      <c r="B120" s="31" t="n">
        <v>5</v>
      </c>
      <c r="C120" s="39" t="n">
        <f aca="false">IF(B120&lt;=$C$111,$C$110*100/2+IF(B120=$C$111,100,0),0)</f>
        <v>2.65</v>
      </c>
      <c r="D120" s="39" t="n">
        <f aca="false">C120/(1+$C$110/2)^B120</f>
        <v>2.32515069644438</v>
      </c>
      <c r="E120" s="39" t="n">
        <f aca="false">B120*D120</f>
        <v>11.6257534822219</v>
      </c>
      <c r="F120" s="39" t="n">
        <f aca="false">B120*(B120+1)*D120</f>
        <v>69.7545208933313</v>
      </c>
    </row>
    <row r="121" customFormat="false" ht="15" hidden="false" customHeight="false" outlineLevel="0" collapsed="false">
      <c r="B121" s="31" t="n">
        <v>6</v>
      </c>
      <c r="C121" s="39" t="n">
        <f aca="false">IF(B121&lt;=$C$111,$C$110*100/2+IF(B121=$C$111,100,0),0)</f>
        <v>2.65</v>
      </c>
      <c r="D121" s="39" t="n">
        <f aca="false">C121/(1+$C$110/2)^B121</f>
        <v>2.26512488694045</v>
      </c>
      <c r="E121" s="39" t="n">
        <f aca="false">B121*D121</f>
        <v>13.5907493216427</v>
      </c>
      <c r="F121" s="39" t="n">
        <f aca="false">B121*(B121+1)*D121</f>
        <v>95.1352452514991</v>
      </c>
    </row>
    <row r="122" customFormat="false" ht="15" hidden="false" customHeight="false" outlineLevel="0" collapsed="false">
      <c r="B122" s="31" t="n">
        <v>7</v>
      </c>
      <c r="C122" s="39" t="n">
        <f aca="false">IF(B122&lt;=$C$111,$C$110*100/2+IF(B122=$C$111,100,0),0)</f>
        <v>2.65</v>
      </c>
      <c r="D122" s="39" t="n">
        <f aca="false">C122/(1+$C$110/2)^B122</f>
        <v>2.20664869648364</v>
      </c>
      <c r="E122" s="39" t="n">
        <f aca="false">B122*D122</f>
        <v>15.4465408753855</v>
      </c>
      <c r="F122" s="39" t="n">
        <f aca="false">B122*(B122+1)*D122</f>
        <v>123.572327003084</v>
      </c>
    </row>
    <row r="123" customFormat="false" ht="15" hidden="false" customHeight="false" outlineLevel="0" collapsed="false">
      <c r="B123" s="31" t="n">
        <v>8</v>
      </c>
      <c r="C123" s="39" t="n">
        <f aca="false">IF(B123&lt;=$C$111,$C$110*100/2+IF(B123=$C$111,100,0),0)</f>
        <v>2.65</v>
      </c>
      <c r="D123" s="39" t="n">
        <f aca="false">C123/(1+$C$110/2)^B123</f>
        <v>2.1496821202958</v>
      </c>
      <c r="E123" s="39" t="n">
        <f aca="false">B123*D123</f>
        <v>17.1974569623664</v>
      </c>
      <c r="F123" s="39" t="n">
        <f aca="false">B123*(B123+1)*D123</f>
        <v>154.777112661298</v>
      </c>
    </row>
    <row r="124" customFormat="false" ht="15" hidden="false" customHeight="false" outlineLevel="0" collapsed="false">
      <c r="B124" s="31" t="n">
        <v>9</v>
      </c>
      <c r="C124" s="39" t="n">
        <f aca="false">IF(B124&lt;=$C$111,$C$110*100/2+IF(B124=$C$111,100,0),0)</f>
        <v>2.65</v>
      </c>
      <c r="D124" s="39" t="n">
        <f aca="false">C124/(1+$C$110/2)^B124</f>
        <v>2.09418618635733</v>
      </c>
      <c r="E124" s="39" t="n">
        <f aca="false">B124*D124</f>
        <v>18.847675677216</v>
      </c>
      <c r="F124" s="39" t="n">
        <f aca="false">B124*(B124+1)*D124</f>
        <v>188.47675677216</v>
      </c>
    </row>
    <row r="125" customFormat="false" ht="15" hidden="false" customHeight="false" outlineLevel="0" collapsed="false">
      <c r="B125" s="31" t="n">
        <v>10</v>
      </c>
      <c r="C125" s="39" t="n">
        <f aca="false">IF(B125&lt;=$C$111,$C$110*100/2+IF(B125=$C$111,100,0),0)</f>
        <v>102.65</v>
      </c>
      <c r="D125" s="39" t="n">
        <f aca="false">C125/(1+$C$110/2)^B125</f>
        <v>79.0258938248049</v>
      </c>
      <c r="E125" s="39" t="n">
        <f aca="false">B125*D125</f>
        <v>790.258938248049</v>
      </c>
      <c r="F125" s="39" t="n">
        <f aca="false">B125*(B125+1)*D125</f>
        <v>8692.84832072854</v>
      </c>
    </row>
    <row r="126" customFormat="false" ht="15" hidden="false" customHeight="false" outlineLevel="0" collapsed="false">
      <c r="B126" s="31" t="n">
        <v>11</v>
      </c>
      <c r="C126" s="39" t="n">
        <f aca="false">IF(B126&lt;=$C$111,$C$110*100/2+IF(B126=$C$111,100,0),0)</f>
        <v>0</v>
      </c>
      <c r="D126" s="39" t="n">
        <f aca="false">C126/(1+$C$110/2)^B126</f>
        <v>0</v>
      </c>
      <c r="E126" s="39" t="n">
        <f aca="false">B126*D126</f>
        <v>0</v>
      </c>
      <c r="F126" s="39" t="n">
        <f aca="false">B126*(B126+1)*D126</f>
        <v>0</v>
      </c>
    </row>
    <row r="127" customFormat="false" ht="15" hidden="false" customHeight="false" outlineLevel="0" collapsed="false">
      <c r="B127" s="31" t="n">
        <v>12</v>
      </c>
      <c r="C127" s="39" t="n">
        <f aca="false">IF(B127&lt;=$C$111,$C$110*100/2+IF(B127=$C$111,100,0),0)</f>
        <v>0</v>
      </c>
      <c r="D127" s="39" t="n">
        <f aca="false">C127/(1+$C$110/2)^B127</f>
        <v>0</v>
      </c>
      <c r="E127" s="39" t="n">
        <f aca="false">B127*D127</f>
        <v>0</v>
      </c>
      <c r="F127" s="39" t="n">
        <f aca="false">B127*(B127+1)*D127</f>
        <v>0</v>
      </c>
    </row>
    <row r="128" customFormat="false" ht="15" hidden="false" customHeight="false" outlineLevel="0" collapsed="false">
      <c r="B128" s="9" t="s">
        <v>216</v>
      </c>
      <c r="C128" s="27" t="n">
        <f aca="false">SUM(D116:D127)</f>
        <v>100</v>
      </c>
    </row>
    <row r="129" customFormat="false" ht="15" hidden="false" customHeight="false" outlineLevel="0" collapsed="false">
      <c r="B129" s="9" t="s">
        <v>217</v>
      </c>
      <c r="C129" s="27" t="n">
        <f aca="false">SUM(E116:E127)/C128/2</f>
        <v>4.45737852362172</v>
      </c>
    </row>
    <row r="130" customFormat="false" ht="15" hidden="false" customHeight="false" outlineLevel="0" collapsed="false">
      <c r="B130" s="9" t="s">
        <v>218</v>
      </c>
      <c r="C130" s="27" t="n">
        <f aca="false">C129/(1+$C$110/2)</f>
        <v>4.34230737810202</v>
      </c>
    </row>
    <row r="131" customFormat="false" ht="15" hidden="false" customHeight="false" outlineLevel="0" collapsed="false">
      <c r="B131" s="9" t="s">
        <v>219</v>
      </c>
      <c r="C131" s="27" t="n">
        <f aca="false">SUM(F116:F127)/C128/(1+$C$110/2)^2/4</f>
        <v>22.3544000521558</v>
      </c>
    </row>
    <row r="132" customFormat="false" ht="15" hidden="false" customHeight="false" outlineLevel="0" collapsed="false">
      <c r="B132" s="9" t="s">
        <v>220</v>
      </c>
      <c r="C132" s="27" t="n">
        <f aca="false">PV($C$110/2,$C$111,-$C$110*100/2,-100)</f>
        <v>100</v>
      </c>
    </row>
    <row r="134" customFormat="false" ht="15" hidden="false" customHeight="false" outlineLevel="0" collapsed="false">
      <c r="B134" s="29" t="s">
        <v>221</v>
      </c>
      <c r="C134" s="44" t="n">
        <f aca="false">AVERAGE(Duration!$C$57,Duration!$C$82,Duration!$C$106,Duration!$C$130,Duration!$C$26)</f>
        <v>3.52350723728783</v>
      </c>
    </row>
    <row r="136" customFormat="false" ht="15" hidden="false" customHeight="false" outlineLevel="0" collapsed="false">
      <c r="B136" s="9" t="s">
        <v>222</v>
      </c>
      <c r="C136" s="17" t="n">
        <f aca="false">Yield_Measures!$C$10</f>
        <v>0.100561753609911</v>
      </c>
    </row>
    <row r="137" customFormat="false" ht="15" hidden="false" customHeight="false" outlineLevel="0" collapsed="false">
      <c r="B137" s="9" t="s">
        <v>173</v>
      </c>
      <c r="C137" s="28" t="n">
        <f aca="false">Assumptions!$C$30*2</f>
        <v>10</v>
      </c>
    </row>
    <row r="139" customFormat="false" ht="15" hidden="false" customHeight="false" outlineLevel="0" collapsed="false">
      <c r="B139" s="7" t="s">
        <v>223</v>
      </c>
      <c r="C139" s="8"/>
      <c r="D139" s="8"/>
      <c r="E139" s="8"/>
      <c r="F139" s="8"/>
      <c r="G139" s="8"/>
    </row>
    <row r="140" customFormat="false" ht="30" hidden="false" customHeight="true" outlineLevel="0" collapsed="false">
      <c r="B140" s="13" t="s">
        <v>175</v>
      </c>
      <c r="C140" s="14" t="s">
        <v>109</v>
      </c>
      <c r="D140" s="14" t="s">
        <v>176</v>
      </c>
      <c r="E140" s="14" t="s">
        <v>177</v>
      </c>
      <c r="F140" s="14" t="s">
        <v>178</v>
      </c>
    </row>
    <row r="141" customFormat="false" ht="15" hidden="false" customHeight="false" outlineLevel="0" collapsed="false">
      <c r="B141" s="43" t="s">
        <v>180</v>
      </c>
    </row>
    <row r="142" customFormat="false" ht="15" hidden="false" customHeight="false" outlineLevel="0" collapsed="false">
      <c r="B142" s="31" t="n">
        <v>1</v>
      </c>
      <c r="C142" s="39" t="n">
        <f aca="false">IF(B142&lt;=$C$137,Assumptions!$D$37*100/2+IF(B142=$C$137,100,0),0)</f>
        <v>4.25</v>
      </c>
      <c r="D142" s="39" t="n">
        <f aca="false">C142/(1+$C$136/2)^B142</f>
        <v>4.04653659212464</v>
      </c>
      <c r="E142" s="39" t="n">
        <f aca="false">B142*D142</f>
        <v>4.04653659212464</v>
      </c>
      <c r="F142" s="39" t="n">
        <f aca="false">B142*(B142+1)*D142</f>
        <v>8.09307318424927</v>
      </c>
    </row>
    <row r="143" customFormat="false" ht="15" hidden="false" customHeight="false" outlineLevel="0" collapsed="false">
      <c r="B143" s="31" t="n">
        <v>2</v>
      </c>
      <c r="C143" s="39" t="n">
        <f aca="false">IF(B143&lt;=$C$137,Assumptions!$D$37*100/2+IF(B143=$C$137,100,0),0)</f>
        <v>4.25</v>
      </c>
      <c r="D143" s="39" t="n">
        <f aca="false">C143/(1+$C$136/2)^B143</f>
        <v>3.8528137391538</v>
      </c>
      <c r="E143" s="39" t="n">
        <f aca="false">B143*D143</f>
        <v>7.70562747830761</v>
      </c>
      <c r="F143" s="39" t="n">
        <f aca="false">B143*(B143+1)*D143</f>
        <v>23.1168824349228</v>
      </c>
    </row>
    <row r="144" customFormat="false" ht="15" hidden="false" customHeight="false" outlineLevel="0" collapsed="false">
      <c r="B144" s="31" t="n">
        <v>3</v>
      </c>
      <c r="C144" s="39" t="n">
        <f aca="false">IF(B144&lt;=$C$137,Assumptions!$D$37*100/2+IF(B144=$C$137,100,0),0)</f>
        <v>4.25</v>
      </c>
      <c r="D144" s="39" t="n">
        <f aca="false">C144/(1+$C$136/2)^B144</f>
        <v>3.66836512426504</v>
      </c>
      <c r="E144" s="39" t="n">
        <f aca="false">B144*D144</f>
        <v>11.0050953727951</v>
      </c>
      <c r="F144" s="39" t="n">
        <f aca="false">B144*(B144+1)*D144</f>
        <v>44.0203814911805</v>
      </c>
    </row>
    <row r="145" customFormat="false" ht="15" hidden="false" customHeight="false" outlineLevel="0" collapsed="false">
      <c r="B145" s="31" t="n">
        <v>4</v>
      </c>
      <c r="C145" s="39" t="n">
        <f aca="false">IF(B145&lt;=$C$137,Assumptions!$D$37*100/2+IF(B145=$C$137,100,0),0)</f>
        <v>4.25</v>
      </c>
      <c r="D145" s="39" t="n">
        <f aca="false">C145/(1+$C$136/2)^B145</f>
        <v>3.49274675496761</v>
      </c>
      <c r="E145" s="39" t="n">
        <f aca="false">B145*D145</f>
        <v>13.9709870198704</v>
      </c>
      <c r="F145" s="39" t="n">
        <f aca="false">B145*(B145+1)*D145</f>
        <v>69.8549350993521</v>
      </c>
    </row>
    <row r="146" customFormat="false" ht="15" hidden="false" customHeight="false" outlineLevel="0" collapsed="false">
      <c r="B146" s="31" t="n">
        <v>5</v>
      </c>
      <c r="C146" s="39" t="n">
        <f aca="false">IF(B146&lt;=$C$137,Assumptions!$D$37*100/2+IF(B146=$C$137,100,0),0)</f>
        <v>4.25</v>
      </c>
      <c r="D146" s="39" t="n">
        <f aca="false">C146/(1+$C$136/2)^B146</f>
        <v>3.32553589435318</v>
      </c>
      <c r="E146" s="39" t="n">
        <f aca="false">B146*D146</f>
        <v>16.6276794717659</v>
      </c>
      <c r="F146" s="39" t="n">
        <f aca="false">B146*(B146+1)*D146</f>
        <v>99.7660768305953</v>
      </c>
    </row>
    <row r="147" customFormat="false" ht="15" hidden="false" customHeight="false" outlineLevel="0" collapsed="false">
      <c r="B147" s="31" t="n">
        <v>6</v>
      </c>
      <c r="C147" s="39" t="n">
        <f aca="false">IF(B147&lt;=$C$137,Assumptions!$D$37*100/2+IF(B147=$C$137,100,0),0)</f>
        <v>4.25</v>
      </c>
      <c r="D147" s="39" t="n">
        <f aca="false">C147/(1+$C$136/2)^B147</f>
        <v>3.16633004351154</v>
      </c>
      <c r="E147" s="39" t="n">
        <f aca="false">B147*D147</f>
        <v>18.9979802610693</v>
      </c>
      <c r="F147" s="39" t="n">
        <f aca="false">B147*(B147+1)*D147</f>
        <v>132.985861827485</v>
      </c>
    </row>
    <row r="148" customFormat="false" ht="15" hidden="false" customHeight="false" outlineLevel="0" collapsed="false">
      <c r="B148" s="31" t="n">
        <v>7</v>
      </c>
      <c r="C148" s="39" t="n">
        <f aca="false">IF(B148&lt;=$C$137,Assumptions!$D$37*100/2+IF(B148=$C$137,100,0),0)</f>
        <v>4.25</v>
      </c>
      <c r="D148" s="39" t="n">
        <f aca="false">C148/(1+$C$136/2)^B148</f>
        <v>3.0147459726619</v>
      </c>
      <c r="E148" s="39" t="n">
        <f aca="false">B148*D148</f>
        <v>21.1032218086333</v>
      </c>
      <c r="F148" s="39" t="n">
        <f aca="false">B148*(B148+1)*D148</f>
        <v>168.825774469066</v>
      </c>
    </row>
    <row r="149" customFormat="false" ht="15" hidden="false" customHeight="false" outlineLevel="0" collapsed="false">
      <c r="B149" s="31" t="n">
        <v>8</v>
      </c>
      <c r="C149" s="39" t="n">
        <f aca="false">IF(B149&lt;=$C$137,Assumptions!$D$37*100/2+IF(B149=$C$137,100,0),0)</f>
        <v>4.25</v>
      </c>
      <c r="D149" s="39" t="n">
        <f aca="false">C149/(1+$C$136/2)^B149</f>
        <v>2.87041879866747</v>
      </c>
      <c r="E149" s="39" t="n">
        <f aca="false">B149*D149</f>
        <v>22.9633503893397</v>
      </c>
      <c r="F149" s="39" t="n">
        <f aca="false">B149*(B149+1)*D149</f>
        <v>206.670153504058</v>
      </c>
    </row>
    <row r="150" customFormat="false" ht="15" hidden="false" customHeight="false" outlineLevel="0" collapsed="false">
      <c r="B150" s="31" t="n">
        <v>9</v>
      </c>
      <c r="C150" s="39" t="n">
        <f aca="false">IF(B150&lt;=$C$137,Assumptions!$D$37*100/2+IF(B150=$C$137,100,0),0)</f>
        <v>4.25</v>
      </c>
      <c r="D150" s="39" t="n">
        <f aca="false">C150/(1+$C$136/2)^B150</f>
        <v>2.73300110671302</v>
      </c>
      <c r="E150" s="39" t="n">
        <f aca="false">B150*D150</f>
        <v>24.5970099604172</v>
      </c>
      <c r="F150" s="39" t="n">
        <f aca="false">B150*(B150+1)*D150</f>
        <v>245.970099604172</v>
      </c>
    </row>
    <row r="151" customFormat="false" ht="15" hidden="false" customHeight="false" outlineLevel="0" collapsed="false">
      <c r="B151" s="31" t="n">
        <v>10</v>
      </c>
      <c r="C151" s="39" t="n">
        <f aca="false">IF(B151&lt;=$C$137,Assumptions!$D$37*100/2+IF(B151=$C$137,100,0),0)</f>
        <v>104.25</v>
      </c>
      <c r="D151" s="39" t="n">
        <f aca="false">C151/(1+$C$136/2)^B151</f>
        <v>63.8295059735818</v>
      </c>
      <c r="E151" s="39" t="n">
        <f aca="false">B151*D151</f>
        <v>638.295059735818</v>
      </c>
      <c r="F151" s="39" t="n">
        <f aca="false">B151*(B151+1)*D151</f>
        <v>7021.245657094</v>
      </c>
    </row>
    <row r="152" customFormat="false" ht="15" hidden="false" customHeight="false" outlineLevel="0" collapsed="false">
      <c r="B152" s="31" t="n">
        <v>11</v>
      </c>
      <c r="C152" s="39" t="n">
        <f aca="false">IF(B152&lt;=$C$137,Assumptions!$D$37*100/2+IF(B152=$C$137,100,0),0)</f>
        <v>0</v>
      </c>
      <c r="D152" s="39" t="n">
        <f aca="false">C152/(1+$C$136/2)^B152</f>
        <v>0</v>
      </c>
      <c r="E152" s="39" t="n">
        <f aca="false">B152*D152</f>
        <v>0</v>
      </c>
      <c r="F152" s="39" t="n">
        <f aca="false">B152*(B152+1)*D152</f>
        <v>0</v>
      </c>
    </row>
    <row r="153" customFormat="false" ht="15" hidden="false" customHeight="false" outlineLevel="0" collapsed="false">
      <c r="B153" s="31" t="n">
        <v>12</v>
      </c>
      <c r="C153" s="39" t="n">
        <f aca="false">IF(B153&lt;=$C$137,Assumptions!$D$37*100/2+IF(B153=$C$137,100,0),0)</f>
        <v>0</v>
      </c>
      <c r="D153" s="39" t="n">
        <f aca="false">C153/(1+$C$136/2)^B153</f>
        <v>0</v>
      </c>
      <c r="E153" s="39" t="n">
        <f aca="false">B153*D153</f>
        <v>0</v>
      </c>
      <c r="F153" s="39" t="n">
        <f aca="false">B153*(B153+1)*D153</f>
        <v>0</v>
      </c>
    </row>
    <row r="154" customFormat="false" ht="15" hidden="false" customHeight="false" outlineLevel="0" collapsed="false">
      <c r="B154" s="9" t="s">
        <v>224</v>
      </c>
      <c r="C154" s="27" t="n">
        <f aca="false">SUM(D142:D153)</f>
        <v>94</v>
      </c>
    </row>
    <row r="155" customFormat="false" ht="15" hidden="false" customHeight="false" outlineLevel="0" collapsed="false">
      <c r="B155" s="9" t="s">
        <v>225</v>
      </c>
      <c r="C155" s="27" t="n">
        <f aca="false">SUM(E142:E153)/C154/2</f>
        <v>4.14527951111777</v>
      </c>
    </row>
    <row r="156" customFormat="false" ht="15" hidden="false" customHeight="false" outlineLevel="0" collapsed="false">
      <c r="B156" s="9" t="s">
        <v>226</v>
      </c>
      <c r="C156" s="27" t="n">
        <f aca="false">C155/(1+$C$136/2)</f>
        <v>3.94682946501708</v>
      </c>
    </row>
    <row r="157" customFormat="false" ht="15" hidden="false" customHeight="false" outlineLevel="0" collapsed="false">
      <c r="B157" s="9" t="s">
        <v>227</v>
      </c>
      <c r="C157" s="27" t="n">
        <f aca="false">SUM(F142:F153)/C154/(1+$C$136/2)^2/4</f>
        <v>19.3377227661376</v>
      </c>
    </row>
    <row r="158" customFormat="false" ht="15" hidden="false" customHeight="false" outlineLevel="0" collapsed="false">
      <c r="B158" s="9" t="s">
        <v>228</v>
      </c>
      <c r="C158" s="27" t="n">
        <f aca="false">PV($C$136/2,$C$137,-Assumptions!$D$37*100/2,-100)</f>
        <v>94</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K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40"/>
    <col collapsed="false" customWidth="true" hidden="false" outlineLevel="0" max="5" min="3" style="0" width="13"/>
    <col collapsed="false" customWidth="true" hidden="false" outlineLevel="0" max="6" min="6" style="0" width="16"/>
    <col collapsed="false" customWidth="true" hidden="false" outlineLevel="0" max="11" min="7" style="0" width="12"/>
  </cols>
  <sheetData>
    <row r="1" customFormat="false" ht="6" hidden="false" customHeight="true" outlineLevel="0" collapsed="false"/>
    <row r="2" customFormat="false" ht="17.35" hidden="false" customHeight="false" outlineLevel="0" collapsed="false">
      <c r="B2" s="5" t="s">
        <v>229</v>
      </c>
    </row>
    <row r="3" customFormat="false" ht="15" hidden="false" customHeight="false" outlineLevel="0" collapsed="false">
      <c r="B3" s="6" t="s">
        <v>230</v>
      </c>
    </row>
    <row r="5" customFormat="false" ht="15" hidden="false" customHeight="false" outlineLevel="0" collapsed="false">
      <c r="B5" s="9" t="s">
        <v>231</v>
      </c>
      <c r="C5" s="12" t="n">
        <v>0.35</v>
      </c>
    </row>
    <row r="7" customFormat="false" ht="21.75" hidden="false" customHeight="true" outlineLevel="0" collapsed="false">
      <c r="B7" s="13" t="s">
        <v>232</v>
      </c>
      <c r="C7" s="14"/>
      <c r="D7" s="14"/>
      <c r="E7" s="14"/>
      <c r="F7" s="14"/>
      <c r="G7" s="45" t="n">
        <v>0.1</v>
      </c>
      <c r="H7" s="45" t="n">
        <v>0.2</v>
      </c>
      <c r="I7" s="45" t="n">
        <v>0.3</v>
      </c>
      <c r="J7" s="45" t="n">
        <v>0.4</v>
      </c>
      <c r="K7" s="45" t="n">
        <v>0.5</v>
      </c>
    </row>
    <row r="8" customFormat="false" ht="15" hidden="false" customHeight="false" outlineLevel="0" collapsed="false">
      <c r="B8" s="29" t="s">
        <v>233</v>
      </c>
      <c r="G8" s="33" t="n">
        <f aca="false">G$7*$C$5</f>
        <v>0.035</v>
      </c>
      <c r="H8" s="33" t="n">
        <f aca="false">H$7*$C$5</f>
        <v>0.07</v>
      </c>
      <c r="I8" s="33" t="n">
        <f aca="false">I$7*$C$5</f>
        <v>0.105</v>
      </c>
      <c r="J8" s="33" t="n">
        <f aca="false">J$7*$C$5</f>
        <v>0.14</v>
      </c>
      <c r="K8" s="33" t="n">
        <f aca="false">K$7*$C$5</f>
        <v>0.175</v>
      </c>
    </row>
    <row r="10" customFormat="false" ht="30" hidden="false" customHeight="true" outlineLevel="0" collapsed="false">
      <c r="B10" s="13" t="s">
        <v>234</v>
      </c>
      <c r="C10" s="14" t="s">
        <v>235</v>
      </c>
      <c r="D10" s="14" t="s">
        <v>236</v>
      </c>
      <c r="E10" s="14" t="s">
        <v>33</v>
      </c>
      <c r="F10" s="14" t="s">
        <v>237</v>
      </c>
      <c r="G10" s="14" t="s">
        <v>238</v>
      </c>
      <c r="H10" s="14" t="s">
        <v>238</v>
      </c>
      <c r="I10" s="14" t="s">
        <v>238</v>
      </c>
      <c r="J10" s="14" t="s">
        <v>238</v>
      </c>
      <c r="K10" s="14" t="s">
        <v>238</v>
      </c>
    </row>
    <row r="11" customFormat="false" ht="15" hidden="false" customHeight="false" outlineLevel="0" collapsed="false">
      <c r="B11" s="9" t="s">
        <v>239</v>
      </c>
      <c r="C11" s="12" t="n">
        <v>0.36</v>
      </c>
      <c r="D11" s="12" t="n">
        <v>1</v>
      </c>
      <c r="E11" s="46" t="n">
        <v>0.013</v>
      </c>
      <c r="F11" s="47" t="n">
        <f aca="false">IF(C11&gt;0,C11/$C$5,"first loss")</f>
        <v>1.02857142857143</v>
      </c>
      <c r="G11" s="22" t="n">
        <f aca="false">MIN(MAX(G$8-$C11,0),$D11-$C11)/($D11-$C11)</f>
        <v>0</v>
      </c>
      <c r="H11" s="22" t="n">
        <f aca="false">MIN(MAX(H$8-$C11,0),$D11-$C11)/($D11-$C11)</f>
        <v>0</v>
      </c>
      <c r="I11" s="22" t="n">
        <f aca="false">MIN(MAX(I$8-$C11,0),$D11-$C11)/($D11-$C11)</f>
        <v>0</v>
      </c>
      <c r="J11" s="22" t="n">
        <f aca="false">MIN(MAX(J$8-$C11,0),$D11-$C11)/($D11-$C11)</f>
        <v>0</v>
      </c>
      <c r="K11" s="22" t="n">
        <f aca="false">MIN(MAX(K$8-$C11,0),$D11-$C11)/($D11-$C11)</f>
        <v>0</v>
      </c>
    </row>
    <row r="12" customFormat="false" ht="15" hidden="false" customHeight="false" outlineLevel="0" collapsed="false">
      <c r="B12" s="9" t="s">
        <v>240</v>
      </c>
      <c r="C12" s="12" t="n">
        <v>0.25</v>
      </c>
      <c r="D12" s="12" t="n">
        <v>0.36</v>
      </c>
      <c r="E12" s="46" t="n">
        <v>0.018</v>
      </c>
      <c r="F12" s="47" t="n">
        <f aca="false">IF(C12&gt;0,C12/$C$5,"first loss")</f>
        <v>0.714285714285714</v>
      </c>
      <c r="G12" s="22" t="n">
        <f aca="false">MIN(MAX(G$8-$C12,0),$D12-$C12)/($D12-$C12)</f>
        <v>0</v>
      </c>
      <c r="H12" s="22" t="n">
        <f aca="false">MIN(MAX(H$8-$C12,0),$D12-$C12)/($D12-$C12)</f>
        <v>0</v>
      </c>
      <c r="I12" s="22" t="n">
        <f aca="false">MIN(MAX(I$8-$C12,0),$D12-$C12)/($D12-$C12)</f>
        <v>0</v>
      </c>
      <c r="J12" s="22" t="n">
        <f aca="false">MIN(MAX(J$8-$C12,0),$D12-$C12)/($D12-$C12)</f>
        <v>0</v>
      </c>
      <c r="K12" s="22" t="n">
        <f aca="false">MIN(MAX(K$8-$C12,0),$D12-$C12)/($D12-$C12)</f>
        <v>0</v>
      </c>
    </row>
    <row r="13" customFormat="false" ht="15" hidden="false" customHeight="false" outlineLevel="0" collapsed="false">
      <c r="B13" s="9" t="s">
        <v>25</v>
      </c>
      <c r="C13" s="12" t="n">
        <v>0.19</v>
      </c>
      <c r="D13" s="12" t="n">
        <v>0.25</v>
      </c>
      <c r="E13" s="46" t="n">
        <v>0.023</v>
      </c>
      <c r="F13" s="47" t="n">
        <f aca="false">IF(C13&gt;0,C13/$C$5,"first loss")</f>
        <v>0.542857142857143</v>
      </c>
      <c r="G13" s="22" t="n">
        <f aca="false">MIN(MAX(G$8-$C13,0),$D13-$C13)/($D13-$C13)</f>
        <v>0</v>
      </c>
      <c r="H13" s="22" t="n">
        <f aca="false">MIN(MAX(H$8-$C13,0),$D13-$C13)/($D13-$C13)</f>
        <v>0</v>
      </c>
      <c r="I13" s="22" t="n">
        <f aca="false">MIN(MAX(I$8-$C13,0),$D13-$C13)/($D13-$C13)</f>
        <v>0</v>
      </c>
      <c r="J13" s="22" t="n">
        <f aca="false">MIN(MAX(J$8-$C13,0),$D13-$C13)/($D13-$C13)</f>
        <v>0</v>
      </c>
      <c r="K13" s="22" t="n">
        <f aca="false">MIN(MAX(K$8-$C13,0),$D13-$C13)/($D13-$C13)</f>
        <v>0</v>
      </c>
    </row>
    <row r="14" customFormat="false" ht="15" hidden="false" customHeight="false" outlineLevel="0" collapsed="false">
      <c r="B14" s="9" t="s">
        <v>26</v>
      </c>
      <c r="C14" s="12" t="n">
        <v>0.13</v>
      </c>
      <c r="D14" s="12" t="n">
        <v>0.19</v>
      </c>
      <c r="E14" s="46" t="n">
        <v>0.035</v>
      </c>
      <c r="F14" s="47" t="n">
        <f aca="false">IF(C14&gt;0,C14/$C$5,"first loss")</f>
        <v>0.371428571428571</v>
      </c>
      <c r="G14" s="22" t="n">
        <f aca="false">MIN(MAX(G$8-$C14,0),$D14-$C14)/($D14-$C14)</f>
        <v>0</v>
      </c>
      <c r="H14" s="22" t="n">
        <f aca="false">MIN(MAX(H$8-$C14,0),$D14-$C14)/($D14-$C14)</f>
        <v>0</v>
      </c>
      <c r="I14" s="22" t="n">
        <f aca="false">MIN(MAX(I$8-$C14,0),$D14-$C14)/($D14-$C14)</f>
        <v>0</v>
      </c>
      <c r="J14" s="22" t="n">
        <f aca="false">MIN(MAX(J$8-$C14,0),$D14-$C14)/($D14-$C14)</f>
        <v>0.166666666666666</v>
      </c>
      <c r="K14" s="22" t="n">
        <f aca="false">MIN(MAX(K$8-$C14,0),$D14-$C14)/($D14-$C14)</f>
        <v>0.75</v>
      </c>
    </row>
    <row r="15" customFormat="false" ht="15" hidden="false" customHeight="false" outlineLevel="0" collapsed="false">
      <c r="B15" s="9" t="s">
        <v>27</v>
      </c>
      <c r="C15" s="12" t="n">
        <v>0.09</v>
      </c>
      <c r="D15" s="12" t="n">
        <v>0.13</v>
      </c>
      <c r="E15" s="46" t="n">
        <v>0.065</v>
      </c>
      <c r="F15" s="47" t="n">
        <f aca="false">IF(C15&gt;0,C15/$C$5,"first loss")</f>
        <v>0.257142857142857</v>
      </c>
      <c r="G15" s="22" t="n">
        <f aca="false">MIN(MAX(G$8-$C15,0),$D15-$C15)/($D15-$C15)</f>
        <v>0</v>
      </c>
      <c r="H15" s="22" t="n">
        <f aca="false">MIN(MAX(H$8-$C15,0),$D15-$C15)/($D15-$C15)</f>
        <v>0</v>
      </c>
      <c r="I15" s="22" t="n">
        <f aca="false">MIN(MAX(I$8-$C15,0),$D15-$C15)/($D15-$C15)</f>
        <v>0.375</v>
      </c>
      <c r="J15" s="22" t="n">
        <f aca="false">MIN(MAX(J$8-$C15,0),$D15-$C15)/($D15-$C15)</f>
        <v>1</v>
      </c>
      <c r="K15" s="22" t="n">
        <f aca="false">MIN(MAX(K$8-$C15,0),$D15-$C15)/($D15-$C15)</f>
        <v>1</v>
      </c>
    </row>
    <row r="16" customFormat="false" ht="15" hidden="false" customHeight="false" outlineLevel="0" collapsed="false">
      <c r="B16" s="9" t="s">
        <v>241</v>
      </c>
      <c r="C16" s="12" t="n">
        <v>0</v>
      </c>
      <c r="D16" s="12" t="n">
        <v>0.09</v>
      </c>
      <c r="E16" s="46" t="s">
        <v>242</v>
      </c>
      <c r="F16" s="47" t="str">
        <f aca="false">IF(C16&gt;0,C16/$C$5,"first loss")</f>
        <v>first loss</v>
      </c>
      <c r="G16" s="22" t="n">
        <f aca="false">MIN(MAX(G$8-$C16,0),$D16-$C16)/($D16-$C16)</f>
        <v>0.388888888888889</v>
      </c>
      <c r="H16" s="22" t="n">
        <f aca="false">MIN(MAX(H$8-$C16,0),$D16-$C16)/($D16-$C16)</f>
        <v>0.777777777777778</v>
      </c>
      <c r="I16" s="22" t="n">
        <f aca="false">MIN(MAX(I$8-$C16,0),$D16-$C16)/($D16-$C16)</f>
        <v>1</v>
      </c>
      <c r="J16" s="22" t="n">
        <f aca="false">MIN(MAX(J$8-$C16,0),$D16-$C16)/($D16-$C16)</f>
        <v>1</v>
      </c>
      <c r="K16" s="22" t="n">
        <f aca="false">MIN(MAX(K$8-$C16,0),$D16-$C16)/($D16-$C16)</f>
        <v>1</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E9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18"/>
    <col collapsed="false" customWidth="true" hidden="false" outlineLevel="0" max="3" min="3" style="0" width="70"/>
    <col collapsed="false" customWidth="true" hidden="false" outlineLevel="0" max="4" min="4" style="0" width="16"/>
    <col collapsed="false" customWidth="true" hidden="false" outlineLevel="0" max="5" min="5" style="0" width="14"/>
  </cols>
  <sheetData>
    <row r="1" customFormat="false" ht="6" hidden="false" customHeight="true" outlineLevel="0" collapsed="false"/>
    <row r="2" customFormat="false" ht="17.35" hidden="false" customHeight="false" outlineLevel="0" collapsed="false">
      <c r="B2" s="5" t="s">
        <v>243</v>
      </c>
    </row>
    <row r="3" customFormat="false" ht="15" hidden="false" customHeight="false" outlineLevel="0" collapsed="false">
      <c r="B3" s="6" t="s">
        <v>244</v>
      </c>
    </row>
    <row r="5" customFormat="false" ht="21.75" hidden="false" customHeight="true" outlineLevel="0" collapsed="false">
      <c r="B5" s="13" t="s">
        <v>245</v>
      </c>
      <c r="C5" s="14" t="s">
        <v>246</v>
      </c>
      <c r="D5" s="14" t="s">
        <v>247</v>
      </c>
      <c r="E5" s="14" t="s">
        <v>248</v>
      </c>
    </row>
    <row r="6" customFormat="false" ht="15" hidden="false" customHeight="false" outlineLevel="0" collapsed="false">
      <c r="B6" s="9" t="s">
        <v>249</v>
      </c>
      <c r="C6" s="9" t="s">
        <v>250</v>
      </c>
      <c r="D6" s="48" t="n">
        <f aca="false">((Assumptions!$C$29*(Assumptions!$D$37*100))/100)</f>
        <v>1062.5</v>
      </c>
      <c r="E6" s="49" t="s">
        <v>251</v>
      </c>
    </row>
    <row r="7" customFormat="false" ht="15" hidden="false" customHeight="false" outlineLevel="0" collapsed="false">
      <c r="B7" s="9" t="s">
        <v>252</v>
      </c>
      <c r="C7" s="9" t="s">
        <v>253</v>
      </c>
      <c r="D7" s="48" t="n">
        <f aca="false">(Derived!$D$6/2)</f>
        <v>531.25</v>
      </c>
      <c r="E7" s="49" t="s">
        <v>254</v>
      </c>
    </row>
    <row r="8" customFormat="false" ht="15" hidden="false" customHeight="false" outlineLevel="0" collapsed="false">
      <c r="B8" s="9" t="s">
        <v>255</v>
      </c>
      <c r="C8" s="9" t="s">
        <v>256</v>
      </c>
      <c r="D8" s="48" t="n">
        <f aca="false">((Assumptions!$C$6*100)+(Assumptions!$C$42*100))</f>
        <v>7.6</v>
      </c>
      <c r="E8" s="49" t="s">
        <v>257</v>
      </c>
    </row>
    <row r="9" customFormat="false" ht="15" hidden="false" customHeight="false" outlineLevel="0" collapsed="false">
      <c r="B9" s="9" t="s">
        <v>258</v>
      </c>
      <c r="C9" s="9" t="s">
        <v>259</v>
      </c>
      <c r="D9" s="48" t="n">
        <f aca="false">(4*Assumptions!$C$52)</f>
        <v>1.92</v>
      </c>
      <c r="E9" s="49" t="s">
        <v>260</v>
      </c>
    </row>
    <row r="10" customFormat="false" ht="15" hidden="false" customHeight="false" outlineLevel="0" collapsed="false">
      <c r="B10" s="9" t="s">
        <v>261</v>
      </c>
      <c r="C10" s="9" t="s">
        <v>262</v>
      </c>
      <c r="D10" s="48" t="n">
        <f aca="false">(4*Assumptions!$D$52)</f>
        <v>1.6</v>
      </c>
      <c r="E10" s="49" t="s">
        <v>263</v>
      </c>
    </row>
    <row r="11" customFormat="false" ht="15" hidden="false" customHeight="false" outlineLevel="0" collapsed="false">
      <c r="B11" s="9" t="s">
        <v>264</v>
      </c>
      <c r="C11" s="9" t="s">
        <v>265</v>
      </c>
      <c r="D11" s="48" t="n">
        <f aca="false">(4*Assumptions!$E$52)</f>
        <v>1.32</v>
      </c>
      <c r="E11" s="49" t="s">
        <v>266</v>
      </c>
    </row>
    <row r="12" customFormat="false" ht="15" hidden="false" customHeight="false" outlineLevel="0" collapsed="false">
      <c r="B12" s="9" t="s">
        <v>267</v>
      </c>
      <c r="C12" s="9" t="s">
        <v>268</v>
      </c>
      <c r="D12" s="50" t="n">
        <f aca="false">((Default_Loss!$E$27*100)/2)</f>
        <v>2.725</v>
      </c>
      <c r="E12" s="49" t="s">
        <v>269</v>
      </c>
    </row>
    <row r="13" customFormat="false" ht="15" hidden="false" customHeight="false" outlineLevel="0" collapsed="false">
      <c r="B13" s="9" t="s">
        <v>270</v>
      </c>
      <c r="C13" s="9" t="s">
        <v>271</v>
      </c>
      <c r="D13" s="48" t="n">
        <f aca="false">(1-((Default_Loss!$C$11*100)/100))</f>
        <v>0.97</v>
      </c>
      <c r="E13" s="49" t="s">
        <v>272</v>
      </c>
    </row>
    <row r="14" customFormat="false" ht="15" hidden="false" customHeight="false" outlineLevel="0" collapsed="false">
      <c r="B14" s="9" t="s">
        <v>273</v>
      </c>
      <c r="C14" s="9" t="s">
        <v>274</v>
      </c>
      <c r="D14" s="50" t="n">
        <f aca="false">((1-((Default_Loss!$C$11*100)/100))^5)</f>
        <v>0.8587340257</v>
      </c>
      <c r="E14" s="49" t="s">
        <v>275</v>
      </c>
    </row>
    <row r="15" customFormat="false" ht="15" hidden="false" customHeight="false" outlineLevel="0" collapsed="false">
      <c r="B15" s="9" t="s">
        <v>276</v>
      </c>
      <c r="C15" s="9" t="s">
        <v>277</v>
      </c>
      <c r="D15" s="50" t="n">
        <f aca="false">((1-((Default_Loss!$C$12*100)/100))^5)</f>
        <v>0.4437053125</v>
      </c>
      <c r="E15" s="49" t="s">
        <v>278</v>
      </c>
    </row>
    <row r="16" customFormat="false" ht="15" hidden="false" customHeight="false" outlineLevel="0" collapsed="false">
      <c r="B16" s="9" t="s">
        <v>279</v>
      </c>
      <c r="C16" s="9" t="s">
        <v>280</v>
      </c>
      <c r="D16" s="48" t="n">
        <f aca="false">(ROUND((Default_Loss!$E$12*100),2)-ROUND((Yield_Measures!$C$11*100),2))</f>
        <v>2.94</v>
      </c>
      <c r="E16" s="49" t="s">
        <v>281</v>
      </c>
    </row>
    <row r="17" customFormat="false" ht="15" hidden="false" customHeight="false" outlineLevel="0" collapsed="false">
      <c r="B17" s="9" t="s">
        <v>282</v>
      </c>
      <c r="C17" s="9" t="s">
        <v>283</v>
      </c>
      <c r="D17" s="48" t="n">
        <f aca="false">(ROUND((Default_Loss!$E$32*100),2)-(Assumptions!$C$6*100))</f>
        <v>4.75</v>
      </c>
      <c r="E17" s="49" t="s">
        <v>284</v>
      </c>
    </row>
    <row r="18" customFormat="false" ht="15" hidden="false" customHeight="false" outlineLevel="0" collapsed="false">
      <c r="B18" s="9" t="s">
        <v>285</v>
      </c>
      <c r="C18" s="9" t="s">
        <v>286</v>
      </c>
      <c r="D18" s="51" t="n">
        <f aca="false">(Derived!$D$17/(1-((Assumptions!$C$8*100)/100)))</f>
        <v>7.91666666666667</v>
      </c>
      <c r="E18" s="49" t="s">
        <v>287</v>
      </c>
    </row>
    <row r="19" customFormat="false" ht="15" hidden="false" customHeight="false" outlineLevel="0" collapsed="false">
      <c r="B19" s="9" t="s">
        <v>288</v>
      </c>
      <c r="C19" s="9" t="s">
        <v>289</v>
      </c>
      <c r="D19" s="48" t="n">
        <f aca="false">(ROUND((Default_Loss!$F$32*100),2)-(Assumptions!$C$6*100))</f>
        <v>2.95</v>
      </c>
      <c r="E19" s="49" t="s">
        <v>290</v>
      </c>
    </row>
    <row r="20" customFormat="false" ht="15" hidden="false" customHeight="false" outlineLevel="0" collapsed="false">
      <c r="B20" s="9" t="s">
        <v>291</v>
      </c>
      <c r="C20" s="9" t="s">
        <v>292</v>
      </c>
      <c r="D20" s="48" t="n">
        <f aca="false">(ROUND((Default_Loss!$F$23*100),2)-(Assumptions!$C$6*100))</f>
        <v>0.77</v>
      </c>
      <c r="E20" s="49" t="s">
        <v>293</v>
      </c>
    </row>
    <row r="21" customFormat="false" ht="15" hidden="false" customHeight="false" outlineLevel="0" collapsed="false">
      <c r="B21" s="9" t="s">
        <v>294</v>
      </c>
      <c r="C21" s="9" t="s">
        <v>295</v>
      </c>
      <c r="D21" s="48" t="n">
        <f aca="false">((Default_Loss!$D$27*(Duration!$C$5*100))/100)</f>
        <v>1362.5</v>
      </c>
      <c r="E21" s="49" t="s">
        <v>296</v>
      </c>
    </row>
    <row r="22" customFormat="false" ht="15" hidden="false" customHeight="false" outlineLevel="0" collapsed="false">
      <c r="B22" s="9" t="s">
        <v>297</v>
      </c>
      <c r="C22" s="9" t="s">
        <v>298</v>
      </c>
      <c r="D22" s="48" t="n">
        <f aca="false">((Default_Loss!$D$27*ABS(ROUND((Duration!$C$33*100),2)))/100)</f>
        <v>1227.5</v>
      </c>
      <c r="E22" s="49" t="s">
        <v>299</v>
      </c>
    </row>
    <row r="23" customFormat="false" ht="15" hidden="false" customHeight="false" outlineLevel="0" collapsed="false">
      <c r="B23" s="9" t="s">
        <v>300</v>
      </c>
      <c r="C23" s="9" t="s">
        <v>301</v>
      </c>
      <c r="D23" s="48" t="n">
        <f aca="false">(((0.5*Duration!$C$27)*(0.01^2))*100)</f>
        <v>0.152201761470354</v>
      </c>
      <c r="E23" s="49" t="s">
        <v>302</v>
      </c>
    </row>
    <row r="24" customFormat="false" ht="15" hidden="false" customHeight="false" outlineLevel="0" collapsed="false">
      <c r="B24" s="9" t="s">
        <v>303</v>
      </c>
      <c r="C24" s="9" t="s">
        <v>304</v>
      </c>
      <c r="D24" s="48" t="n">
        <f aca="false">(ROUND(Duration!$C$26,2)+Derived!$D$23)</f>
        <v>5.21220176147035</v>
      </c>
      <c r="E24" s="49" t="s">
        <v>305</v>
      </c>
    </row>
    <row r="25" customFormat="false" ht="15" hidden="false" customHeight="false" outlineLevel="0" collapsed="false">
      <c r="B25" s="9" t="s">
        <v>306</v>
      </c>
      <c r="C25" s="9" t="s">
        <v>304</v>
      </c>
      <c r="D25" s="48" t="n">
        <f aca="false">(ROUND(Duration!$C$26,2)+Derived!$D$23)</f>
        <v>5.21220176147035</v>
      </c>
      <c r="E25" s="49" t="s">
        <v>307</v>
      </c>
    </row>
    <row r="26" customFormat="false" ht="15" hidden="false" customHeight="false" outlineLevel="0" collapsed="false">
      <c r="B26" s="9" t="s">
        <v>308</v>
      </c>
      <c r="C26" s="9" t="s">
        <v>309</v>
      </c>
      <c r="D26" s="48" t="n">
        <f aca="false">(100-ROUND(Duration!$C$30,2))</f>
        <v>9.54000000000001</v>
      </c>
      <c r="E26" s="49" t="s">
        <v>310</v>
      </c>
    </row>
    <row r="27" customFormat="false" ht="15" hidden="false" customHeight="false" outlineLevel="0" collapsed="false">
      <c r="B27" s="9" t="s">
        <v>311</v>
      </c>
      <c r="C27" s="9" t="s">
        <v>312</v>
      </c>
      <c r="D27" s="48" t="n">
        <f aca="false">(ROUND(Duration!$C$30,2)-100)</f>
        <v>-9.54000000000001</v>
      </c>
      <c r="E27" s="49" t="s">
        <v>313</v>
      </c>
    </row>
    <row r="28" customFormat="false" ht="15" hidden="false" customHeight="false" outlineLevel="0" collapsed="false">
      <c r="B28" s="9" t="s">
        <v>314</v>
      </c>
      <c r="C28" s="9" t="s">
        <v>315</v>
      </c>
      <c r="D28" s="48" t="n">
        <f aca="false">(((0.5*Duration!$C$27)*(0.02^2))*100)</f>
        <v>0.608807045881418</v>
      </c>
      <c r="E28" s="49" t="s">
        <v>316</v>
      </c>
    </row>
    <row r="29" customFormat="false" ht="15" hidden="false" customHeight="false" outlineLevel="0" collapsed="false">
      <c r="B29" s="9" t="s">
        <v>317</v>
      </c>
      <c r="C29" s="9" t="s">
        <v>318</v>
      </c>
      <c r="D29" s="48" t="n">
        <f aca="false">((2*ROUND(Duration!$C$26,2))-Derived!$D$28)</f>
        <v>9.51119295411858</v>
      </c>
      <c r="E29" s="49" t="s">
        <v>319</v>
      </c>
    </row>
    <row r="30" customFormat="false" ht="15" hidden="false" customHeight="false" outlineLevel="0" collapsed="false">
      <c r="B30" s="9" t="s">
        <v>320</v>
      </c>
      <c r="C30" s="9" t="s">
        <v>321</v>
      </c>
      <c r="D30" s="48" t="n">
        <f aca="false">(Derived!$D$28-(2*ROUND(Duration!$C$26,2)))</f>
        <v>-9.51119295411858</v>
      </c>
      <c r="E30" s="49" t="s">
        <v>322</v>
      </c>
    </row>
    <row r="31" customFormat="false" ht="15" hidden="false" customHeight="false" outlineLevel="0" collapsed="false">
      <c r="B31" s="9" t="s">
        <v>323</v>
      </c>
      <c r="C31" s="9" t="s">
        <v>324</v>
      </c>
      <c r="D31" s="48" t="n">
        <f aca="false">(100-ROUND(Duration!$C$59,2))</f>
        <v>1.86</v>
      </c>
      <c r="E31" s="49" t="s">
        <v>325</v>
      </c>
    </row>
    <row r="32" customFormat="false" ht="15" hidden="false" customHeight="false" outlineLevel="0" collapsed="false">
      <c r="B32" s="9" t="s">
        <v>326</v>
      </c>
      <c r="C32" s="9" t="s">
        <v>327</v>
      </c>
      <c r="D32" s="27" t="n">
        <f aca="false">((Default_Loss!$D$23*Derived!$D$31)/100)</f>
        <v>465</v>
      </c>
      <c r="E32" s="49" t="s">
        <v>328</v>
      </c>
    </row>
    <row r="33" customFormat="false" ht="15" hidden="false" customHeight="false" outlineLevel="0" collapsed="false">
      <c r="B33" s="9" t="s">
        <v>329</v>
      </c>
      <c r="C33" s="9" t="s">
        <v>330</v>
      </c>
      <c r="D33" s="27" t="n">
        <f aca="false">((Default_Loss!$C$34*ROUND(Duration!$C$134,2))/100)</f>
        <v>4400</v>
      </c>
      <c r="E33" s="49" t="s">
        <v>331</v>
      </c>
    </row>
    <row r="34" customFormat="false" ht="15" hidden="false" customHeight="false" outlineLevel="0" collapsed="false">
      <c r="B34" s="9" t="s">
        <v>332</v>
      </c>
      <c r="C34" s="9" t="s">
        <v>333</v>
      </c>
      <c r="D34" s="27" t="n">
        <f aca="false">((Yield_Measures!$C$8*ROUND(Duration!$C$156,2))/100)</f>
        <v>464.125</v>
      </c>
      <c r="E34" s="49" t="s">
        <v>334</v>
      </c>
    </row>
    <row r="35" customFormat="false" ht="15" hidden="false" customHeight="false" outlineLevel="0" collapsed="false">
      <c r="B35" s="9" t="s">
        <v>335</v>
      </c>
      <c r="C35" s="9" t="s">
        <v>336</v>
      </c>
      <c r="D35" s="27" t="n">
        <f aca="false">(Yield_Measures!$C$8-Yield_Measures!$C$13)</f>
        <v>6750</v>
      </c>
      <c r="E35" s="49" t="s">
        <v>337</v>
      </c>
    </row>
    <row r="36" customFormat="false" ht="15" hidden="false" customHeight="false" outlineLevel="0" collapsed="false">
      <c r="B36" s="9" t="s">
        <v>338</v>
      </c>
      <c r="C36" s="9" t="s">
        <v>339</v>
      </c>
      <c r="D36" s="27" t="n">
        <f aca="false">((Default_Loss!$D$27*2)/100)</f>
        <v>500</v>
      </c>
      <c r="E36" s="49" t="s">
        <v>340</v>
      </c>
    </row>
    <row r="37" customFormat="false" ht="15" hidden="false" customHeight="false" outlineLevel="0" collapsed="false">
      <c r="B37" s="9" t="s">
        <v>341</v>
      </c>
      <c r="C37" s="9" t="s">
        <v>342</v>
      </c>
      <c r="D37" s="27" t="n">
        <f aca="false">((Default_Loss!$D$27*(100-ROUND(Duration!$C$30,2)))/100)</f>
        <v>2385</v>
      </c>
      <c r="E37" s="49" t="s">
        <v>343</v>
      </c>
    </row>
    <row r="38" customFormat="false" ht="15" hidden="false" customHeight="false" outlineLevel="0" collapsed="false">
      <c r="B38" s="9" t="s">
        <v>344</v>
      </c>
      <c r="C38" s="9" t="s">
        <v>345</v>
      </c>
      <c r="D38" s="48" t="n">
        <f aca="false">Derived!$D$7</f>
        <v>531.25</v>
      </c>
      <c r="E38" s="49" t="s">
        <v>254</v>
      </c>
    </row>
    <row r="39" customFormat="false" ht="15" hidden="false" customHeight="false" outlineLevel="0" collapsed="false">
      <c r="B39" s="9" t="s">
        <v>346</v>
      </c>
      <c r="C39" s="9" t="s">
        <v>347</v>
      </c>
      <c r="D39" s="48" t="n">
        <f aca="false">(2*Derived!$D$7)</f>
        <v>1062.5</v>
      </c>
      <c r="E39" s="49" t="s">
        <v>251</v>
      </c>
    </row>
    <row r="40" customFormat="false" ht="15" hidden="false" customHeight="false" outlineLevel="0" collapsed="false">
      <c r="B40" s="9" t="s">
        <v>348</v>
      </c>
      <c r="C40" s="9" t="s">
        <v>349</v>
      </c>
      <c r="D40" s="48" t="n">
        <f aca="false">((Yield_Measures!$C$8-Yield_Measures!$C$13)-(2*Derived!$D$7))</f>
        <v>5687.5</v>
      </c>
      <c r="E40" s="49" t="s">
        <v>350</v>
      </c>
    </row>
    <row r="41" customFormat="false" ht="15" hidden="false" customHeight="false" outlineLevel="0" collapsed="false">
      <c r="B41" s="9" t="s">
        <v>351</v>
      </c>
      <c r="C41" s="9" t="s">
        <v>352</v>
      </c>
      <c r="D41" s="27" t="n">
        <f aca="false">((6*Assumptions!$C$29)-Default_Loss!$C$35)</f>
        <v>2000</v>
      </c>
      <c r="E41" s="49" t="s">
        <v>353</v>
      </c>
    </row>
    <row r="42" customFormat="false" ht="15" hidden="false" customHeight="false" outlineLevel="0" collapsed="false">
      <c r="B42" s="9" t="s">
        <v>354</v>
      </c>
      <c r="C42" s="9" t="s">
        <v>355</v>
      </c>
      <c r="D42" s="27" t="n">
        <f aca="false">((Assumptions!$C$29*Default_Loss!$C$45)/100)</f>
        <v>3750</v>
      </c>
      <c r="E42" s="49" t="s">
        <v>356</v>
      </c>
    </row>
    <row r="43" customFormat="false" ht="15" hidden="false" customHeight="false" outlineLevel="0" collapsed="false">
      <c r="B43" s="9" t="s">
        <v>357</v>
      </c>
      <c r="C43" s="9" t="s">
        <v>358</v>
      </c>
      <c r="D43" s="27" t="n">
        <f aca="false">(Assumptions!$C$29*0.25)</f>
        <v>3125</v>
      </c>
      <c r="E43" s="49" t="s">
        <v>359</v>
      </c>
    </row>
    <row r="44" customFormat="false" ht="15" hidden="false" customHeight="false" outlineLevel="0" collapsed="false">
      <c r="B44" s="9" t="s">
        <v>360</v>
      </c>
      <c r="C44" s="9" t="s">
        <v>361</v>
      </c>
      <c r="D44" s="48" t="n">
        <f aca="false">Derived!$D$17</f>
        <v>4.75</v>
      </c>
      <c r="E44" s="49" t="s">
        <v>284</v>
      </c>
    </row>
    <row r="45" customFormat="false" ht="15" hidden="false" customHeight="false" outlineLevel="0" collapsed="false">
      <c r="B45" s="9" t="s">
        <v>362</v>
      </c>
      <c r="C45" s="9" t="s">
        <v>363</v>
      </c>
      <c r="D45" s="48" t="n">
        <f aca="false">Derived!$D$8</f>
        <v>7.6</v>
      </c>
      <c r="E45" s="49" t="s">
        <v>257</v>
      </c>
    </row>
    <row r="46" customFormat="false" ht="15" hidden="false" customHeight="false" outlineLevel="0" collapsed="false">
      <c r="B46" s="9" t="s">
        <v>364</v>
      </c>
      <c r="C46" s="9" t="s">
        <v>365</v>
      </c>
      <c r="D46" s="50" t="n">
        <f aca="false">Assumptions!$C$41</f>
        <v>10</v>
      </c>
      <c r="E46" s="49" t="s">
        <v>366</v>
      </c>
    </row>
    <row r="47" customFormat="false" ht="15" hidden="false" customHeight="false" outlineLevel="0" collapsed="false">
      <c r="B47" s="9" t="s">
        <v>367</v>
      </c>
      <c r="C47" s="9" t="s">
        <v>368</v>
      </c>
      <c r="D47" s="48" t="n">
        <f aca="false">(((Assumptions!$C$6*100)+2)+(Assumptions!$C$42*100))</f>
        <v>9.6</v>
      </c>
      <c r="E47" s="49" t="s">
        <v>369</v>
      </c>
    </row>
    <row r="48" customFormat="false" ht="15" hidden="false" customHeight="false" outlineLevel="0" collapsed="false">
      <c r="B48" s="9" t="s">
        <v>370</v>
      </c>
      <c r="C48" s="9" t="s">
        <v>371</v>
      </c>
      <c r="D48" s="48" t="n">
        <f aca="false">(45/100)</f>
        <v>0.45</v>
      </c>
      <c r="E48" s="49" t="s">
        <v>372</v>
      </c>
    </row>
    <row r="49" customFormat="false" ht="15" hidden="false" customHeight="false" outlineLevel="0" collapsed="false">
      <c r="B49" s="9" t="s">
        <v>373</v>
      </c>
      <c r="C49" s="9" t="s">
        <v>374</v>
      </c>
      <c r="D49" s="48" t="n">
        <f aca="false">((9*45)/100)</f>
        <v>4.05</v>
      </c>
      <c r="E49" s="49" t="s">
        <v>375</v>
      </c>
    </row>
    <row r="50" customFormat="false" ht="15" hidden="false" customHeight="false" outlineLevel="0" collapsed="false">
      <c r="B50" s="9" t="s">
        <v>376</v>
      </c>
      <c r="C50" s="9" t="s">
        <v>377</v>
      </c>
      <c r="D50" s="27" t="n">
        <f aca="false">(100-(CLO_Tranches!$C$11*100))</f>
        <v>64</v>
      </c>
      <c r="E50" s="49" t="s">
        <v>378</v>
      </c>
    </row>
    <row r="51" customFormat="false" ht="15" hidden="false" customHeight="false" outlineLevel="0" collapsed="false">
      <c r="B51" s="9" t="s">
        <v>379</v>
      </c>
      <c r="C51" s="9" t="s">
        <v>380</v>
      </c>
      <c r="D51" s="51" t="n">
        <f aca="false">(ROUND((CLO_Tranches!$F$14*100),1)-ROUND((CLO_Tranches!$F$15*100),1))</f>
        <v>11.4</v>
      </c>
      <c r="E51" s="49" t="s">
        <v>381</v>
      </c>
    </row>
    <row r="52" customFormat="false" ht="15" hidden="false" customHeight="false" outlineLevel="0" collapsed="false">
      <c r="B52" s="9" t="s">
        <v>382</v>
      </c>
      <c r="C52" s="9" t="s">
        <v>383</v>
      </c>
      <c r="D52" s="48" t="n">
        <f aca="false">((Assumptions!$C$6*100)+(CLO_Tranches!$E$15*100))</f>
        <v>10.5</v>
      </c>
      <c r="E52" s="49" t="s">
        <v>384</v>
      </c>
    </row>
    <row r="53" customFormat="false" ht="15" hidden="false" customHeight="false" outlineLevel="0" collapsed="false">
      <c r="B53" s="9" t="s">
        <v>385</v>
      </c>
      <c r="C53" s="9" t="s">
        <v>386</v>
      </c>
      <c r="D53" s="51" t="n">
        <f aca="false">(((CLO_Tranches!$C$14*100)/45)*100)</f>
        <v>28.8888888888889</v>
      </c>
      <c r="E53" s="49" t="s">
        <v>387</v>
      </c>
    </row>
    <row r="54" customFormat="false" ht="15" hidden="false" customHeight="false" outlineLevel="0" collapsed="false">
      <c r="B54" s="9" t="s">
        <v>388</v>
      </c>
      <c r="C54" s="9" t="s">
        <v>389</v>
      </c>
      <c r="D54" s="51" t="n">
        <f aca="false">(((CLO_Tranches!$C$11*100)/45)*100)</f>
        <v>80</v>
      </c>
      <c r="E54" s="49" t="s">
        <v>390</v>
      </c>
    </row>
    <row r="55" customFormat="false" ht="15" hidden="false" customHeight="false" outlineLevel="0" collapsed="false">
      <c r="B55" s="9" t="s">
        <v>391</v>
      </c>
      <c r="C55" s="9" t="s">
        <v>392</v>
      </c>
      <c r="D55" s="51" t="n">
        <f aca="false">(ROUND((CLO_Tranches!$F$15*100),1)-(((CLO_Tranches!$C$15*100)/45)*100))</f>
        <v>5.7</v>
      </c>
      <c r="E55" s="49" t="s">
        <v>393</v>
      </c>
    </row>
    <row r="56" customFormat="false" ht="15" hidden="false" customHeight="false" outlineLevel="0" collapsed="false">
      <c r="B56" s="9" t="s">
        <v>394</v>
      </c>
      <c r="C56" s="9" t="s">
        <v>395</v>
      </c>
      <c r="D56" s="48" t="n">
        <f aca="false">(4*Assumptions!$C$52)</f>
        <v>1.92</v>
      </c>
      <c r="E56" s="49" t="s">
        <v>260</v>
      </c>
    </row>
    <row r="57" customFormat="false" ht="15" hidden="false" customHeight="false" outlineLevel="0" collapsed="false">
      <c r="B57" s="9" t="s">
        <v>396</v>
      </c>
      <c r="C57" s="9" t="s">
        <v>397</v>
      </c>
      <c r="D57" s="48" t="n">
        <f aca="false">(4*Assumptions!$D$52)</f>
        <v>1.6</v>
      </c>
      <c r="E57" s="49" t="s">
        <v>263</v>
      </c>
    </row>
    <row r="58" customFormat="false" ht="15" hidden="false" customHeight="false" outlineLevel="0" collapsed="false">
      <c r="B58" s="9" t="s">
        <v>398</v>
      </c>
      <c r="C58" s="9" t="s">
        <v>399</v>
      </c>
      <c r="D58" s="48" t="n">
        <f aca="false">Derived!$D$11</f>
        <v>1.32</v>
      </c>
      <c r="E58" s="49" t="s">
        <v>266</v>
      </c>
    </row>
    <row r="59" customFormat="false" ht="15" hidden="false" customHeight="false" outlineLevel="0" collapsed="false">
      <c r="B59" s="9" t="s">
        <v>400</v>
      </c>
      <c r="C59" s="9" t="s">
        <v>401</v>
      </c>
      <c r="D59" s="48" t="n">
        <f aca="false">((Derived!$D$11/Assumptions!$E$51)*100)</f>
        <v>11.7333333333333</v>
      </c>
      <c r="E59" s="49" t="s">
        <v>402</v>
      </c>
    </row>
    <row r="60" customFormat="false" ht="15" hidden="false" customHeight="false" outlineLevel="0" collapsed="false">
      <c r="B60" s="9" t="s">
        <v>403</v>
      </c>
      <c r="C60" s="9" t="s">
        <v>404</v>
      </c>
      <c r="D60" s="48" t="n">
        <f aca="false">(5*Assumptions!$E$52)</f>
        <v>1.65</v>
      </c>
      <c r="E60" s="49" t="s">
        <v>405</v>
      </c>
    </row>
    <row r="61" customFormat="false" ht="15" hidden="false" customHeight="false" outlineLevel="0" collapsed="false">
      <c r="B61" s="9" t="s">
        <v>406</v>
      </c>
      <c r="C61" s="9" t="s">
        <v>407</v>
      </c>
      <c r="D61" s="48" t="n">
        <f aca="false">(Assumptions!$C$54*(Assumptions!$C$55*100))</f>
        <v>6.6</v>
      </c>
      <c r="E61" s="49" t="s">
        <v>408</v>
      </c>
    </row>
    <row r="62" customFormat="false" ht="15" hidden="false" customHeight="false" outlineLevel="0" collapsed="false">
      <c r="B62" s="9" t="s">
        <v>409</v>
      </c>
      <c r="C62" s="9" t="s">
        <v>410</v>
      </c>
      <c r="D62" s="48" t="n">
        <f aca="false">(Assumptions!$E$54*(Assumptions!$E$55*100))</f>
        <v>9.18</v>
      </c>
      <c r="E62" s="49" t="s">
        <v>411</v>
      </c>
    </row>
    <row r="63" customFormat="false" ht="15" hidden="false" customHeight="false" outlineLevel="0" collapsed="false">
      <c r="B63" s="9" t="s">
        <v>412</v>
      </c>
      <c r="C63" s="9" t="s">
        <v>413</v>
      </c>
      <c r="D63" s="48" t="n">
        <f aca="false">((1+Assumptions!$E$54)*(Assumptions!$E$56*100))</f>
        <v>4.1125</v>
      </c>
      <c r="E63" s="49" t="s">
        <v>414</v>
      </c>
    </row>
    <row r="64" customFormat="false" ht="15" hidden="false" customHeight="false" outlineLevel="0" collapsed="false">
      <c r="B64" s="9" t="s">
        <v>415</v>
      </c>
      <c r="C64" s="9" t="s">
        <v>416</v>
      </c>
      <c r="D64" s="50" t="n">
        <f aca="false">(1.5*Assumptions!$E$54)</f>
        <v>2.025</v>
      </c>
      <c r="E64" s="49" t="s">
        <v>417</v>
      </c>
    </row>
    <row r="65" customFormat="false" ht="15" hidden="false" customHeight="false" outlineLevel="0" collapsed="false">
      <c r="B65" s="9" t="s">
        <v>418</v>
      </c>
      <c r="C65" s="9" t="s">
        <v>419</v>
      </c>
      <c r="D65" s="50" t="n">
        <f aca="false">((1+Assumptions!$E$54)-Derived!$D$64)</f>
        <v>0.325</v>
      </c>
      <c r="E65" s="49" t="s">
        <v>420</v>
      </c>
    </row>
    <row r="66" customFormat="false" ht="15" hidden="false" customHeight="false" outlineLevel="0" collapsed="false">
      <c r="B66" s="9" t="s">
        <v>421</v>
      </c>
      <c r="C66" s="9" t="s">
        <v>422</v>
      </c>
      <c r="D66" s="51" t="n">
        <f aca="false">((Derived!$D$65/(1+Assumptions!$E$54))*100)</f>
        <v>13.8297872340425</v>
      </c>
      <c r="E66" s="49" t="s">
        <v>423</v>
      </c>
    </row>
    <row r="67" customFormat="false" ht="15" hidden="false" customHeight="false" outlineLevel="0" collapsed="false">
      <c r="B67" s="9" t="s">
        <v>424</v>
      </c>
      <c r="C67" s="9" t="s">
        <v>425</v>
      </c>
      <c r="D67" s="48" t="n">
        <f aca="false">(1.5*Assumptions!$C$54)</f>
        <v>1.65</v>
      </c>
      <c r="E67" s="49" t="s">
        <v>426</v>
      </c>
    </row>
    <row r="68" customFormat="false" ht="15" hidden="false" customHeight="false" outlineLevel="0" collapsed="false">
      <c r="B68" s="9" t="s">
        <v>427</v>
      </c>
      <c r="C68" s="9" t="s">
        <v>428</v>
      </c>
      <c r="D68" s="48" t="n">
        <f aca="false">((1+Assumptions!$C$54)-Derived!$D$67)</f>
        <v>0.45</v>
      </c>
      <c r="E68" s="49" t="s">
        <v>372</v>
      </c>
    </row>
    <row r="69" customFormat="false" ht="15" hidden="false" customHeight="false" outlineLevel="0" collapsed="false">
      <c r="B69" s="9" t="s">
        <v>429</v>
      </c>
      <c r="C69" s="9" t="s">
        <v>430</v>
      </c>
      <c r="D69" s="51" t="n">
        <f aca="false">((Derived!$D$68/(1+Assumptions!$C$54))*100)</f>
        <v>21.4285714285714</v>
      </c>
      <c r="E69" s="49" t="s">
        <v>431</v>
      </c>
    </row>
    <row r="70" customFormat="false" ht="15" hidden="false" customHeight="false" outlineLevel="0" collapsed="false">
      <c r="B70" s="9" t="s">
        <v>432</v>
      </c>
      <c r="C70" s="9" t="s">
        <v>433</v>
      </c>
      <c r="D70" s="48" t="n">
        <f aca="false">Derived!$D$11</f>
        <v>1.32</v>
      </c>
      <c r="E70" s="49" t="s">
        <v>266</v>
      </c>
    </row>
    <row r="71" customFormat="false" ht="15" hidden="false" customHeight="false" outlineLevel="0" collapsed="false">
      <c r="B71" s="9" t="s">
        <v>434</v>
      </c>
      <c r="C71" s="9" t="s">
        <v>435</v>
      </c>
      <c r="D71" s="50" t="n">
        <f aca="false">Assumptions!$C$70</f>
        <v>25</v>
      </c>
      <c r="E71" s="49" t="s">
        <v>436</v>
      </c>
    </row>
    <row r="72" customFormat="false" ht="15" hidden="false" customHeight="false" outlineLevel="0" collapsed="false">
      <c r="B72" s="9" t="s">
        <v>437</v>
      </c>
      <c r="C72" s="9" t="s">
        <v>438</v>
      </c>
      <c r="D72" s="48" t="n">
        <f aca="false">((Assumptions!$C$6*100)+(Assumptions!$C$75*100))</f>
        <v>6.25</v>
      </c>
      <c r="E72" s="49" t="s">
        <v>439</v>
      </c>
    </row>
    <row r="73" customFormat="false" ht="15" hidden="false" customHeight="false" outlineLevel="0" collapsed="false">
      <c r="B73" s="9" t="s">
        <v>440</v>
      </c>
      <c r="C73" s="9" t="s">
        <v>441</v>
      </c>
      <c r="D73" s="48" t="n">
        <f aca="false">Derived!$D$63</f>
        <v>4.1125</v>
      </c>
      <c r="E73" s="49" t="s">
        <v>414</v>
      </c>
    </row>
    <row r="74" customFormat="false" ht="15" hidden="false" customHeight="false" outlineLevel="0" collapsed="false">
      <c r="B74" s="9" t="s">
        <v>442</v>
      </c>
      <c r="C74" s="9" t="s">
        <v>443</v>
      </c>
      <c r="D74" s="48" t="n">
        <f aca="false">Derived!$D$8</f>
        <v>7.6</v>
      </c>
      <c r="E74" s="49" t="s">
        <v>257</v>
      </c>
    </row>
    <row r="75" customFormat="false" ht="15" hidden="false" customHeight="false" outlineLevel="0" collapsed="false">
      <c r="B75" s="9" t="s">
        <v>444</v>
      </c>
      <c r="C75" s="9" t="s">
        <v>445</v>
      </c>
      <c r="D75" s="48" t="n">
        <f aca="false">((ROUND((Default_Loss!$C$41*100),2)*(Default_Loss!$C$36*100))/100)</f>
        <v>0.1575</v>
      </c>
      <c r="E75" s="49" t="s">
        <v>446</v>
      </c>
    </row>
    <row r="76" customFormat="false" ht="15" hidden="false" customHeight="false" outlineLevel="0" collapsed="false">
      <c r="B76" s="9" t="s">
        <v>447</v>
      </c>
      <c r="C76" s="9" t="s">
        <v>448</v>
      </c>
      <c r="D76" s="48" t="n">
        <f aca="false">Derived!$D$7</f>
        <v>531.25</v>
      </c>
      <c r="E76" s="49" t="s">
        <v>254</v>
      </c>
    </row>
    <row r="77" customFormat="false" ht="15" hidden="false" customHeight="false" outlineLevel="0" collapsed="false">
      <c r="B77" s="9" t="s">
        <v>449</v>
      </c>
      <c r="C77" s="9" t="s">
        <v>450</v>
      </c>
      <c r="D77" s="27" t="n">
        <f aca="false">(((Default_Loss!$D$23*(Duration!$C$37*100))/100)/2)</f>
        <v>600</v>
      </c>
      <c r="E77" s="49" t="s">
        <v>451</v>
      </c>
    </row>
    <row r="78" customFormat="false" ht="15" hidden="false" customHeight="false" outlineLevel="0" collapsed="false">
      <c r="B78" s="9" t="s">
        <v>452</v>
      </c>
      <c r="C78" s="9" t="s">
        <v>453</v>
      </c>
      <c r="D78" s="27" t="n">
        <f aca="false">(Default_Loss!$C$34+Default_Loss!$C$35)</f>
        <v>198000</v>
      </c>
      <c r="E78" s="49" t="s">
        <v>454</v>
      </c>
    </row>
    <row r="79" customFormat="false" ht="15" hidden="false" customHeight="false" outlineLevel="0" collapsed="false">
      <c r="B79" s="9" t="s">
        <v>455</v>
      </c>
      <c r="C79" s="9" t="s">
        <v>456</v>
      </c>
      <c r="D79" s="48" t="n">
        <f aca="false">((1+Assumptions!$E$54)/Assumptions!$E$54)</f>
        <v>1.74074074074074</v>
      </c>
      <c r="E79" s="49" t="s">
        <v>457</v>
      </c>
    </row>
    <row r="80" customFormat="false" ht="15" hidden="false" customHeight="false" outlineLevel="0" collapsed="false">
      <c r="B80" s="9" t="s">
        <v>458</v>
      </c>
      <c r="C80" s="9" t="s">
        <v>459</v>
      </c>
      <c r="D80" s="48" t="n">
        <f aca="false">Derived!$D$63</f>
        <v>4.1125</v>
      </c>
      <c r="E80" s="49" t="s">
        <v>414</v>
      </c>
    </row>
    <row r="81" customFormat="false" ht="15" hidden="false" customHeight="false" outlineLevel="0" collapsed="false">
      <c r="B81" s="9" t="s">
        <v>460</v>
      </c>
      <c r="C81" s="9" t="s">
        <v>461</v>
      </c>
      <c r="D81" s="48" t="n">
        <f aca="false">(4*Assumptions!$C$71)</f>
        <v>2.25</v>
      </c>
      <c r="E81" s="49" t="s">
        <v>462</v>
      </c>
    </row>
    <row r="82" customFormat="false" ht="15" hidden="false" customHeight="false" outlineLevel="0" collapsed="false">
      <c r="B82" s="9" t="s">
        <v>463</v>
      </c>
      <c r="C82" s="9" t="s">
        <v>464</v>
      </c>
      <c r="D82" s="48" t="n">
        <f aca="false">(1-((Default_Loss!$C$12*100)/100))</f>
        <v>0.85</v>
      </c>
      <c r="E82" s="49" t="s">
        <v>465</v>
      </c>
    </row>
    <row r="83" customFormat="false" ht="15" hidden="false" customHeight="false" outlineLevel="0" collapsed="false">
      <c r="B83" s="9" t="s">
        <v>466</v>
      </c>
      <c r="C83" s="9" t="s">
        <v>467</v>
      </c>
      <c r="D83" s="48" t="n">
        <f aca="false">(2*ROUND(Duration!$C$26,2))</f>
        <v>10.12</v>
      </c>
      <c r="E83" s="49" t="s">
        <v>468</v>
      </c>
    </row>
    <row r="84" customFormat="false" ht="15" hidden="false" customHeight="false" outlineLevel="0" collapsed="false">
      <c r="B84" s="9" t="s">
        <v>469</v>
      </c>
      <c r="C84" s="9" t="s">
        <v>470</v>
      </c>
      <c r="D84" s="48" t="n">
        <f aca="false">((-2)*ROUND(Duration!$C$26,2))</f>
        <v>-10.12</v>
      </c>
      <c r="E84" s="49" t="s">
        <v>471</v>
      </c>
    </row>
    <row r="85" customFormat="false" ht="15" hidden="false" customHeight="false" outlineLevel="0" collapsed="false">
      <c r="B85" s="9" t="s">
        <v>472</v>
      </c>
      <c r="C85" s="9" t="s">
        <v>473</v>
      </c>
      <c r="D85" s="48" t="n">
        <f aca="false">((((Assumptions!$C$6*100)-1.5)+(Assumptions!$C$42*100))-(Assumptions!$C$43*100))</f>
        <v>5.15</v>
      </c>
      <c r="E85" s="49" t="s">
        <v>474</v>
      </c>
    </row>
    <row r="86" customFormat="false" ht="15" hidden="false" customHeight="false" outlineLevel="0" collapsed="false">
      <c r="B86" s="9" t="s">
        <v>475</v>
      </c>
      <c r="C86" s="9" t="s">
        <v>476</v>
      </c>
      <c r="D86" s="48" t="n">
        <f aca="false">((Duration!$C$5*100)+2)</f>
        <v>7.45</v>
      </c>
      <c r="E86" s="49" t="s">
        <v>477</v>
      </c>
    </row>
    <row r="87" customFormat="false" ht="15" hidden="false" customHeight="false" outlineLevel="0" collapsed="false">
      <c r="B87" s="9" t="s">
        <v>478</v>
      </c>
      <c r="C87" s="9" t="s">
        <v>479</v>
      </c>
      <c r="D87" s="48" t="n">
        <f aca="false">((((Assumptions!$C$6*100)-1.5)+(Assumptions!$C$42*100))-(Assumptions!$C$43*100))</f>
        <v>5.15</v>
      </c>
      <c r="E87" s="49" t="s">
        <v>474</v>
      </c>
    </row>
    <row r="88" customFormat="false" ht="15" hidden="false" customHeight="false" outlineLevel="0" collapsed="false">
      <c r="B88" s="9" t="s">
        <v>480</v>
      </c>
      <c r="C88" s="9" t="s">
        <v>481</v>
      </c>
      <c r="D88" s="48" t="n">
        <f aca="false">(Assumptions!$C$51-Assumptions!$C$50)</f>
        <v>1</v>
      </c>
      <c r="E88" s="49" t="s">
        <v>482</v>
      </c>
    </row>
    <row r="89" customFormat="false" ht="15" hidden="false" customHeight="false" outlineLevel="0" collapsed="false">
      <c r="B89" s="9" t="s">
        <v>483</v>
      </c>
      <c r="C89" s="9" t="s">
        <v>484</v>
      </c>
      <c r="D89" s="48" t="n">
        <f aca="false">(Assumptions!$E$51-Assumptions!$E$50)</f>
        <v>2.25</v>
      </c>
      <c r="E89" s="49" t="s">
        <v>462</v>
      </c>
    </row>
    <row r="90" customFormat="false" ht="15" hidden="false" customHeight="false" outlineLevel="0" collapsed="false">
      <c r="B90" s="9" t="s">
        <v>485</v>
      </c>
      <c r="C90" s="9" t="s">
        <v>486</v>
      </c>
      <c r="D90" s="48" t="n">
        <f aca="false">(Assumptions!$D$50-Assumptions!$D$51)</f>
        <v>1</v>
      </c>
      <c r="E90" s="49" t="s">
        <v>482</v>
      </c>
    </row>
    <row r="91" customFormat="false" ht="15" hidden="false" customHeight="false" outlineLevel="0" collapsed="false">
      <c r="B91" s="9" t="s">
        <v>487</v>
      </c>
      <c r="C91" s="9" t="s">
        <v>488</v>
      </c>
      <c r="D91" s="48" t="n">
        <f aca="false">(1+Assumptions!$C$54)</f>
        <v>2.1</v>
      </c>
      <c r="E91" s="49" t="s">
        <v>489</v>
      </c>
    </row>
    <row r="92" customFormat="false" ht="15" hidden="false" customHeight="false" outlineLevel="0" collapsed="false">
      <c r="B92" s="9" t="s">
        <v>490</v>
      </c>
      <c r="C92" s="9" t="s">
        <v>491</v>
      </c>
      <c r="D92" s="48" t="n">
        <f aca="false">(1+Assumptions!$E$54)</f>
        <v>2.35</v>
      </c>
      <c r="E92" s="49" t="s">
        <v>492</v>
      </c>
    </row>
    <row r="93" customFormat="false" ht="15" hidden="false" customHeight="false" outlineLevel="0" collapsed="false">
      <c r="B93" s="9" t="s">
        <v>493</v>
      </c>
      <c r="C93" s="9" t="s">
        <v>494</v>
      </c>
      <c r="D93" s="48" t="n">
        <f aca="false">(1+Assumptions!$D$54)</f>
        <v>2</v>
      </c>
      <c r="E93" s="49" t="s">
        <v>495</v>
      </c>
    </row>
    <row r="94" customFormat="false" ht="15" hidden="false" customHeight="false" outlineLevel="0" collapsed="false">
      <c r="B94" s="9" t="s">
        <v>496</v>
      </c>
      <c r="C94" s="9" t="s">
        <v>497</v>
      </c>
      <c r="D94" s="48" t="n">
        <f aca="false">(4*Assumptions!$C$71)</f>
        <v>2.25</v>
      </c>
      <c r="E94" s="49" t="s">
        <v>462</v>
      </c>
    </row>
    <row r="95" customFormat="false" ht="15" hidden="false" customHeight="false" outlineLevel="0" collapsed="false">
      <c r="B95" s="9" t="s">
        <v>498</v>
      </c>
      <c r="C95" s="9" t="s">
        <v>499</v>
      </c>
      <c r="D95" s="48" t="n">
        <f aca="false">(12*Assumptions!$C$71)</f>
        <v>6.75</v>
      </c>
      <c r="E95" s="49" t="s">
        <v>500</v>
      </c>
    </row>
  </sheetData>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I3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5859375" defaultRowHeight="15" zeroHeight="false" outlineLevelRow="0" outlineLevelCol="0"/>
  <cols>
    <col collapsed="false" customWidth="true" hidden="false" outlineLevel="0" max="1" min="1" style="0" width="2"/>
    <col collapsed="false" customWidth="true" hidden="false" outlineLevel="0" max="2" min="2" style="0" width="6"/>
    <col collapsed="false" customWidth="true" hidden="false" outlineLevel="0" max="3" min="3" style="0" width="18"/>
    <col collapsed="false" customWidth="true" hidden="false" outlineLevel="0" max="4" min="4" style="0" width="78"/>
    <col collapsed="false" customWidth="true" hidden="false" outlineLevel="0" max="5" min="5" style="0" width="14"/>
    <col collapsed="false" customWidth="true" hidden="false" outlineLevel="0" max="6" min="6" style="0" width="16"/>
    <col collapsed="false" customWidth="true" hidden="false" outlineLevel="0" max="7" min="7" style="0" width="13"/>
    <col collapsed="false" customWidth="true" hidden="false" outlineLevel="0" max="8" min="8" style="0" width="12"/>
    <col collapsed="false" customWidth="true" hidden="false" outlineLevel="0" max="9" min="9" style="0" width="10"/>
  </cols>
  <sheetData>
    <row r="1" customFormat="false" ht="6" hidden="false" customHeight="true" outlineLevel="0" collapsed="false"/>
    <row r="2" customFormat="false" ht="17.35" hidden="false" customHeight="false" outlineLevel="0" collapsed="false">
      <c r="B2" s="5" t="s">
        <v>501</v>
      </c>
    </row>
    <row r="3" customFormat="false" ht="15" hidden="false" customHeight="false" outlineLevel="0" collapsed="false">
      <c r="B3" s="6" t="s">
        <v>502</v>
      </c>
    </row>
    <row r="4" customFormat="false" ht="15" hidden="false" customHeight="false" outlineLevel="0" collapsed="false">
      <c r="C4" s="29" t="s">
        <v>503</v>
      </c>
      <c r="E4" s="52" t="n">
        <f aca="false">ROWS(I10:I318)</f>
        <v>309</v>
      </c>
    </row>
    <row r="5" customFormat="false" ht="15" hidden="false" customHeight="false" outlineLevel="0" collapsed="false">
      <c r="C5" s="29" t="s">
        <v>504</v>
      </c>
      <c r="E5" s="52" t="n">
        <f aca="false">COUNTIF(I10:I318,"PASS")</f>
        <v>309</v>
      </c>
    </row>
    <row r="6" customFormat="false" ht="15" hidden="false" customHeight="false" outlineLevel="0" collapsed="false">
      <c r="C6" s="29" t="s">
        <v>505</v>
      </c>
      <c r="E6" s="52" t="n">
        <f aca="false">COUNTIF(I10:I318,"FAIL")</f>
        <v>0</v>
      </c>
    </row>
    <row r="7" customFormat="false" ht="15" hidden="false" customHeight="false" outlineLevel="0" collapsed="false">
      <c r="C7" s="29" t="s">
        <v>506</v>
      </c>
      <c r="D7" s="29"/>
      <c r="E7" s="53" t="str">
        <f aca="false">IFERROR(IF(AND(E5=E4,E6=0,SUMPRODUCT(--ISERROR(F10:F318))=0),"PASS","FAIL"),"FAIL")</f>
        <v>PASS</v>
      </c>
    </row>
    <row r="9" customFormat="false" ht="21.75" hidden="false" customHeight="true" outlineLevel="0" collapsed="false">
      <c r="B9" s="13" t="s">
        <v>507</v>
      </c>
      <c r="C9" s="14" t="s">
        <v>508</v>
      </c>
      <c r="D9" s="14" t="s">
        <v>509</v>
      </c>
      <c r="E9" s="14" t="s">
        <v>510</v>
      </c>
      <c r="F9" s="14" t="s">
        <v>511</v>
      </c>
      <c r="G9" s="14" t="s">
        <v>512</v>
      </c>
      <c r="H9" s="14" t="s">
        <v>513</v>
      </c>
      <c r="I9" s="14" t="s">
        <v>514</v>
      </c>
    </row>
    <row r="10" customFormat="false" ht="15" hidden="false" customHeight="false" outlineLevel="0" collapsed="false">
      <c r="B10" s="54" t="n">
        <v>1</v>
      </c>
      <c r="C10" s="9" t="s">
        <v>515</v>
      </c>
      <c r="D10" s="9" t="s">
        <v>516</v>
      </c>
      <c r="E10" s="10" t="n">
        <v>0.04</v>
      </c>
      <c r="F10" s="55" t="n">
        <f aca="false">Assumptions!$C$6</f>
        <v>0.04</v>
      </c>
      <c r="G10" s="39" t="n">
        <f aca="false">IFERROR(IF(ISNUMBER(F10),F10-E10,"n/a"),"n/a")</f>
        <v>0</v>
      </c>
      <c r="H10" s="56" t="n">
        <v>5.0001E-005</v>
      </c>
      <c r="I10" s="53" t="str">
        <f aca="false">IFERROR(IF(ISNUMBER(F10),IF(ABS(F10-E10)&lt;=H10,"PASS","FAIL"),"FAIL"),"FAIL")</f>
        <v>PASS</v>
      </c>
    </row>
    <row r="11" customFormat="false" ht="15" hidden="false" customHeight="false" outlineLevel="0" collapsed="false">
      <c r="B11" s="54" t="n">
        <v>2</v>
      </c>
      <c r="C11" s="9" t="s">
        <v>515</v>
      </c>
      <c r="D11" s="9" t="s">
        <v>517</v>
      </c>
      <c r="E11" s="35" t="n">
        <v>12500</v>
      </c>
      <c r="F11" s="27" t="n">
        <f aca="false">Assumptions!$C$29</f>
        <v>12500</v>
      </c>
      <c r="G11" s="39" t="n">
        <f aca="false">IFERROR(IF(ISNUMBER(F11),F11-E11,"n/a"),"n/a")</f>
        <v>0</v>
      </c>
      <c r="H11" s="56" t="n">
        <v>0.500000001</v>
      </c>
      <c r="I11" s="53" t="str">
        <f aca="false">IFERROR(IF(ISNUMBER(F11),IF(ABS(F11-E11)&lt;=H11,"PASS","FAIL"),"FAIL"),"FAIL")</f>
        <v>PASS</v>
      </c>
    </row>
    <row r="12" customFormat="false" ht="15" hidden="false" customHeight="false" outlineLevel="0" collapsed="false">
      <c r="B12" s="54" t="n">
        <v>3</v>
      </c>
      <c r="C12" s="9" t="s">
        <v>515</v>
      </c>
      <c r="D12" s="9" t="s">
        <v>518</v>
      </c>
      <c r="E12" s="12" t="n">
        <v>0.4</v>
      </c>
      <c r="F12" s="17" t="n">
        <f aca="false">Assumptions!$C$8</f>
        <v>0.4</v>
      </c>
      <c r="G12" s="39" t="n">
        <f aca="false">IFERROR(IF(ISNUMBER(F12),F12-E12,"n/a"),"n/a")</f>
        <v>0</v>
      </c>
      <c r="H12" s="56" t="n">
        <v>0.005000001</v>
      </c>
      <c r="I12" s="53" t="str">
        <f aca="false">IFERROR(IF(ISNUMBER(F12),IF(ABS(F12-E12)&lt;=H12,"PASS","FAIL"),"FAIL"),"FAIL")</f>
        <v>PASS</v>
      </c>
    </row>
    <row r="13" customFormat="false" ht="15" hidden="false" customHeight="false" outlineLevel="0" collapsed="false">
      <c r="B13" s="54" t="n">
        <v>4</v>
      </c>
      <c r="C13" s="9" t="s">
        <v>515</v>
      </c>
      <c r="D13" s="9" t="s">
        <v>519</v>
      </c>
      <c r="E13" s="12" t="n">
        <v>0.65</v>
      </c>
      <c r="F13" s="17" t="n">
        <f aca="false">Assumptions!$C$9</f>
        <v>0.65</v>
      </c>
      <c r="G13" s="39" t="n">
        <f aca="false">IFERROR(IF(ISNUMBER(F13),F13-E13,"n/a"),"n/a")</f>
        <v>0</v>
      </c>
      <c r="H13" s="56" t="n">
        <v>0.005000001</v>
      </c>
      <c r="I13" s="53" t="str">
        <f aca="false">IFERROR(IF(ISNUMBER(F13),IF(ABS(F13-E13)&lt;=H13,"PASS","FAIL"),"FAIL"),"FAIL")</f>
        <v>PASS</v>
      </c>
    </row>
    <row r="14" customFormat="false" ht="15" hidden="false" customHeight="false" outlineLevel="0" collapsed="false">
      <c r="B14" s="54" t="n">
        <v>5</v>
      </c>
      <c r="C14" s="9" t="s">
        <v>515</v>
      </c>
      <c r="D14" s="9" t="s">
        <v>520</v>
      </c>
      <c r="E14" s="10" t="n">
        <v>0.036</v>
      </c>
      <c r="F14" s="55" t="n">
        <f aca="false">Assumptions!$C$42</f>
        <v>0.036</v>
      </c>
      <c r="G14" s="39" t="n">
        <f aca="false">IFERROR(IF(ISNUMBER(F14),F14-E14,"n/a"),"n/a")</f>
        <v>0</v>
      </c>
      <c r="H14" s="56" t="n">
        <v>5.0001E-005</v>
      </c>
      <c r="I14" s="53" t="str">
        <f aca="false">IFERROR(IF(ISNUMBER(F14),IF(ABS(F14-E14)&lt;=H14,"PASS","FAIL"),"FAIL"),"FAIL")</f>
        <v>PASS</v>
      </c>
    </row>
    <row r="15" customFormat="false" ht="15" hidden="false" customHeight="false" outlineLevel="0" collapsed="false">
      <c r="B15" s="54" t="n">
        <v>6</v>
      </c>
      <c r="C15" s="9" t="s">
        <v>515</v>
      </c>
      <c r="D15" s="9" t="s">
        <v>521</v>
      </c>
      <c r="E15" s="10" t="n">
        <v>0.0095</v>
      </c>
      <c r="F15" s="55" t="n">
        <f aca="false">Assumptions!$C$43</f>
        <v>0.0095</v>
      </c>
      <c r="G15" s="39" t="n">
        <f aca="false">IFERROR(IF(ISNUMBER(F15),F15-E15,"n/a"),"n/a")</f>
        <v>0</v>
      </c>
      <c r="H15" s="56" t="n">
        <v>5.0001E-005</v>
      </c>
      <c r="I15" s="53" t="str">
        <f aca="false">IFERROR(IF(ISNUMBER(F15),IF(ABS(F15-E15)&lt;=H15,"PASS","FAIL"),"FAIL"),"FAIL")</f>
        <v>PASS</v>
      </c>
    </row>
    <row r="16" customFormat="false" ht="15" hidden="false" customHeight="false" outlineLevel="0" collapsed="false">
      <c r="B16" s="54" t="n">
        <v>7</v>
      </c>
      <c r="C16" s="9" t="s">
        <v>515</v>
      </c>
      <c r="D16" s="9" t="s">
        <v>522</v>
      </c>
      <c r="E16" s="18" t="n">
        <v>10</v>
      </c>
      <c r="F16" s="48" t="n">
        <f aca="false">Assumptions!$C$41</f>
        <v>10</v>
      </c>
      <c r="G16" s="39" t="n">
        <f aca="false">IFERROR(IF(ISNUMBER(F16),F16-E16,"n/a"),"n/a")</f>
        <v>0</v>
      </c>
      <c r="H16" s="56" t="n">
        <v>0.005000001</v>
      </c>
      <c r="I16" s="53" t="str">
        <f aca="false">IFERROR(IF(ISNUMBER(F16),IF(ABS(F16-E16)&lt;=H16,"PASS","FAIL"),"FAIL"),"FAIL")</f>
        <v>PASS</v>
      </c>
    </row>
    <row r="17" customFormat="false" ht="15" hidden="false" customHeight="false" outlineLevel="0" collapsed="false">
      <c r="B17" s="54" t="n">
        <v>8</v>
      </c>
      <c r="C17" s="9" t="s">
        <v>515</v>
      </c>
      <c r="D17" s="9" t="s">
        <v>523</v>
      </c>
      <c r="E17" s="18" t="n">
        <v>25</v>
      </c>
      <c r="F17" s="48" t="n">
        <f aca="false">Assumptions!$C$70</f>
        <v>25</v>
      </c>
      <c r="G17" s="39" t="n">
        <f aca="false">IFERROR(IF(ISNUMBER(F17),F17-E17,"n/a"),"n/a")</f>
        <v>0</v>
      </c>
      <c r="H17" s="56" t="n">
        <v>0.005000001</v>
      </c>
      <c r="I17" s="53" t="str">
        <f aca="false">IFERROR(IF(ISNUMBER(F17),IF(ABS(F17-E17)&lt;=H17,"PASS","FAIL"),"FAIL"),"FAIL")</f>
        <v>PASS</v>
      </c>
    </row>
    <row r="18" customFormat="false" ht="15" hidden="false" customHeight="false" outlineLevel="0" collapsed="false">
      <c r="B18" s="54" t="n">
        <v>9</v>
      </c>
      <c r="C18" s="9" t="s">
        <v>515</v>
      </c>
      <c r="D18" s="9" t="s">
        <v>524</v>
      </c>
      <c r="E18" s="10" t="n">
        <v>0.0225</v>
      </c>
      <c r="F18" s="55" t="n">
        <f aca="false">Assumptions!$C$75</f>
        <v>0.0225</v>
      </c>
      <c r="G18" s="39" t="n">
        <f aca="false">IFERROR(IF(ISNUMBER(F18),F18-E18,"n/a"),"n/a")</f>
        <v>0</v>
      </c>
      <c r="H18" s="56" t="n">
        <v>5.0001E-005</v>
      </c>
      <c r="I18" s="53" t="str">
        <f aca="false">IFERROR(IF(ISNUMBER(F18),IF(ABS(F18-E18)&lt;=H18,"PASS","FAIL"),"FAIL"),"FAIL")</f>
        <v>PASS</v>
      </c>
    </row>
    <row r="19" customFormat="false" ht="15" hidden="false" customHeight="false" outlineLevel="0" collapsed="false">
      <c r="B19" s="54" t="n">
        <v>10</v>
      </c>
      <c r="C19" s="9" t="s">
        <v>515</v>
      </c>
      <c r="D19" s="9" t="s">
        <v>525</v>
      </c>
      <c r="E19" s="57" t="n">
        <v>0.5625</v>
      </c>
      <c r="F19" s="58" t="n">
        <f aca="false">Assumptions!$C$71</f>
        <v>0.5625</v>
      </c>
      <c r="G19" s="39" t="n">
        <f aca="false">IFERROR(IF(ISNUMBER(F19),F19-E19,"n/a"),"n/a")</f>
        <v>0</v>
      </c>
      <c r="H19" s="56" t="n">
        <v>5.0001E-005</v>
      </c>
      <c r="I19" s="53" t="str">
        <f aca="false">IFERROR(IF(ISNUMBER(F19),IF(ABS(F19-E19)&lt;=H19,"PASS","FAIL"),"FAIL"),"FAIL")</f>
        <v>PASS</v>
      </c>
    </row>
    <row r="20" customFormat="false" ht="15" hidden="false" customHeight="false" outlineLevel="0" collapsed="false">
      <c r="B20" s="54" t="n">
        <v>11</v>
      </c>
      <c r="C20" s="9" t="s">
        <v>515</v>
      </c>
      <c r="D20" s="9" t="s">
        <v>526</v>
      </c>
      <c r="E20" s="10" t="n">
        <v>0.085</v>
      </c>
      <c r="F20" s="55" t="n">
        <f aca="false">Assumptions!$D$37</f>
        <v>0.085</v>
      </c>
      <c r="G20" s="39" t="n">
        <f aca="false">IFERROR(IF(ISNUMBER(F20),F20-E20,"n/a"),"n/a")</f>
        <v>0</v>
      </c>
      <c r="H20" s="56" t="n">
        <v>5.0001E-005</v>
      </c>
      <c r="I20" s="53" t="str">
        <f aca="false">IFERROR(IF(ISNUMBER(F20),IF(ABS(F20-E20)&lt;=H20,"PASS","FAIL"),"FAIL"),"FAIL")</f>
        <v>PASS</v>
      </c>
    </row>
    <row r="21" customFormat="false" ht="15" hidden="false" customHeight="false" outlineLevel="0" collapsed="false">
      <c r="B21" s="54" t="n">
        <v>12</v>
      </c>
      <c r="C21" s="9" t="s">
        <v>515</v>
      </c>
      <c r="D21" s="9" t="s">
        <v>527</v>
      </c>
      <c r="E21" s="18" t="n">
        <v>94</v>
      </c>
      <c r="F21" s="48" t="n">
        <f aca="false">Assumptions!$E$37</f>
        <v>94</v>
      </c>
      <c r="G21" s="39" t="n">
        <f aca="false">IFERROR(IF(ISNUMBER(F21),F21-E21,"n/a"),"n/a")</f>
        <v>0</v>
      </c>
      <c r="H21" s="56" t="n">
        <v>0.005000001</v>
      </c>
      <c r="I21" s="53" t="str">
        <f aca="false">IFERROR(IF(ISNUMBER(F21),IF(ABS(F21-E21)&lt;=H21,"PASS","FAIL"),"FAIL"),"FAIL")</f>
        <v>PASS</v>
      </c>
    </row>
    <row r="22" customFormat="false" ht="15" hidden="false" customHeight="false" outlineLevel="0" collapsed="false">
      <c r="B22" s="54" t="n">
        <v>13</v>
      </c>
      <c r="C22" s="9" t="s">
        <v>515</v>
      </c>
      <c r="D22" s="9" t="s">
        <v>528</v>
      </c>
      <c r="E22" s="18" t="n">
        <v>19</v>
      </c>
      <c r="F22" s="48" t="n">
        <f aca="false">Assumptions!$C$50</f>
        <v>19</v>
      </c>
      <c r="G22" s="39" t="n">
        <f aca="false">IFERROR(IF(ISNUMBER(F22),F22-E22,"n/a"),"n/a")</f>
        <v>0</v>
      </c>
      <c r="H22" s="56" t="n">
        <v>0.005000001</v>
      </c>
      <c r="I22" s="53" t="str">
        <f aca="false">IFERROR(IF(ISNUMBER(F22),IF(ABS(F22-E22)&lt;=H22,"PASS","FAIL"),"FAIL"),"FAIL")</f>
        <v>PASS</v>
      </c>
    </row>
    <row r="23" customFormat="false" ht="15" hidden="false" customHeight="false" outlineLevel="0" collapsed="false">
      <c r="B23" s="54" t="n">
        <v>14</v>
      </c>
      <c r="C23" s="9" t="s">
        <v>515</v>
      </c>
      <c r="D23" s="9" t="s">
        <v>529</v>
      </c>
      <c r="E23" s="18" t="n">
        <v>1.1</v>
      </c>
      <c r="F23" s="48" t="n">
        <f aca="false">Assumptions!$C$54</f>
        <v>1.1</v>
      </c>
      <c r="G23" s="39" t="n">
        <f aca="false">IFERROR(IF(ISNUMBER(F23),F23-E23,"n/a"),"n/a")</f>
        <v>0</v>
      </c>
      <c r="H23" s="56" t="n">
        <v>0.005000001</v>
      </c>
      <c r="I23" s="53" t="str">
        <f aca="false">IFERROR(IF(ISNUMBER(F23),IF(ABS(F23-E23)&lt;=H23,"PASS","FAIL"),"FAIL"),"FAIL")</f>
        <v>PASS</v>
      </c>
    </row>
    <row r="24" customFormat="false" ht="15" hidden="false" customHeight="false" outlineLevel="0" collapsed="false">
      <c r="B24" s="54" t="n">
        <v>15</v>
      </c>
      <c r="C24" s="9" t="s">
        <v>515</v>
      </c>
      <c r="D24" s="9" t="s">
        <v>530</v>
      </c>
      <c r="E24" s="10" t="n">
        <v>0.06</v>
      </c>
      <c r="F24" s="55" t="n">
        <f aca="false">Assumptions!$C$55</f>
        <v>0.06</v>
      </c>
      <c r="G24" s="39" t="n">
        <f aca="false">IFERROR(IF(ISNUMBER(F24),F24-E24,"n/a"),"n/a")</f>
        <v>0</v>
      </c>
      <c r="H24" s="56" t="n">
        <v>5.0001E-005</v>
      </c>
      <c r="I24" s="53" t="str">
        <f aca="false">IFERROR(IF(ISNUMBER(F24),IF(ABS(F24-E24)&lt;=H24,"PASS","FAIL"),"FAIL"),"FAIL")</f>
        <v>PASS</v>
      </c>
    </row>
    <row r="25" customFormat="false" ht="15" hidden="false" customHeight="false" outlineLevel="0" collapsed="false">
      <c r="B25" s="54" t="n">
        <v>16</v>
      </c>
      <c r="C25" s="9" t="s">
        <v>515</v>
      </c>
      <c r="D25" s="9" t="s">
        <v>531</v>
      </c>
      <c r="E25" s="10" t="n">
        <v>0.015</v>
      </c>
      <c r="F25" s="55" t="n">
        <f aca="false">Assumptions!$C$56</f>
        <v>0.015</v>
      </c>
      <c r="G25" s="39" t="n">
        <f aca="false">IFERROR(IF(ISNUMBER(F25),F25-E25,"n/a"),"n/a")</f>
        <v>0</v>
      </c>
      <c r="H25" s="56" t="n">
        <v>5.0001E-005</v>
      </c>
      <c r="I25" s="53" t="str">
        <f aca="false">IFERROR(IF(ISNUMBER(F25),IF(ABS(F25-E25)&lt;=H25,"PASS","FAIL"),"FAIL"),"FAIL")</f>
        <v>PASS</v>
      </c>
    </row>
    <row r="26" customFormat="false" ht="15" hidden="false" customHeight="false" outlineLevel="0" collapsed="false">
      <c r="B26" s="54" t="n">
        <v>17</v>
      </c>
      <c r="C26" s="9" t="s">
        <v>515</v>
      </c>
      <c r="D26" s="9" t="s">
        <v>532</v>
      </c>
      <c r="E26" s="10" t="n">
        <v>0.009</v>
      </c>
      <c r="F26" s="55" t="n">
        <f aca="false">Assumptions!$C$57</f>
        <v>0.009</v>
      </c>
      <c r="G26" s="39" t="n">
        <f aca="false">IFERROR(IF(ISNUMBER(F26),F26-E26,"n/a"),"n/a")</f>
        <v>0</v>
      </c>
      <c r="H26" s="56" t="n">
        <v>5.0001E-005</v>
      </c>
      <c r="I26" s="53" t="str">
        <f aca="false">IFERROR(IF(ISNUMBER(F26),IF(ABS(F26-E26)&lt;=H26,"PASS","FAIL"),"FAIL"),"FAIL")</f>
        <v>PASS</v>
      </c>
    </row>
    <row r="27" customFormat="false" ht="15" hidden="false" customHeight="false" outlineLevel="0" collapsed="false">
      <c r="B27" s="54" t="n">
        <v>18</v>
      </c>
      <c r="C27" s="9" t="s">
        <v>515</v>
      </c>
      <c r="D27" s="9" t="s">
        <v>533</v>
      </c>
      <c r="E27" s="21" t="n">
        <v>0.175</v>
      </c>
      <c r="F27" s="59" t="n">
        <f aca="false">Assumptions!$C$58</f>
        <v>0.175</v>
      </c>
      <c r="G27" s="39" t="n">
        <f aca="false">IFERROR(IF(ISNUMBER(F27),F27-E27,"n/a"),"n/a")</f>
        <v>0</v>
      </c>
      <c r="H27" s="56" t="n">
        <v>0.000500001</v>
      </c>
      <c r="I27" s="53" t="str">
        <f aca="false">IFERROR(IF(ISNUMBER(F27),IF(ABS(F27-E27)&lt;=H27,"PASS","FAIL"),"FAIL"),"FAIL")</f>
        <v>PASS</v>
      </c>
    </row>
    <row r="28" customFormat="false" ht="15" hidden="false" customHeight="false" outlineLevel="0" collapsed="false">
      <c r="B28" s="54" t="n">
        <v>19</v>
      </c>
      <c r="C28" s="9" t="s">
        <v>515</v>
      </c>
      <c r="D28" s="9" t="s">
        <v>534</v>
      </c>
      <c r="E28" s="10" t="n">
        <v>0.006</v>
      </c>
      <c r="F28" s="55" t="n">
        <f aca="false">Assumptions!$C$59</f>
        <v>0.006</v>
      </c>
      <c r="G28" s="39" t="n">
        <f aca="false">IFERROR(IF(ISNUMBER(F28),F28-E28,"n/a"),"n/a")</f>
        <v>0</v>
      </c>
      <c r="H28" s="56" t="n">
        <v>5.0001E-005</v>
      </c>
      <c r="I28" s="53" t="str">
        <f aca="false">IFERROR(IF(ISNUMBER(F28),IF(ABS(F28-E28)&lt;=H28,"PASS","FAIL"),"FAIL"),"FAIL")</f>
        <v>PASS</v>
      </c>
    </row>
    <row r="29" customFormat="false" ht="15" hidden="false" customHeight="false" outlineLevel="0" collapsed="false">
      <c r="B29" s="54" t="n">
        <v>20</v>
      </c>
      <c r="C29" s="9" t="s">
        <v>515</v>
      </c>
      <c r="D29" s="9" t="s">
        <v>535</v>
      </c>
      <c r="E29" s="18" t="n">
        <v>0.48</v>
      </c>
      <c r="F29" s="48" t="n">
        <f aca="false">Assumptions!$C$52</f>
        <v>0.48</v>
      </c>
      <c r="G29" s="39" t="n">
        <f aca="false">IFERROR(IF(ISNUMBER(F29),F29-E29,"n/a"),"n/a")</f>
        <v>0</v>
      </c>
      <c r="H29" s="56" t="n">
        <v>0.005000001</v>
      </c>
      <c r="I29" s="53" t="str">
        <f aca="false">IFERROR(IF(ISNUMBER(F29),IF(ABS(F29-E29)&lt;=H29,"PASS","FAIL"),"FAIL"),"FAIL")</f>
        <v>PASS</v>
      </c>
    </row>
    <row r="30" customFormat="false" ht="15" hidden="false" customHeight="false" outlineLevel="0" collapsed="false">
      <c r="B30" s="54" t="n">
        <v>21</v>
      </c>
      <c r="C30" s="9" t="s">
        <v>515</v>
      </c>
      <c r="D30" s="9" t="s">
        <v>536</v>
      </c>
      <c r="E30" s="18" t="n">
        <v>20</v>
      </c>
      <c r="F30" s="48" t="n">
        <f aca="false">Assumptions!$C$51</f>
        <v>20</v>
      </c>
      <c r="G30" s="39" t="n">
        <f aca="false">IFERROR(IF(ISNUMBER(F30),F30-E30,"n/a"),"n/a")</f>
        <v>0</v>
      </c>
      <c r="H30" s="56" t="n">
        <v>0.005000001</v>
      </c>
      <c r="I30" s="53" t="str">
        <f aca="false">IFERROR(IF(ISNUMBER(F30),IF(ABS(F30-E30)&lt;=H30,"PASS","FAIL"),"FAIL"),"FAIL")</f>
        <v>PASS</v>
      </c>
    </row>
    <row r="31" customFormat="false" ht="15" hidden="false" customHeight="false" outlineLevel="0" collapsed="false">
      <c r="B31" s="54" t="n">
        <v>22</v>
      </c>
      <c r="C31" s="9" t="s">
        <v>515</v>
      </c>
      <c r="D31" s="9" t="s">
        <v>537</v>
      </c>
      <c r="E31" s="18" t="n">
        <v>15</v>
      </c>
      <c r="F31" s="48" t="n">
        <f aca="false">Assumptions!$D$50</f>
        <v>15</v>
      </c>
      <c r="G31" s="39" t="n">
        <f aca="false">IFERROR(IF(ISNUMBER(F31),F31-E31,"n/a"),"n/a")</f>
        <v>0</v>
      </c>
      <c r="H31" s="56" t="n">
        <v>0.005000001</v>
      </c>
      <c r="I31" s="53" t="str">
        <f aca="false">IFERROR(IF(ISNUMBER(F31),IF(ABS(F31-E31)&lt;=H31,"PASS","FAIL"),"FAIL"),"FAIL")</f>
        <v>PASS</v>
      </c>
    </row>
    <row r="32" customFormat="false" ht="15" hidden="false" customHeight="false" outlineLevel="0" collapsed="false">
      <c r="B32" s="54" t="n">
        <v>23</v>
      </c>
      <c r="C32" s="9" t="s">
        <v>515</v>
      </c>
      <c r="D32" s="9" t="s">
        <v>538</v>
      </c>
      <c r="E32" s="18" t="n">
        <v>1</v>
      </c>
      <c r="F32" s="48" t="n">
        <f aca="false">Assumptions!$D$54</f>
        <v>1</v>
      </c>
      <c r="G32" s="39" t="n">
        <f aca="false">IFERROR(IF(ISNUMBER(F32),F32-E32,"n/a"),"n/a")</f>
        <v>0</v>
      </c>
      <c r="H32" s="56" t="n">
        <v>0.005000001</v>
      </c>
      <c r="I32" s="53" t="str">
        <f aca="false">IFERROR(IF(ISNUMBER(F32),IF(ABS(F32-E32)&lt;=H32,"PASS","FAIL"),"FAIL"),"FAIL")</f>
        <v>PASS</v>
      </c>
    </row>
    <row r="33" customFormat="false" ht="15" hidden="false" customHeight="false" outlineLevel="0" collapsed="false">
      <c r="B33" s="54" t="n">
        <v>24</v>
      </c>
      <c r="C33" s="9" t="s">
        <v>515</v>
      </c>
      <c r="D33" s="9" t="s">
        <v>539</v>
      </c>
      <c r="E33" s="10" t="n">
        <v>0.058</v>
      </c>
      <c r="F33" s="55" t="n">
        <f aca="false">Assumptions!$D$55</f>
        <v>0.058</v>
      </c>
      <c r="G33" s="39" t="n">
        <f aca="false">IFERROR(IF(ISNUMBER(F33),F33-E33,"n/a"),"n/a")</f>
        <v>0</v>
      </c>
      <c r="H33" s="56" t="n">
        <v>5.0001E-005</v>
      </c>
      <c r="I33" s="53" t="str">
        <f aca="false">IFERROR(IF(ISNUMBER(F33),IF(ABS(F33-E33)&lt;=H33,"PASS","FAIL"),"FAIL"),"FAIL")</f>
        <v>PASS</v>
      </c>
    </row>
    <row r="34" customFormat="false" ht="15" hidden="false" customHeight="false" outlineLevel="0" collapsed="false">
      <c r="B34" s="54" t="n">
        <v>25</v>
      </c>
      <c r="C34" s="9" t="s">
        <v>515</v>
      </c>
      <c r="D34" s="9" t="s">
        <v>540</v>
      </c>
      <c r="E34" s="10" t="n">
        <v>0</v>
      </c>
      <c r="F34" s="55" t="n">
        <f aca="false">Assumptions!$D$56</f>
        <v>0</v>
      </c>
      <c r="G34" s="39" t="n">
        <f aca="false">IFERROR(IF(ISNUMBER(F34),F34-E34,"n/a"),"n/a")</f>
        <v>0</v>
      </c>
      <c r="H34" s="56" t="n">
        <v>5.0001E-005</v>
      </c>
      <c r="I34" s="53" t="str">
        <f aca="false">IFERROR(IF(ISNUMBER(F34),IF(ABS(F34-E34)&lt;=H34,"PASS","FAIL"),"FAIL"),"FAIL")</f>
        <v>PASS</v>
      </c>
    </row>
    <row r="35" customFormat="false" ht="15" hidden="false" customHeight="false" outlineLevel="0" collapsed="false">
      <c r="B35" s="54" t="n">
        <v>26</v>
      </c>
      <c r="C35" s="9" t="s">
        <v>515</v>
      </c>
      <c r="D35" s="9" t="s">
        <v>541</v>
      </c>
      <c r="E35" s="10" t="n">
        <v>0.02</v>
      </c>
      <c r="F35" s="55" t="n">
        <f aca="false">Assumptions!$D$57</f>
        <v>0.02</v>
      </c>
      <c r="G35" s="39" t="n">
        <f aca="false">IFERROR(IF(ISNUMBER(F35),F35-E35,"n/a"),"n/a")</f>
        <v>0</v>
      </c>
      <c r="H35" s="56" t="n">
        <v>5.0001E-005</v>
      </c>
      <c r="I35" s="53" t="str">
        <f aca="false">IFERROR(IF(ISNUMBER(F35),IF(ABS(F35-E35)&lt;=H35,"PASS","FAIL"),"FAIL"),"FAIL")</f>
        <v>PASS</v>
      </c>
    </row>
    <row r="36" customFormat="false" ht="15" hidden="false" customHeight="false" outlineLevel="0" collapsed="false">
      <c r="B36" s="54" t="n">
        <v>27</v>
      </c>
      <c r="C36" s="9" t="s">
        <v>515</v>
      </c>
      <c r="D36" s="9" t="s">
        <v>542</v>
      </c>
      <c r="E36" s="21" t="n">
        <v>0</v>
      </c>
      <c r="F36" s="59" t="n">
        <f aca="false">Assumptions!$D$58</f>
        <v>0</v>
      </c>
      <c r="G36" s="39" t="n">
        <f aca="false">IFERROR(IF(ISNUMBER(F36),F36-E36,"n/a"),"n/a")</f>
        <v>0</v>
      </c>
      <c r="H36" s="56" t="n">
        <v>0.000500001</v>
      </c>
      <c r="I36" s="53" t="str">
        <f aca="false">IFERROR(IF(ISNUMBER(F36),IF(ABS(F36-E36)&lt;=H36,"PASS","FAIL"),"FAIL"),"FAIL")</f>
        <v>PASS</v>
      </c>
    </row>
    <row r="37" customFormat="false" ht="15" hidden="false" customHeight="false" outlineLevel="0" collapsed="false">
      <c r="B37" s="54" t="n">
        <v>28</v>
      </c>
      <c r="C37" s="9" t="s">
        <v>515</v>
      </c>
      <c r="D37" s="9" t="s">
        <v>543</v>
      </c>
      <c r="E37" s="10" t="n">
        <v>0.005</v>
      </c>
      <c r="F37" s="55" t="n">
        <f aca="false">Assumptions!$D$59</f>
        <v>0.005</v>
      </c>
      <c r="G37" s="39" t="n">
        <f aca="false">IFERROR(IF(ISNUMBER(F37),F37-E37,"n/a"),"n/a")</f>
        <v>0</v>
      </c>
      <c r="H37" s="56" t="n">
        <v>5.0001E-005</v>
      </c>
      <c r="I37" s="53" t="str">
        <f aca="false">IFERROR(IF(ISNUMBER(F37),IF(ABS(F37-E37)&lt;=H37,"PASS","FAIL"),"FAIL"),"FAIL")</f>
        <v>PASS</v>
      </c>
    </row>
    <row r="38" customFormat="false" ht="15" hidden="false" customHeight="false" outlineLevel="0" collapsed="false">
      <c r="B38" s="54" t="n">
        <v>29</v>
      </c>
      <c r="C38" s="9" t="s">
        <v>515</v>
      </c>
      <c r="D38" s="9" t="s">
        <v>544</v>
      </c>
      <c r="E38" s="18" t="n">
        <v>0.4</v>
      </c>
      <c r="F38" s="48" t="n">
        <f aca="false">Assumptions!$D$52</f>
        <v>0.4</v>
      </c>
      <c r="G38" s="39" t="n">
        <f aca="false">IFERROR(IF(ISNUMBER(F38),F38-E38,"n/a"),"n/a")</f>
        <v>0</v>
      </c>
      <c r="H38" s="56" t="n">
        <v>0.005000001</v>
      </c>
      <c r="I38" s="53" t="str">
        <f aca="false">IFERROR(IF(ISNUMBER(F38),IF(ABS(F38-E38)&lt;=H38,"PASS","FAIL"),"FAIL"),"FAIL")</f>
        <v>PASS</v>
      </c>
    </row>
    <row r="39" customFormat="false" ht="15" hidden="false" customHeight="false" outlineLevel="0" collapsed="false">
      <c r="B39" s="54" t="n">
        <v>30</v>
      </c>
      <c r="C39" s="9" t="s">
        <v>515</v>
      </c>
      <c r="D39" s="9" t="s">
        <v>545</v>
      </c>
      <c r="E39" s="18" t="n">
        <v>14</v>
      </c>
      <c r="F39" s="48" t="n">
        <f aca="false">Assumptions!$D$51</f>
        <v>14</v>
      </c>
      <c r="G39" s="39" t="n">
        <f aca="false">IFERROR(IF(ISNUMBER(F39),F39-E39,"n/a"),"n/a")</f>
        <v>0</v>
      </c>
      <c r="H39" s="56" t="n">
        <v>0.005000001</v>
      </c>
      <c r="I39" s="53" t="str">
        <f aca="false">IFERROR(IF(ISNUMBER(F39),IF(ABS(F39-E39)&lt;=H39,"PASS","FAIL"),"FAIL"),"FAIL")</f>
        <v>PASS</v>
      </c>
    </row>
    <row r="40" customFormat="false" ht="15" hidden="false" customHeight="false" outlineLevel="0" collapsed="false">
      <c r="B40" s="54" t="n">
        <v>31</v>
      </c>
      <c r="C40" s="9" t="s">
        <v>515</v>
      </c>
      <c r="D40" s="9" t="s">
        <v>546</v>
      </c>
      <c r="E40" s="18" t="n">
        <v>9</v>
      </c>
      <c r="F40" s="48" t="n">
        <f aca="false">Assumptions!$E$50</f>
        <v>9</v>
      </c>
      <c r="G40" s="39" t="n">
        <f aca="false">IFERROR(IF(ISNUMBER(F40),F40-E40,"n/a"),"n/a")</f>
        <v>0</v>
      </c>
      <c r="H40" s="56" t="n">
        <v>0.005000001</v>
      </c>
      <c r="I40" s="53" t="str">
        <f aca="false">IFERROR(IF(ISNUMBER(F40),IF(ABS(F40-E40)&lt;=H40,"PASS","FAIL"),"FAIL"),"FAIL")</f>
        <v>PASS</v>
      </c>
    </row>
    <row r="41" customFormat="false" ht="15" hidden="false" customHeight="false" outlineLevel="0" collapsed="false">
      <c r="B41" s="54" t="n">
        <v>32</v>
      </c>
      <c r="C41" s="9" t="s">
        <v>515</v>
      </c>
      <c r="D41" s="9" t="s">
        <v>547</v>
      </c>
      <c r="E41" s="18" t="n">
        <v>1.35</v>
      </c>
      <c r="F41" s="48" t="n">
        <f aca="false">Assumptions!$E$54</f>
        <v>1.35</v>
      </c>
      <c r="G41" s="39" t="n">
        <f aca="false">IFERROR(IF(ISNUMBER(F41),F41-E41,"n/a"),"n/a")</f>
        <v>0</v>
      </c>
      <c r="H41" s="56" t="n">
        <v>0.005000001</v>
      </c>
      <c r="I41" s="53" t="str">
        <f aca="false">IFERROR(IF(ISNUMBER(F41),IF(ABS(F41-E41)&lt;=H41,"PASS","FAIL"),"FAIL"),"FAIL")</f>
        <v>PASS</v>
      </c>
    </row>
    <row r="42" customFormat="false" ht="15" hidden="false" customHeight="false" outlineLevel="0" collapsed="false">
      <c r="B42" s="54" t="n">
        <v>33</v>
      </c>
      <c r="C42" s="9" t="s">
        <v>515</v>
      </c>
      <c r="D42" s="9" t="s">
        <v>548</v>
      </c>
      <c r="E42" s="10" t="n">
        <v>0.068</v>
      </c>
      <c r="F42" s="55" t="n">
        <f aca="false">Assumptions!$E$55</f>
        <v>0.068</v>
      </c>
      <c r="G42" s="39" t="n">
        <f aca="false">IFERROR(IF(ISNUMBER(F42),F42-E42,"n/a"),"n/a")</f>
        <v>0</v>
      </c>
      <c r="H42" s="56" t="n">
        <v>5.0001E-005</v>
      </c>
      <c r="I42" s="53" t="str">
        <f aca="false">IFERROR(IF(ISNUMBER(F42),IF(ABS(F42-E42)&lt;=H42,"PASS","FAIL"),"FAIL"),"FAIL")</f>
        <v>PASS</v>
      </c>
    </row>
    <row r="43" customFormat="false" ht="15" hidden="false" customHeight="false" outlineLevel="0" collapsed="false">
      <c r="B43" s="54" t="n">
        <v>34</v>
      </c>
      <c r="C43" s="9" t="s">
        <v>515</v>
      </c>
      <c r="D43" s="9" t="s">
        <v>549</v>
      </c>
      <c r="E43" s="10" t="n">
        <v>0.0175</v>
      </c>
      <c r="F43" s="55" t="n">
        <f aca="false">Assumptions!$E$56</f>
        <v>0.0175</v>
      </c>
      <c r="G43" s="39" t="n">
        <f aca="false">IFERROR(IF(ISNUMBER(F43),F43-E43,"n/a"),"n/a")</f>
        <v>0</v>
      </c>
      <c r="H43" s="56" t="n">
        <v>5.0001E-005</v>
      </c>
      <c r="I43" s="53" t="str">
        <f aca="false">IFERROR(IF(ISNUMBER(F43),IF(ABS(F43-E43)&lt;=H43,"PASS","FAIL"),"FAIL"),"FAIL")</f>
        <v>PASS</v>
      </c>
    </row>
    <row r="44" customFormat="false" ht="15" hidden="false" customHeight="false" outlineLevel="0" collapsed="false">
      <c r="B44" s="54" t="n">
        <v>35</v>
      </c>
      <c r="C44" s="9" t="s">
        <v>515</v>
      </c>
      <c r="D44" s="9" t="s">
        <v>550</v>
      </c>
      <c r="E44" s="10" t="n">
        <v>0.011</v>
      </c>
      <c r="F44" s="55" t="n">
        <f aca="false">Assumptions!$E$57</f>
        <v>0.011</v>
      </c>
      <c r="G44" s="39" t="n">
        <f aca="false">IFERROR(IF(ISNUMBER(F44),F44-E44,"n/a"),"n/a")</f>
        <v>0</v>
      </c>
      <c r="H44" s="56" t="n">
        <v>5.0001E-005</v>
      </c>
      <c r="I44" s="53" t="str">
        <f aca="false">IFERROR(IF(ISNUMBER(F44),IF(ABS(F44-E44)&lt;=H44,"PASS","FAIL"),"FAIL"),"FAIL")</f>
        <v>PASS</v>
      </c>
    </row>
    <row r="45" customFormat="false" ht="15" hidden="false" customHeight="false" outlineLevel="0" collapsed="false">
      <c r="B45" s="54" t="n">
        <v>36</v>
      </c>
      <c r="C45" s="9" t="s">
        <v>515</v>
      </c>
      <c r="D45" s="9" t="s">
        <v>551</v>
      </c>
      <c r="E45" s="21" t="n">
        <v>0.2</v>
      </c>
      <c r="F45" s="59" t="n">
        <f aca="false">Assumptions!$E$58</f>
        <v>0.2</v>
      </c>
      <c r="G45" s="39" t="n">
        <f aca="false">IFERROR(IF(ISNUMBER(F45),F45-E45,"n/a"),"n/a")</f>
        <v>0</v>
      </c>
      <c r="H45" s="56" t="n">
        <v>0.000500001</v>
      </c>
      <c r="I45" s="53" t="str">
        <f aca="false">IFERROR(IF(ISNUMBER(F45),IF(ABS(F45-E45)&lt;=H45,"PASS","FAIL"),"FAIL"),"FAIL")</f>
        <v>PASS</v>
      </c>
    </row>
    <row r="46" customFormat="false" ht="15" hidden="false" customHeight="false" outlineLevel="0" collapsed="false">
      <c r="B46" s="54" t="n">
        <v>37</v>
      </c>
      <c r="C46" s="9" t="s">
        <v>515</v>
      </c>
      <c r="D46" s="9" t="s">
        <v>552</v>
      </c>
      <c r="E46" s="10" t="n">
        <v>0.035</v>
      </c>
      <c r="F46" s="55" t="n">
        <f aca="false">Assumptions!$E$59</f>
        <v>0.035</v>
      </c>
      <c r="G46" s="39" t="n">
        <f aca="false">IFERROR(IF(ISNUMBER(F46),F46-E46,"n/a"),"n/a")</f>
        <v>0</v>
      </c>
      <c r="H46" s="56" t="n">
        <v>5.0001E-005</v>
      </c>
      <c r="I46" s="53" t="str">
        <f aca="false">IFERROR(IF(ISNUMBER(F46),IF(ABS(F46-E46)&lt;=H46,"PASS","FAIL"),"FAIL"),"FAIL")</f>
        <v>PASS</v>
      </c>
    </row>
    <row r="47" customFormat="false" ht="15" hidden="false" customHeight="false" outlineLevel="0" collapsed="false">
      <c r="B47" s="54" t="n">
        <v>38</v>
      </c>
      <c r="C47" s="9" t="s">
        <v>515</v>
      </c>
      <c r="D47" s="9" t="s">
        <v>553</v>
      </c>
      <c r="E47" s="18" t="n">
        <v>0.33</v>
      </c>
      <c r="F47" s="48" t="n">
        <f aca="false">Assumptions!$E$52</f>
        <v>0.33</v>
      </c>
      <c r="G47" s="39" t="n">
        <f aca="false">IFERROR(IF(ISNUMBER(F47),F47-E47,"n/a"),"n/a")</f>
        <v>0</v>
      </c>
      <c r="H47" s="56" t="n">
        <v>0.005000001</v>
      </c>
      <c r="I47" s="53" t="str">
        <f aca="false">IFERROR(IF(ISNUMBER(F47),IF(ABS(F47-E47)&lt;=H47,"PASS","FAIL"),"FAIL"),"FAIL")</f>
        <v>PASS</v>
      </c>
    </row>
    <row r="48" customFormat="false" ht="15" hidden="false" customHeight="false" outlineLevel="0" collapsed="false">
      <c r="B48" s="54" t="n">
        <v>39</v>
      </c>
      <c r="C48" s="9" t="s">
        <v>515</v>
      </c>
      <c r="D48" s="9" t="s">
        <v>554</v>
      </c>
      <c r="E48" s="18" t="n">
        <v>11.25</v>
      </c>
      <c r="F48" s="48" t="n">
        <f aca="false">Assumptions!$E$51</f>
        <v>11.25</v>
      </c>
      <c r="G48" s="39" t="n">
        <f aca="false">IFERROR(IF(ISNUMBER(F48),F48-E48,"n/a"),"n/a")</f>
        <v>0</v>
      </c>
      <c r="H48" s="56" t="n">
        <v>0.005000001</v>
      </c>
      <c r="I48" s="53" t="str">
        <f aca="false">IFERROR(IF(ISNUMBER(F48),IF(ABS(F48-E48)&lt;=H48,"PASS","FAIL"),"FAIL"),"FAIL")</f>
        <v>PASS</v>
      </c>
    </row>
    <row r="49" customFormat="false" ht="15" hidden="false" customHeight="false" outlineLevel="0" collapsed="false">
      <c r="B49" s="54" t="n">
        <v>40</v>
      </c>
      <c r="C49" s="9" t="s">
        <v>515</v>
      </c>
      <c r="D49" s="9" t="s">
        <v>516</v>
      </c>
      <c r="E49" s="10" t="n">
        <v>0.04</v>
      </c>
      <c r="F49" s="55" t="n">
        <f aca="false">Assumptions!$C$6</f>
        <v>0.04</v>
      </c>
      <c r="G49" s="39" t="n">
        <f aca="false">IFERROR(IF(ISNUMBER(F49),F49-E49,"n/a"),"n/a")</f>
        <v>0</v>
      </c>
      <c r="H49" s="56" t="n">
        <v>5.0001E-005</v>
      </c>
      <c r="I49" s="53" t="str">
        <f aca="false">IFERROR(IF(ISNUMBER(F49),IF(ABS(F49-E49)&lt;=H49,"PASS","FAIL"),"FAIL"),"FAIL")</f>
        <v>PASS</v>
      </c>
    </row>
    <row r="50" customFormat="false" ht="15" hidden="false" customHeight="false" outlineLevel="0" collapsed="false">
      <c r="B50" s="54" t="n">
        <v>41</v>
      </c>
      <c r="C50" s="9" t="s">
        <v>515</v>
      </c>
      <c r="D50" s="9" t="s">
        <v>555</v>
      </c>
      <c r="E50" s="10" t="n">
        <v>0.04</v>
      </c>
      <c r="F50" s="55" t="n">
        <f aca="false">Assumptions!$C$6</f>
        <v>0.04</v>
      </c>
      <c r="G50" s="39" t="n">
        <f aca="false">IFERROR(IF(ISNUMBER(F50),F50-E50,"n/a"),"n/a")</f>
        <v>0</v>
      </c>
      <c r="H50" s="56" t="n">
        <v>5.0001E-005</v>
      </c>
      <c r="I50" s="53" t="str">
        <f aca="false">IFERROR(IF(ISNUMBER(F50),IF(ABS(F50-E50)&lt;=H50,"PASS","FAIL"),"FAIL"),"FAIL")</f>
        <v>PASS</v>
      </c>
    </row>
    <row r="51" customFormat="false" ht="15" hidden="false" customHeight="false" outlineLevel="0" collapsed="false">
      <c r="B51" s="54" t="n">
        <v>42</v>
      </c>
      <c r="C51" s="9" t="s">
        <v>515</v>
      </c>
      <c r="D51" s="9" t="s">
        <v>517</v>
      </c>
      <c r="E51" s="35" t="n">
        <v>12500</v>
      </c>
      <c r="F51" s="27" t="n">
        <f aca="false">Assumptions!$C$29</f>
        <v>12500</v>
      </c>
      <c r="G51" s="39" t="n">
        <f aca="false">IFERROR(IF(ISNUMBER(F51),F51-E51,"n/a"),"n/a")</f>
        <v>0</v>
      </c>
      <c r="H51" s="56" t="n">
        <v>0.500000001</v>
      </c>
      <c r="I51" s="53" t="str">
        <f aca="false">IFERROR(IF(ISNUMBER(F51),IF(ABS(F51-E51)&lt;=H51,"PASS","FAIL"),"FAIL"),"FAIL")</f>
        <v>PASS</v>
      </c>
    </row>
    <row r="52" customFormat="false" ht="15" hidden="false" customHeight="false" outlineLevel="0" collapsed="false">
      <c r="B52" s="54" t="n">
        <v>43</v>
      </c>
      <c r="C52" s="9" t="s">
        <v>515</v>
      </c>
      <c r="D52" s="9" t="s">
        <v>518</v>
      </c>
      <c r="E52" s="12" t="n">
        <v>0.4</v>
      </c>
      <c r="F52" s="17" t="n">
        <f aca="false">Assumptions!$C$8</f>
        <v>0.4</v>
      </c>
      <c r="G52" s="39" t="n">
        <f aca="false">IFERROR(IF(ISNUMBER(F52),F52-E52,"n/a"),"n/a")</f>
        <v>0</v>
      </c>
      <c r="H52" s="56" t="n">
        <v>0.005000001</v>
      </c>
      <c r="I52" s="53" t="str">
        <f aca="false">IFERROR(IF(ISNUMBER(F52),IF(ABS(F52-E52)&lt;=H52,"PASS","FAIL"),"FAIL"),"FAIL")</f>
        <v>PASS</v>
      </c>
    </row>
    <row r="53" customFormat="false" ht="15" hidden="false" customHeight="false" outlineLevel="0" collapsed="false">
      <c r="B53" s="54" t="n">
        <v>44</v>
      </c>
      <c r="C53" s="9" t="s">
        <v>515</v>
      </c>
      <c r="D53" s="9" t="s">
        <v>519</v>
      </c>
      <c r="E53" s="12" t="n">
        <v>0.65</v>
      </c>
      <c r="F53" s="17" t="n">
        <f aca="false">Assumptions!$C$9</f>
        <v>0.65</v>
      </c>
      <c r="G53" s="39" t="n">
        <f aca="false">IFERROR(IF(ISNUMBER(F53),F53-E53,"n/a"),"n/a")</f>
        <v>0</v>
      </c>
      <c r="H53" s="56" t="n">
        <v>0.005000001</v>
      </c>
      <c r="I53" s="53" t="str">
        <f aca="false">IFERROR(IF(ISNUMBER(F53),IF(ABS(F53-E53)&lt;=H53,"PASS","FAIL"),"FAIL"),"FAIL")</f>
        <v>PASS</v>
      </c>
    </row>
    <row r="54" customFormat="false" ht="15" hidden="false" customHeight="true" outlineLevel="0" collapsed="false">
      <c r="B54" s="54" t="n">
        <v>45</v>
      </c>
      <c r="C54" s="9" t="s">
        <v>556</v>
      </c>
      <c r="D54" s="60" t="s">
        <v>557</v>
      </c>
      <c r="E54" s="49" t="s">
        <v>558</v>
      </c>
      <c r="F54" s="61" t="str">
        <f aca="false">IFERROR(IF(ABS(Yield_Measures!$C$28-Yield_Measures!$C$10)&lt;0.00000001,"holds","does not hold"),"error")</f>
        <v>holds</v>
      </c>
      <c r="G54" s="9"/>
      <c r="H54" s="9"/>
      <c r="I54" s="53" t="str">
        <f aca="false">IFERROR(IF(ABS(Yield_Measures!$C$28-Yield_Measures!$C$10)&lt;0.00000001,"PASS","FAIL"),"FAIL")</f>
        <v>PASS</v>
      </c>
    </row>
    <row r="55" customFormat="false" ht="15" hidden="false" customHeight="false" outlineLevel="0" collapsed="false">
      <c r="B55" s="54" t="n">
        <v>46</v>
      </c>
      <c r="C55" s="9" t="s">
        <v>556</v>
      </c>
      <c r="D55" s="9" t="s">
        <v>559</v>
      </c>
      <c r="E55" s="10" t="n">
        <v>0.085</v>
      </c>
      <c r="F55" s="55" t="n">
        <f aca="false">Yield_Measures!$C$5</f>
        <v>0.085</v>
      </c>
      <c r="G55" s="39" t="n">
        <f aca="false">IFERROR(IF(ISNUMBER(F55),F55-E55,"n/a"),"n/a")</f>
        <v>0</v>
      </c>
      <c r="H55" s="56" t="n">
        <v>5.0001E-005</v>
      </c>
      <c r="I55" s="53" t="str">
        <f aca="false">IFERROR(IF(ISNUMBER(F55),IF(ABS(F55-E55)&lt;=H55,"PASS","FAIL"),"FAIL"),"FAIL")</f>
        <v>PASS</v>
      </c>
    </row>
    <row r="56" customFormat="false" ht="15" hidden="false" customHeight="false" outlineLevel="0" collapsed="false">
      <c r="B56" s="54" t="n">
        <v>47</v>
      </c>
      <c r="C56" s="9" t="s">
        <v>556</v>
      </c>
      <c r="D56" s="9" t="s">
        <v>560</v>
      </c>
      <c r="E56" s="18" t="n">
        <v>94</v>
      </c>
      <c r="F56" s="48" t="n">
        <f aca="false">Yield_Measures!$C$6</f>
        <v>94</v>
      </c>
      <c r="G56" s="39" t="n">
        <f aca="false">IFERROR(IF(ISNUMBER(F56),F56-E56,"n/a"),"n/a")</f>
        <v>0</v>
      </c>
      <c r="H56" s="56" t="n">
        <v>0.005000001</v>
      </c>
      <c r="I56" s="53" t="str">
        <f aca="false">IFERROR(IF(ISNUMBER(F56),IF(ABS(F56-E56)&lt;=H56,"PASS","FAIL"),"FAIL"),"FAIL")</f>
        <v>PASS</v>
      </c>
    </row>
    <row r="57" customFormat="false" ht="15" hidden="false" customHeight="false" outlineLevel="0" collapsed="false">
      <c r="B57" s="54" t="n">
        <v>48</v>
      </c>
      <c r="C57" s="9" t="s">
        <v>556</v>
      </c>
      <c r="D57" s="9" t="s">
        <v>561</v>
      </c>
      <c r="E57" s="10" t="n">
        <v>0.0904</v>
      </c>
      <c r="F57" s="55" t="n">
        <f aca="false">Yield_Measures!$C$9</f>
        <v>0.0904255319148936</v>
      </c>
      <c r="G57" s="39" t="n">
        <f aca="false">IFERROR(IF(ISNUMBER(F57),F57-E57,"n/a"),"n/a")</f>
        <v>2.55319148936284E-005</v>
      </c>
      <c r="H57" s="56" t="n">
        <v>5.0001E-005</v>
      </c>
      <c r="I57" s="53" t="str">
        <f aca="false">IFERROR(IF(ISNUMBER(F57),IF(ABS(F57-E57)&lt;=H57,"PASS","FAIL"),"FAIL"),"FAIL")</f>
        <v>PASS</v>
      </c>
    </row>
    <row r="58" customFormat="false" ht="15" hidden="false" customHeight="false" outlineLevel="0" collapsed="false">
      <c r="B58" s="54" t="n">
        <v>49</v>
      </c>
      <c r="C58" s="9" t="s">
        <v>556</v>
      </c>
      <c r="D58" s="9" t="s">
        <v>562</v>
      </c>
      <c r="E58" s="10" t="n">
        <v>0.1006</v>
      </c>
      <c r="F58" s="55" t="n">
        <f aca="false">Yield_Measures!$C$10</f>
        <v>0.100561753609911</v>
      </c>
      <c r="G58" s="39" t="n">
        <f aca="false">IFERROR(IF(ISNUMBER(F58),F58-E58,"n/a"),"n/a")</f>
        <v>-3.8246390089175E-005</v>
      </c>
      <c r="H58" s="56" t="n">
        <v>5.0001E-005</v>
      </c>
      <c r="I58" s="53" t="str">
        <f aca="false">IFERROR(IF(ISNUMBER(F58),IF(ABS(F58-E58)&lt;=H58,"PASS","FAIL"),"FAIL"),"FAIL")</f>
        <v>PASS</v>
      </c>
    </row>
    <row r="59" customFormat="false" ht="15" hidden="false" customHeight="false" outlineLevel="0" collapsed="false">
      <c r="B59" s="54" t="n">
        <v>50</v>
      </c>
      <c r="C59" s="9" t="s">
        <v>556</v>
      </c>
      <c r="D59" s="9" t="s">
        <v>563</v>
      </c>
      <c r="E59" s="10" t="n">
        <v>0.0606</v>
      </c>
      <c r="F59" s="55" t="n">
        <f aca="false">Yield_Measures!$C$11</f>
        <v>0.0605617536099108</v>
      </c>
      <c r="G59" s="39" t="n">
        <f aca="false">IFERROR(IF(ISNUMBER(F59),F59-E59,"n/a"),"n/a")</f>
        <v>-3.8246390089168E-005</v>
      </c>
      <c r="H59" s="56" t="n">
        <v>5.0001E-005</v>
      </c>
      <c r="I59" s="53" t="str">
        <f aca="false">IFERROR(IF(ISNUMBER(F59),IF(ABS(F59-E59)&lt;=H59,"PASS","FAIL"),"FAIL"),"FAIL")</f>
        <v>PASS</v>
      </c>
    </row>
    <row r="60" customFormat="false" ht="15" hidden="false" customHeight="false" outlineLevel="0" collapsed="false">
      <c r="B60" s="54" t="n">
        <v>51</v>
      </c>
      <c r="C60" s="9" t="s">
        <v>556</v>
      </c>
      <c r="D60" s="9" t="s">
        <v>564</v>
      </c>
      <c r="E60" s="10" t="n">
        <v>0.0101</v>
      </c>
      <c r="F60" s="55" t="n">
        <f aca="false">Yield_Measures!$C$12</f>
        <v>0.0101362216950172</v>
      </c>
      <c r="G60" s="39" t="n">
        <f aca="false">IFERROR(IF(ISNUMBER(F60),F60-E60,"n/a"),"n/a")</f>
        <v>3.62216950171978E-005</v>
      </c>
      <c r="H60" s="56" t="n">
        <v>5.0001E-005</v>
      </c>
      <c r="I60" s="53" t="str">
        <f aca="false">IFERROR(IF(ISNUMBER(F60),IF(ABS(F60-E60)&lt;=H60,"PASS","FAIL"),"FAIL"),"FAIL")</f>
        <v>PASS</v>
      </c>
    </row>
    <row r="61" customFormat="false" ht="15" hidden="false" customHeight="false" outlineLevel="0" collapsed="false">
      <c r="B61" s="54" t="n">
        <v>52</v>
      </c>
      <c r="C61" s="9" t="s">
        <v>556</v>
      </c>
      <c r="D61" s="9" t="s">
        <v>565</v>
      </c>
      <c r="E61" s="18" t="n">
        <v>5000</v>
      </c>
      <c r="F61" s="48" t="n">
        <f aca="false">Yield_Measures!$C$13</f>
        <v>5000</v>
      </c>
      <c r="G61" s="39" t="n">
        <f aca="false">IFERROR(IF(ISNUMBER(F61),F61-E61,"n/a"),"n/a")</f>
        <v>0</v>
      </c>
      <c r="H61" s="56" t="n">
        <v>0.005000001</v>
      </c>
      <c r="I61" s="53" t="str">
        <f aca="false">IFERROR(IF(ISNUMBER(F61),IF(ABS(F61-E61)&lt;=H61,"PASS","FAIL"),"FAIL"),"FAIL")</f>
        <v>PASS</v>
      </c>
    </row>
    <row r="62" customFormat="false" ht="15" hidden="false" customHeight="false" outlineLevel="0" collapsed="false">
      <c r="B62" s="54" t="n">
        <v>53</v>
      </c>
      <c r="C62" s="9" t="s">
        <v>556</v>
      </c>
      <c r="D62" s="9" t="s">
        <v>566</v>
      </c>
      <c r="E62" s="10" t="n">
        <v>0.0552</v>
      </c>
      <c r="F62" s="55" t="n">
        <f aca="false">Yield_Measures!$C$32</f>
        <v>0.0552425624999999</v>
      </c>
      <c r="G62" s="39" t="n">
        <f aca="false">IFERROR(IF(ISNUMBER(F62),F62-E62,"n/a"),"n/a")</f>
        <v>4.25624999999263E-005</v>
      </c>
      <c r="H62" s="56" t="n">
        <v>5.0001E-005</v>
      </c>
      <c r="I62" s="53" t="str">
        <f aca="false">IFERROR(IF(ISNUMBER(F62),IF(ABS(F62-E62)&lt;=H62,"PASS","FAIL"),"FAIL"),"FAIL")</f>
        <v>PASS</v>
      </c>
    </row>
    <row r="63" customFormat="false" ht="15" hidden="false" customHeight="false" outlineLevel="0" collapsed="false">
      <c r="B63" s="54" t="n">
        <v>54</v>
      </c>
      <c r="C63" s="9" t="s">
        <v>556</v>
      </c>
      <c r="D63" s="9" t="s">
        <v>567</v>
      </c>
      <c r="E63" s="35" t="n">
        <v>11750</v>
      </c>
      <c r="F63" s="27" t="n">
        <f aca="false">Yield_Measures!$C$8</f>
        <v>11750</v>
      </c>
      <c r="G63" s="39" t="n">
        <f aca="false">IFERROR(IF(ISNUMBER(F63),F63-E63,"n/a"),"n/a")</f>
        <v>0</v>
      </c>
      <c r="H63" s="56" t="n">
        <v>0.500000001</v>
      </c>
      <c r="I63" s="53" t="str">
        <f aca="false">IFERROR(IF(ISNUMBER(F63),IF(ABS(F63-E63)&lt;=H63,"PASS","FAIL"),"FAIL"),"FAIL")</f>
        <v>PASS</v>
      </c>
    </row>
    <row r="64" customFormat="false" ht="15" hidden="false" customHeight="false" outlineLevel="0" collapsed="false">
      <c r="B64" s="54" t="n">
        <v>55</v>
      </c>
      <c r="C64" s="9" t="s">
        <v>556</v>
      </c>
      <c r="D64" s="9" t="s">
        <v>568</v>
      </c>
      <c r="E64" s="18" t="n">
        <v>11750</v>
      </c>
      <c r="F64" s="48" t="n">
        <f aca="false">Yield_Measures!$C$8</f>
        <v>11750</v>
      </c>
      <c r="G64" s="39" t="n">
        <f aca="false">IFERROR(IF(ISNUMBER(F64),F64-E64,"n/a"),"n/a")</f>
        <v>0</v>
      </c>
      <c r="H64" s="56" t="n">
        <v>0.005000001</v>
      </c>
      <c r="I64" s="53" t="str">
        <f aca="false">IFERROR(IF(ISNUMBER(F64),IF(ABS(F64-E64)&lt;=H64,"PASS","FAIL"),"FAIL"),"FAIL")</f>
        <v>PASS</v>
      </c>
    </row>
    <row r="65" customFormat="false" ht="15" hidden="false" customHeight="false" outlineLevel="0" collapsed="false">
      <c r="B65" s="54" t="n">
        <v>56</v>
      </c>
      <c r="C65" s="9" t="s">
        <v>569</v>
      </c>
      <c r="D65" s="9" t="s">
        <v>570</v>
      </c>
      <c r="E65" s="10" t="n">
        <v>0.0005</v>
      </c>
      <c r="F65" s="55" t="n">
        <f aca="false">Default_Loss!$C$8</f>
        <v>0.0005</v>
      </c>
      <c r="G65" s="39" t="n">
        <f aca="false">IFERROR(IF(ISNUMBER(F65),F65-E65,"n/a"),"n/a")</f>
        <v>0</v>
      </c>
      <c r="H65" s="56" t="n">
        <v>5.0001E-005</v>
      </c>
      <c r="I65" s="53" t="str">
        <f aca="false">IFERROR(IF(ISNUMBER(F65),IF(ABS(F65-E65)&lt;=H65,"PASS","FAIL"),"FAIL"),"FAIL")</f>
        <v>PASS</v>
      </c>
    </row>
    <row r="66" customFormat="false" ht="15" hidden="false" customHeight="false" outlineLevel="0" collapsed="false">
      <c r="B66" s="54" t="n">
        <v>57</v>
      </c>
      <c r="C66" s="9" t="s">
        <v>569</v>
      </c>
      <c r="D66" s="9" t="s">
        <v>571</v>
      </c>
      <c r="E66" s="10" t="n">
        <v>0.0003</v>
      </c>
      <c r="F66" s="55" t="n">
        <f aca="false">Default_Loss!$E$8</f>
        <v>0.0003</v>
      </c>
      <c r="G66" s="39" t="n">
        <f aca="false">IFERROR(IF(ISNUMBER(F66),F66-E66,"n/a"),"n/a")</f>
        <v>0</v>
      </c>
      <c r="H66" s="56" t="n">
        <v>5.0001E-005</v>
      </c>
      <c r="I66" s="53" t="str">
        <f aca="false">IFERROR(IF(ISNUMBER(F66),IF(ABS(F66-E66)&lt;=H66,"PASS","FAIL"),"FAIL"),"FAIL")</f>
        <v>PASS</v>
      </c>
    </row>
    <row r="67" customFormat="false" ht="15" hidden="false" customHeight="false" outlineLevel="0" collapsed="false">
      <c r="B67" s="54" t="n">
        <v>58</v>
      </c>
      <c r="C67" s="9" t="s">
        <v>569</v>
      </c>
      <c r="D67" s="9" t="s">
        <v>572</v>
      </c>
      <c r="E67" s="21" t="n">
        <v>0.002</v>
      </c>
      <c r="F67" s="59" t="n">
        <f aca="false">Default_Loss!$F$8</f>
        <v>0.00249750124968728</v>
      </c>
      <c r="G67" s="39" t="n">
        <f aca="false">IFERROR(IF(ISNUMBER(F67),F67-E67,"n/a"),"n/a")</f>
        <v>0.000497501249687284</v>
      </c>
      <c r="H67" s="56" t="n">
        <v>0.000500001</v>
      </c>
      <c r="I67" s="53" t="str">
        <f aca="false">IFERROR(IF(ISNUMBER(F67),IF(ABS(F67-E67)&lt;=H67,"PASS","FAIL"),"FAIL"),"FAIL")</f>
        <v>PASS</v>
      </c>
    </row>
    <row r="68" customFormat="false" ht="15" hidden="false" customHeight="false" outlineLevel="0" collapsed="false">
      <c r="B68" s="54" t="n">
        <v>59</v>
      </c>
      <c r="C68" s="9" t="s">
        <v>569</v>
      </c>
      <c r="D68" s="9" t="s">
        <v>573</v>
      </c>
      <c r="E68" s="10" t="n">
        <v>0.002</v>
      </c>
      <c r="F68" s="55" t="n">
        <f aca="false">Default_Loss!$C$9</f>
        <v>0.002</v>
      </c>
      <c r="G68" s="39" t="n">
        <f aca="false">IFERROR(IF(ISNUMBER(F68),F68-E68,"n/a"),"n/a")</f>
        <v>0</v>
      </c>
      <c r="H68" s="56" t="n">
        <v>5.0001E-005</v>
      </c>
      <c r="I68" s="53" t="str">
        <f aca="false">IFERROR(IF(ISNUMBER(F68),IF(ABS(F68-E68)&lt;=H68,"PASS","FAIL"),"FAIL"),"FAIL")</f>
        <v>PASS</v>
      </c>
    </row>
    <row r="69" customFormat="false" ht="15" hidden="false" customHeight="false" outlineLevel="0" collapsed="false">
      <c r="B69" s="54" t="n">
        <v>60</v>
      </c>
      <c r="C69" s="9" t="s">
        <v>569</v>
      </c>
      <c r="D69" s="9" t="s">
        <v>574</v>
      </c>
      <c r="E69" s="10" t="n">
        <v>0.0012</v>
      </c>
      <c r="F69" s="55" t="n">
        <f aca="false">Default_Loss!$E$9</f>
        <v>0.0012</v>
      </c>
      <c r="G69" s="39" t="n">
        <f aca="false">IFERROR(IF(ISNUMBER(F69),F69-E69,"n/a"),"n/a")</f>
        <v>0</v>
      </c>
      <c r="H69" s="56" t="n">
        <v>5.0001E-005</v>
      </c>
      <c r="I69" s="53" t="str">
        <f aca="false">IFERROR(IF(ISNUMBER(F69),IF(ABS(F69-E69)&lt;=H69,"PASS","FAIL"),"FAIL"),"FAIL")</f>
        <v>PASS</v>
      </c>
    </row>
    <row r="70" customFormat="false" ht="15" hidden="false" customHeight="false" outlineLevel="0" collapsed="false">
      <c r="B70" s="54" t="n">
        <v>61</v>
      </c>
      <c r="C70" s="9" t="s">
        <v>569</v>
      </c>
      <c r="D70" s="9" t="s">
        <v>575</v>
      </c>
      <c r="E70" s="21" t="n">
        <v>0.01</v>
      </c>
      <c r="F70" s="59" t="n">
        <f aca="false">Default_Loss!$F$9</f>
        <v>0.00996007992003201</v>
      </c>
      <c r="G70" s="39" t="n">
        <f aca="false">IFERROR(IF(ISNUMBER(F70),F70-E70,"n/a"),"n/a")</f>
        <v>-3.99200799679946E-005</v>
      </c>
      <c r="H70" s="56" t="n">
        <v>0.000500001</v>
      </c>
      <c r="I70" s="53" t="str">
        <f aca="false">IFERROR(IF(ISNUMBER(F70),IF(ABS(F70-E70)&lt;=H70,"PASS","FAIL"),"FAIL"),"FAIL")</f>
        <v>PASS</v>
      </c>
    </row>
    <row r="71" customFormat="false" ht="15" hidden="false" customHeight="false" outlineLevel="0" collapsed="false">
      <c r="B71" s="54" t="n">
        <v>62</v>
      </c>
      <c r="C71" s="9" t="s">
        <v>569</v>
      </c>
      <c r="D71" s="9" t="s">
        <v>576</v>
      </c>
      <c r="E71" s="10" t="n">
        <v>0.01</v>
      </c>
      <c r="F71" s="55" t="n">
        <f aca="false">Default_Loss!$C$10</f>
        <v>0.01</v>
      </c>
      <c r="G71" s="39" t="n">
        <f aca="false">IFERROR(IF(ISNUMBER(F71),F71-E71,"n/a"),"n/a")</f>
        <v>0</v>
      </c>
      <c r="H71" s="56" t="n">
        <v>5.0001E-005</v>
      </c>
      <c r="I71" s="53" t="str">
        <f aca="false">IFERROR(IF(ISNUMBER(F71),IF(ABS(F71-E71)&lt;=H71,"PASS","FAIL"),"FAIL"),"FAIL")</f>
        <v>PASS</v>
      </c>
    </row>
    <row r="72" customFormat="false" ht="15" hidden="false" customHeight="false" outlineLevel="0" collapsed="false">
      <c r="B72" s="54" t="n">
        <v>63</v>
      </c>
      <c r="C72" s="9" t="s">
        <v>569</v>
      </c>
      <c r="D72" s="9" t="s">
        <v>577</v>
      </c>
      <c r="E72" s="10" t="n">
        <v>0.006</v>
      </c>
      <c r="F72" s="55" t="n">
        <f aca="false">Default_Loss!$E$10</f>
        <v>0.006</v>
      </c>
      <c r="G72" s="39" t="n">
        <f aca="false">IFERROR(IF(ISNUMBER(F72),F72-E72,"n/a"),"n/a")</f>
        <v>0</v>
      </c>
      <c r="H72" s="56" t="n">
        <v>5.0001E-005</v>
      </c>
      <c r="I72" s="53" t="str">
        <f aca="false">IFERROR(IF(ISNUMBER(F72),IF(ABS(F72-E72)&lt;=H72,"PASS","FAIL"),"FAIL"),"FAIL")</f>
        <v>PASS</v>
      </c>
    </row>
    <row r="73" customFormat="false" ht="15" hidden="false" customHeight="false" outlineLevel="0" collapsed="false">
      <c r="B73" s="54" t="n">
        <v>64</v>
      </c>
      <c r="C73" s="9" t="s">
        <v>569</v>
      </c>
      <c r="D73" s="9" t="s">
        <v>578</v>
      </c>
      <c r="E73" s="21" t="n">
        <v>0.049</v>
      </c>
      <c r="F73" s="59" t="n">
        <f aca="false">Default_Loss!$F$10</f>
        <v>0.0490099501000001</v>
      </c>
      <c r="G73" s="39" t="n">
        <f aca="false">IFERROR(IF(ISNUMBER(F73),F73-E73,"n/a"),"n/a")</f>
        <v>9.95010000008623E-006</v>
      </c>
      <c r="H73" s="56" t="n">
        <v>0.000500001</v>
      </c>
      <c r="I73" s="53" t="str">
        <f aca="false">IFERROR(IF(ISNUMBER(F73),IF(ABS(F73-E73)&lt;=H73,"PASS","FAIL"),"FAIL"),"FAIL")</f>
        <v>PASS</v>
      </c>
    </row>
    <row r="74" customFormat="false" ht="15" hidden="false" customHeight="false" outlineLevel="0" collapsed="false">
      <c r="B74" s="54" t="n">
        <v>65</v>
      </c>
      <c r="C74" s="9" t="s">
        <v>569</v>
      </c>
      <c r="D74" s="9" t="s">
        <v>579</v>
      </c>
      <c r="E74" s="10" t="n">
        <v>0.03</v>
      </c>
      <c r="F74" s="55" t="n">
        <f aca="false">Default_Loss!$C$11</f>
        <v>0.03</v>
      </c>
      <c r="G74" s="39" t="n">
        <f aca="false">IFERROR(IF(ISNUMBER(F74),F74-E74,"n/a"),"n/a")</f>
        <v>0</v>
      </c>
      <c r="H74" s="56" t="n">
        <v>5.0001E-005</v>
      </c>
      <c r="I74" s="53" t="str">
        <f aca="false">IFERROR(IF(ISNUMBER(F74),IF(ABS(F74-E74)&lt;=H74,"PASS","FAIL"),"FAIL"),"FAIL")</f>
        <v>PASS</v>
      </c>
    </row>
    <row r="75" customFormat="false" ht="15" hidden="false" customHeight="false" outlineLevel="0" collapsed="false">
      <c r="B75" s="54" t="n">
        <v>66</v>
      </c>
      <c r="C75" s="9" t="s">
        <v>569</v>
      </c>
      <c r="D75" s="9" t="s">
        <v>580</v>
      </c>
      <c r="E75" s="10" t="n">
        <v>0.018</v>
      </c>
      <c r="F75" s="55" t="n">
        <f aca="false">Default_Loss!$E$11</f>
        <v>0.018</v>
      </c>
      <c r="G75" s="39" t="n">
        <f aca="false">IFERROR(IF(ISNUMBER(F75),F75-E75,"n/a"),"n/a")</f>
        <v>0</v>
      </c>
      <c r="H75" s="56" t="n">
        <v>5.0001E-005</v>
      </c>
      <c r="I75" s="53" t="str">
        <f aca="false">IFERROR(IF(ISNUMBER(F75),IF(ABS(F75-E75)&lt;=H75,"PASS","FAIL"),"FAIL"),"FAIL")</f>
        <v>PASS</v>
      </c>
    </row>
    <row r="76" customFormat="false" ht="15" hidden="false" customHeight="false" outlineLevel="0" collapsed="false">
      <c r="B76" s="54" t="n">
        <v>67</v>
      </c>
      <c r="C76" s="9" t="s">
        <v>569</v>
      </c>
      <c r="D76" s="9" t="s">
        <v>581</v>
      </c>
      <c r="E76" s="21" t="n">
        <v>0.141</v>
      </c>
      <c r="F76" s="59" t="n">
        <f aca="false">Default_Loss!$F$11</f>
        <v>0.1412659743</v>
      </c>
      <c r="G76" s="39" t="n">
        <f aca="false">IFERROR(IF(ISNUMBER(F76),F76-E76,"n/a"),"n/a")</f>
        <v>0.00026597430000011</v>
      </c>
      <c r="H76" s="56" t="n">
        <v>0.000500001</v>
      </c>
      <c r="I76" s="53" t="str">
        <f aca="false">IFERROR(IF(ISNUMBER(F76),IF(ABS(F76-E76)&lt;=H76,"PASS","FAIL"),"FAIL"),"FAIL")</f>
        <v>PASS</v>
      </c>
    </row>
    <row r="77" customFormat="false" ht="15" hidden="false" customHeight="false" outlineLevel="0" collapsed="false">
      <c r="B77" s="54" t="n">
        <v>68</v>
      </c>
      <c r="C77" s="9" t="s">
        <v>569</v>
      </c>
      <c r="D77" s="9" t="s">
        <v>582</v>
      </c>
      <c r="E77" s="10" t="n">
        <v>0.15</v>
      </c>
      <c r="F77" s="55" t="n">
        <f aca="false">Default_Loss!$C$12</f>
        <v>0.15</v>
      </c>
      <c r="G77" s="39" t="n">
        <f aca="false">IFERROR(IF(ISNUMBER(F77),F77-E77,"n/a"),"n/a")</f>
        <v>0</v>
      </c>
      <c r="H77" s="56" t="n">
        <v>5.0001E-005</v>
      </c>
      <c r="I77" s="53" t="str">
        <f aca="false">IFERROR(IF(ISNUMBER(F77),IF(ABS(F77-E77)&lt;=H77,"PASS","FAIL"),"FAIL"),"FAIL")</f>
        <v>PASS</v>
      </c>
    </row>
    <row r="78" customFormat="false" ht="15" hidden="false" customHeight="false" outlineLevel="0" collapsed="false">
      <c r="B78" s="54" t="n">
        <v>69</v>
      </c>
      <c r="C78" s="9" t="s">
        <v>569</v>
      </c>
      <c r="D78" s="9" t="s">
        <v>583</v>
      </c>
      <c r="E78" s="10" t="n">
        <v>0.09</v>
      </c>
      <c r="F78" s="55" t="n">
        <f aca="false">Default_Loss!$E$12</f>
        <v>0.09</v>
      </c>
      <c r="G78" s="39" t="n">
        <f aca="false">IFERROR(IF(ISNUMBER(F78),F78-E78,"n/a"),"n/a")</f>
        <v>0</v>
      </c>
      <c r="H78" s="56" t="n">
        <v>5.0001E-005</v>
      </c>
      <c r="I78" s="53" t="str">
        <f aca="false">IFERROR(IF(ISNUMBER(F78),IF(ABS(F78-E78)&lt;=H78,"PASS","FAIL"),"FAIL"),"FAIL")</f>
        <v>PASS</v>
      </c>
    </row>
    <row r="79" customFormat="false" ht="15" hidden="false" customHeight="false" outlineLevel="0" collapsed="false">
      <c r="B79" s="54" t="n">
        <v>70</v>
      </c>
      <c r="C79" s="9" t="s">
        <v>569</v>
      </c>
      <c r="D79" s="9" t="s">
        <v>584</v>
      </c>
      <c r="E79" s="21" t="n">
        <v>0.556</v>
      </c>
      <c r="F79" s="59" t="n">
        <f aca="false">Default_Loss!$F$12</f>
        <v>0.5562946875</v>
      </c>
      <c r="G79" s="39" t="n">
        <f aca="false">IFERROR(IF(ISNUMBER(F79),F79-E79,"n/a"),"n/a")</f>
        <v>0.000294687500000057</v>
      </c>
      <c r="H79" s="56" t="n">
        <v>0.000500001</v>
      </c>
      <c r="I79" s="53" t="str">
        <f aca="false">IFERROR(IF(ISNUMBER(F79),IF(ABS(F79-E79)&lt;=H79,"PASS","FAIL"),"FAIL"),"FAIL")</f>
        <v>PASS</v>
      </c>
    </row>
    <row r="80" customFormat="false" ht="15" hidden="false" customHeight="false" outlineLevel="0" collapsed="false">
      <c r="B80" s="54" t="n">
        <v>71</v>
      </c>
      <c r="C80" s="9" t="s">
        <v>569</v>
      </c>
      <c r="D80" s="9" t="s">
        <v>585</v>
      </c>
      <c r="E80" s="10" t="n">
        <v>0.09</v>
      </c>
      <c r="F80" s="55" t="n">
        <f aca="false">Default_Loss!$C$15</f>
        <v>0.09</v>
      </c>
      <c r="G80" s="39" t="n">
        <f aca="false">IFERROR(IF(ISNUMBER(F80),F80-E80,"n/a"),"n/a")</f>
        <v>0</v>
      </c>
      <c r="H80" s="56" t="n">
        <v>5.0001E-005</v>
      </c>
      <c r="I80" s="53" t="str">
        <f aca="false">IFERROR(IF(ISNUMBER(F80),IF(ABS(F80-E80)&lt;=H80,"PASS","FAIL"),"FAIL"),"FAIL")</f>
        <v>PASS</v>
      </c>
    </row>
    <row r="81" customFormat="false" ht="15" hidden="false" customHeight="false" outlineLevel="0" collapsed="false">
      <c r="B81" s="54" t="n">
        <v>72</v>
      </c>
      <c r="C81" s="9" t="s">
        <v>569</v>
      </c>
      <c r="D81" s="9" t="s">
        <v>586</v>
      </c>
      <c r="E81" s="10" t="n">
        <v>0.0606</v>
      </c>
      <c r="F81" s="55" t="n">
        <f aca="false">Default_Loss!$C$16</f>
        <v>0.0605617536099108</v>
      </c>
      <c r="G81" s="39" t="n">
        <f aca="false">IFERROR(IF(ISNUMBER(F81),F81-E81,"n/a"),"n/a")</f>
        <v>-3.8246390089168E-005</v>
      </c>
      <c r="H81" s="56" t="n">
        <v>5.0001E-005</v>
      </c>
      <c r="I81" s="53" t="str">
        <f aca="false">IFERROR(IF(ISNUMBER(F81),IF(ABS(F81-E81)&lt;=H81,"PASS","FAIL"),"FAIL"),"FAIL")</f>
        <v>PASS</v>
      </c>
    </row>
    <row r="82" customFormat="false" ht="15" hidden="false" customHeight="false" outlineLevel="0" collapsed="false">
      <c r="B82" s="54" t="n">
        <v>73</v>
      </c>
      <c r="C82" s="9" t="s">
        <v>569</v>
      </c>
      <c r="D82" s="9" t="s">
        <v>587</v>
      </c>
      <c r="E82" s="10" t="n">
        <v>0.0106</v>
      </c>
      <c r="F82" s="55" t="n">
        <f aca="false">Default_Loss!$C$17</f>
        <v>0.0105617536099108</v>
      </c>
      <c r="G82" s="39" t="n">
        <f aca="false">IFERROR(IF(ISNUMBER(F82),F82-E82,"n/a"),"n/a")</f>
        <v>-3.82463900891767E-005</v>
      </c>
      <c r="H82" s="56" t="n">
        <v>5.0001E-005</v>
      </c>
      <c r="I82" s="53" t="str">
        <f aca="false">IFERROR(IF(ISNUMBER(F82),IF(ABS(F82-E82)&lt;=H82,"PASS","FAIL"),"FAIL"),"FAIL")</f>
        <v>PASS</v>
      </c>
    </row>
    <row r="83" customFormat="false" ht="15" hidden="false" customHeight="false" outlineLevel="0" collapsed="false">
      <c r="B83" s="54" t="n">
        <v>74</v>
      </c>
      <c r="C83" s="9" t="s">
        <v>569</v>
      </c>
      <c r="D83" s="9" t="s">
        <v>588</v>
      </c>
      <c r="E83" s="10" t="n">
        <v>0.1009</v>
      </c>
      <c r="F83" s="55" t="n">
        <f aca="false">Default_Loss!$C$18</f>
        <v>0.100936256016518</v>
      </c>
      <c r="G83" s="39" t="n">
        <f aca="false">IFERROR(IF(ISNUMBER(F83),F83-E83,"n/a"),"n/a")</f>
        <v>3.62560165180353E-005</v>
      </c>
      <c r="H83" s="56" t="n">
        <v>5.0001E-005</v>
      </c>
      <c r="I83" s="53" t="str">
        <f aca="false">IFERROR(IF(ISNUMBER(F83),IF(ABS(F83-E83)&lt;=H83,"PASS","FAIL"),"FAIL"),"FAIL")</f>
        <v>PASS</v>
      </c>
    </row>
    <row r="84" customFormat="false" ht="15" hidden="false" customHeight="true" outlineLevel="0" collapsed="false">
      <c r="B84" s="54" t="n">
        <v>75</v>
      </c>
      <c r="C84" s="9" t="s">
        <v>569</v>
      </c>
      <c r="D84" s="60" t="s">
        <v>589</v>
      </c>
      <c r="E84" s="49" t="s">
        <v>558</v>
      </c>
      <c r="F84" s="61" t="str">
        <f aca="false">IFERROR(IF(Default_Loss!$C$17&lt;Assumptions!$C$6,"holds","does not hold"),"error")</f>
        <v>holds</v>
      </c>
      <c r="G84" s="9"/>
      <c r="H84" s="9"/>
      <c r="I84" s="53" t="str">
        <f aca="false">IFERROR(IF(Default_Loss!$C$17&lt;Assumptions!$C$6,"PASS","FAIL"),"FAIL")</f>
        <v>PASS</v>
      </c>
    </row>
    <row r="85" customFormat="false" ht="15" hidden="false" customHeight="true" outlineLevel="0" collapsed="false">
      <c r="B85" s="54" t="n">
        <v>76</v>
      </c>
      <c r="C85" s="9" t="s">
        <v>569</v>
      </c>
      <c r="D85" s="60" t="s">
        <v>590</v>
      </c>
      <c r="E85" s="49" t="s">
        <v>558</v>
      </c>
      <c r="F85" s="61" t="str">
        <f aca="false">IFERROR(IF(ABS(Default_Loss!$C$19-Assumptions!$C$6)&lt;0.000000000001,"holds","does not hold"),"error")</f>
        <v>holds</v>
      </c>
      <c r="G85" s="9"/>
      <c r="H85" s="9"/>
      <c r="I85" s="53" t="str">
        <f aca="false">IFERROR(IF(ABS(Default_Loss!$C$19-Assumptions!$C$6)&lt;0.000000000001,"PASS","FAIL"),"FAIL")</f>
        <v>PASS</v>
      </c>
    </row>
    <row r="86" customFormat="false" ht="15" hidden="false" customHeight="false" outlineLevel="0" collapsed="false">
      <c r="B86" s="54" t="n">
        <v>77</v>
      </c>
      <c r="C86" s="9" t="s">
        <v>569</v>
      </c>
      <c r="D86" s="9" t="s">
        <v>591</v>
      </c>
      <c r="E86" s="35" t="n">
        <v>25000</v>
      </c>
      <c r="F86" s="27" t="n">
        <f aca="false">Default_Loss!$D$23</f>
        <v>25000</v>
      </c>
      <c r="G86" s="39" t="n">
        <f aca="false">IFERROR(IF(ISNUMBER(F86),F86-E86,"n/a"),"n/a")</f>
        <v>0</v>
      </c>
      <c r="H86" s="56" t="n">
        <v>0.500000001</v>
      </c>
      <c r="I86" s="53" t="str">
        <f aca="false">IFERROR(IF(ISNUMBER(F86),IF(ABS(F86-E86)&lt;=H86,"PASS","FAIL"),"FAIL"),"FAIL")</f>
        <v>PASS</v>
      </c>
    </row>
    <row r="87" customFormat="false" ht="15" hidden="false" customHeight="false" outlineLevel="0" collapsed="false">
      <c r="B87" s="54" t="n">
        <v>78</v>
      </c>
      <c r="C87" s="9" t="s">
        <v>569</v>
      </c>
      <c r="D87" s="9" t="s">
        <v>592</v>
      </c>
      <c r="E87" s="10" t="n">
        <v>0.048</v>
      </c>
      <c r="F87" s="55" t="n">
        <f aca="false">Default_Loss!$E$23</f>
        <v>0.048</v>
      </c>
      <c r="G87" s="39" t="n">
        <f aca="false">IFERROR(IF(ISNUMBER(F87),F87-E87,"n/a"),"n/a")</f>
        <v>0</v>
      </c>
      <c r="H87" s="56" t="n">
        <v>5.0001E-005</v>
      </c>
      <c r="I87" s="53" t="str">
        <f aca="false">IFERROR(IF(ISNUMBER(F87),IF(ABS(F87-E87)&lt;=H87,"PASS","FAIL"),"FAIL"),"FAIL")</f>
        <v>PASS</v>
      </c>
    </row>
    <row r="88" customFormat="false" ht="15" hidden="false" customHeight="false" outlineLevel="0" collapsed="false">
      <c r="B88" s="54" t="n">
        <v>79</v>
      </c>
      <c r="C88" s="9" t="s">
        <v>569</v>
      </c>
      <c r="D88" s="9" t="s">
        <v>593</v>
      </c>
      <c r="E88" s="10" t="n">
        <v>0.0477</v>
      </c>
      <c r="F88" s="55" t="n">
        <f aca="false">Default_Loss!$F$23</f>
        <v>0.0477</v>
      </c>
      <c r="G88" s="39" t="n">
        <f aca="false">IFERROR(IF(ISNUMBER(F88),F88-E88,"n/a"),"n/a")</f>
        <v>0</v>
      </c>
      <c r="H88" s="56" t="n">
        <v>5.0001E-005</v>
      </c>
      <c r="I88" s="53" t="str">
        <f aca="false">IFERROR(IF(ISNUMBER(F88),IF(ABS(F88-E88)&lt;=H88,"PASS","FAIL"),"FAIL"),"FAIL")</f>
        <v>PASS</v>
      </c>
    </row>
    <row r="89" customFormat="false" ht="15" hidden="false" customHeight="false" outlineLevel="0" collapsed="false">
      <c r="B89" s="54" t="n">
        <v>80</v>
      </c>
      <c r="C89" s="9" t="s">
        <v>569</v>
      </c>
      <c r="D89" s="9" t="s">
        <v>594</v>
      </c>
      <c r="E89" s="35" t="n">
        <v>25000</v>
      </c>
      <c r="F89" s="27" t="n">
        <f aca="false">Default_Loss!$D$24</f>
        <v>25000</v>
      </c>
      <c r="G89" s="39" t="n">
        <f aca="false">IFERROR(IF(ISNUMBER(F89),F89-E89,"n/a"),"n/a")</f>
        <v>0</v>
      </c>
      <c r="H89" s="56" t="n">
        <v>0.500000001</v>
      </c>
      <c r="I89" s="53" t="str">
        <f aca="false">IFERROR(IF(ISNUMBER(F89),IF(ABS(F89-E89)&lt;=H89,"PASS","FAIL"),"FAIL"),"FAIL")</f>
        <v>PASS</v>
      </c>
    </row>
    <row r="90" customFormat="false" ht="15" hidden="false" customHeight="false" outlineLevel="0" collapsed="false">
      <c r="B90" s="54" t="n">
        <v>81</v>
      </c>
      <c r="C90" s="9" t="s">
        <v>569</v>
      </c>
      <c r="D90" s="9" t="s">
        <v>595</v>
      </c>
      <c r="E90" s="10" t="n">
        <v>0.0495</v>
      </c>
      <c r="F90" s="55" t="n">
        <f aca="false">Default_Loss!$E$24</f>
        <v>0.0495</v>
      </c>
      <c r="G90" s="39" t="n">
        <f aca="false">IFERROR(IF(ISNUMBER(F90),F90-E90,"n/a"),"n/a")</f>
        <v>0</v>
      </c>
      <c r="H90" s="56" t="n">
        <v>5.0001E-005</v>
      </c>
      <c r="I90" s="53" t="str">
        <f aca="false">IFERROR(IF(ISNUMBER(F90),IF(ABS(F90-E90)&lt;=H90,"PASS","FAIL"),"FAIL"),"FAIL")</f>
        <v>PASS</v>
      </c>
    </row>
    <row r="91" customFormat="false" ht="15" hidden="false" customHeight="false" outlineLevel="0" collapsed="false">
      <c r="B91" s="54" t="n">
        <v>82</v>
      </c>
      <c r="C91" s="9" t="s">
        <v>569</v>
      </c>
      <c r="D91" s="9" t="s">
        <v>596</v>
      </c>
      <c r="E91" s="10" t="n">
        <v>0.0492</v>
      </c>
      <c r="F91" s="55" t="n">
        <f aca="false">Default_Loss!$F$24</f>
        <v>0.0492</v>
      </c>
      <c r="G91" s="39" t="n">
        <f aca="false">IFERROR(IF(ISNUMBER(F91),F91-E91,"n/a"),"n/a")</f>
        <v>0</v>
      </c>
      <c r="H91" s="56" t="n">
        <v>5.0001E-005</v>
      </c>
      <c r="I91" s="53" t="str">
        <f aca="false">IFERROR(IF(ISNUMBER(F91),IF(ABS(F91-E91)&lt;=H91,"PASS","FAIL"),"FAIL"),"FAIL")</f>
        <v>PASS</v>
      </c>
    </row>
    <row r="92" customFormat="false" ht="15" hidden="false" customHeight="false" outlineLevel="0" collapsed="false">
      <c r="B92" s="54" t="n">
        <v>83</v>
      </c>
      <c r="C92" s="9" t="s">
        <v>569</v>
      </c>
      <c r="D92" s="9" t="s">
        <v>597</v>
      </c>
      <c r="E92" s="35" t="n">
        <v>25000</v>
      </c>
      <c r="F92" s="27" t="n">
        <f aca="false">Default_Loss!$D$25</f>
        <v>25000</v>
      </c>
      <c r="G92" s="39" t="n">
        <f aca="false">IFERROR(IF(ISNUMBER(F92),F92-E92,"n/a"),"n/a")</f>
        <v>0</v>
      </c>
      <c r="H92" s="56" t="n">
        <v>0.500000001</v>
      </c>
      <c r="I92" s="53" t="str">
        <f aca="false">IFERROR(IF(ISNUMBER(F92),IF(ABS(F92-E92)&lt;=H92,"PASS","FAIL"),"FAIL"),"FAIL")</f>
        <v>PASS</v>
      </c>
    </row>
    <row r="93" customFormat="false" ht="15" hidden="false" customHeight="false" outlineLevel="0" collapsed="false">
      <c r="B93" s="54" t="n">
        <v>84</v>
      </c>
      <c r="C93" s="9" t="s">
        <v>569</v>
      </c>
      <c r="D93" s="9" t="s">
        <v>598</v>
      </c>
      <c r="E93" s="10" t="n">
        <v>0.0515</v>
      </c>
      <c r="F93" s="55" t="n">
        <f aca="false">Default_Loss!$E$25</f>
        <v>0.0515</v>
      </c>
      <c r="G93" s="39" t="n">
        <f aca="false">IFERROR(IF(ISNUMBER(F93),F93-E93,"n/a"),"n/a")</f>
        <v>0</v>
      </c>
      <c r="H93" s="56" t="n">
        <v>5.0001E-005</v>
      </c>
      <c r="I93" s="53" t="str">
        <f aca="false">IFERROR(IF(ISNUMBER(F93),IF(ABS(F93-E93)&lt;=H93,"PASS","FAIL"),"FAIL"),"FAIL")</f>
        <v>PASS</v>
      </c>
    </row>
    <row r="94" customFormat="false" ht="15" hidden="false" customHeight="false" outlineLevel="0" collapsed="false">
      <c r="B94" s="54" t="n">
        <v>85</v>
      </c>
      <c r="C94" s="9" t="s">
        <v>569</v>
      </c>
      <c r="D94" s="9" t="s">
        <v>599</v>
      </c>
      <c r="E94" s="10" t="n">
        <v>0.0503</v>
      </c>
      <c r="F94" s="55" t="n">
        <f aca="false">Default_Loss!$F$25</f>
        <v>0.0503</v>
      </c>
      <c r="G94" s="39" t="n">
        <f aca="false">IFERROR(IF(ISNUMBER(F94),F94-E94,"n/a"),"n/a")</f>
        <v>0</v>
      </c>
      <c r="H94" s="56" t="n">
        <v>5.0001E-005</v>
      </c>
      <c r="I94" s="53" t="str">
        <f aca="false">IFERROR(IF(ISNUMBER(F94),IF(ABS(F94-E94)&lt;=H94,"PASS","FAIL"),"FAIL"),"FAIL")</f>
        <v>PASS</v>
      </c>
    </row>
    <row r="95" customFormat="false" ht="15" hidden="false" customHeight="false" outlineLevel="0" collapsed="false">
      <c r="B95" s="54" t="n">
        <v>86</v>
      </c>
      <c r="C95" s="9" t="s">
        <v>569</v>
      </c>
      <c r="D95" s="9" t="s">
        <v>600</v>
      </c>
      <c r="E95" s="35" t="n">
        <v>25000</v>
      </c>
      <c r="F95" s="27" t="n">
        <f aca="false">Default_Loss!$D$26</f>
        <v>25000</v>
      </c>
      <c r="G95" s="39" t="n">
        <f aca="false">IFERROR(IF(ISNUMBER(F95),F95-E95,"n/a"),"n/a")</f>
        <v>0</v>
      </c>
      <c r="H95" s="56" t="n">
        <v>0.500000001</v>
      </c>
      <c r="I95" s="53" t="str">
        <f aca="false">IFERROR(IF(ISNUMBER(F95),IF(ABS(F95-E95)&lt;=H95,"PASS","FAIL"),"FAIL"),"FAIL")</f>
        <v>PASS</v>
      </c>
    </row>
    <row r="96" customFormat="false" ht="15" hidden="false" customHeight="false" outlineLevel="0" collapsed="false">
      <c r="B96" s="54" t="n">
        <v>87</v>
      </c>
      <c r="C96" s="9" t="s">
        <v>569</v>
      </c>
      <c r="D96" s="9" t="s">
        <v>601</v>
      </c>
      <c r="E96" s="10" t="n">
        <v>0.053</v>
      </c>
      <c r="F96" s="55" t="n">
        <f aca="false">Default_Loss!$E$26</f>
        <v>0.053</v>
      </c>
      <c r="G96" s="39" t="n">
        <f aca="false">IFERROR(IF(ISNUMBER(F96),F96-E96,"n/a"),"n/a")</f>
        <v>0</v>
      </c>
      <c r="H96" s="56" t="n">
        <v>5.0001E-005</v>
      </c>
      <c r="I96" s="53" t="str">
        <f aca="false">IFERROR(IF(ISNUMBER(F96),IF(ABS(F96-E96)&lt;=H96,"PASS","FAIL"),"FAIL"),"FAIL")</f>
        <v>PASS</v>
      </c>
    </row>
    <row r="97" customFormat="false" ht="15" hidden="false" customHeight="false" outlineLevel="0" collapsed="false">
      <c r="B97" s="54" t="n">
        <v>88</v>
      </c>
      <c r="C97" s="9" t="s">
        <v>569</v>
      </c>
      <c r="D97" s="9" t="s">
        <v>602</v>
      </c>
      <c r="E97" s="10" t="n">
        <v>0.0518</v>
      </c>
      <c r="F97" s="55" t="n">
        <f aca="false">Default_Loss!$F$26</f>
        <v>0.0518</v>
      </c>
      <c r="G97" s="39" t="n">
        <f aca="false">IFERROR(IF(ISNUMBER(F97),F97-E97,"n/a"),"n/a")</f>
        <v>0</v>
      </c>
      <c r="H97" s="56" t="n">
        <v>5.0001E-005</v>
      </c>
      <c r="I97" s="53" t="str">
        <f aca="false">IFERROR(IF(ISNUMBER(F97),IF(ABS(F97-E97)&lt;=H97,"PASS","FAIL"),"FAIL"),"FAIL")</f>
        <v>PASS</v>
      </c>
    </row>
    <row r="98" customFormat="false" ht="15" hidden="false" customHeight="false" outlineLevel="0" collapsed="false">
      <c r="B98" s="54" t="n">
        <v>89</v>
      </c>
      <c r="C98" s="9" t="s">
        <v>569</v>
      </c>
      <c r="D98" s="9" t="s">
        <v>603</v>
      </c>
      <c r="E98" s="35" t="n">
        <v>25000</v>
      </c>
      <c r="F98" s="27" t="n">
        <f aca="false">Default_Loss!$D$27</f>
        <v>25000</v>
      </c>
      <c r="G98" s="39" t="n">
        <f aca="false">IFERROR(IF(ISNUMBER(F98),F98-E98,"n/a"),"n/a")</f>
        <v>0</v>
      </c>
      <c r="H98" s="56" t="n">
        <v>0.500000001</v>
      </c>
      <c r="I98" s="53" t="str">
        <f aca="false">IFERROR(IF(ISNUMBER(F98),IF(ABS(F98-E98)&lt;=H98,"PASS","FAIL"),"FAIL"),"FAIL")</f>
        <v>PASS</v>
      </c>
    </row>
    <row r="99" customFormat="false" ht="15" hidden="false" customHeight="false" outlineLevel="0" collapsed="false">
      <c r="B99" s="54" t="n">
        <v>90</v>
      </c>
      <c r="C99" s="9" t="s">
        <v>569</v>
      </c>
      <c r="D99" s="9" t="s">
        <v>604</v>
      </c>
      <c r="E99" s="10" t="n">
        <v>0.0545</v>
      </c>
      <c r="F99" s="55" t="n">
        <f aca="false">Default_Loss!$E$27</f>
        <v>0.0545</v>
      </c>
      <c r="G99" s="39" t="n">
        <f aca="false">IFERROR(IF(ISNUMBER(F99),F99-E99,"n/a"),"n/a")</f>
        <v>0</v>
      </c>
      <c r="H99" s="56" t="n">
        <v>5.0001E-005</v>
      </c>
      <c r="I99" s="53" t="str">
        <f aca="false">IFERROR(IF(ISNUMBER(F99),IF(ABS(F99-E99)&lt;=H99,"PASS","FAIL"),"FAIL"),"FAIL")</f>
        <v>PASS</v>
      </c>
    </row>
    <row r="100" customFormat="false" ht="15" hidden="false" customHeight="false" outlineLevel="0" collapsed="false">
      <c r="B100" s="54" t="n">
        <v>91</v>
      </c>
      <c r="C100" s="9" t="s">
        <v>569</v>
      </c>
      <c r="D100" s="9" t="s">
        <v>605</v>
      </c>
      <c r="E100" s="10" t="n">
        <v>0.0533</v>
      </c>
      <c r="F100" s="55" t="n">
        <f aca="false">Default_Loss!$F$27</f>
        <v>0.0533</v>
      </c>
      <c r="G100" s="39" t="n">
        <f aca="false">IFERROR(IF(ISNUMBER(F100),F100-E100,"n/a"),"n/a")</f>
        <v>0</v>
      </c>
      <c r="H100" s="56" t="n">
        <v>5.0001E-005</v>
      </c>
      <c r="I100" s="53" t="str">
        <f aca="false">IFERROR(IF(ISNUMBER(F100),IF(ABS(F100-E100)&lt;=H100,"PASS","FAIL"),"FAIL"),"FAIL")</f>
        <v>PASS</v>
      </c>
    </row>
    <row r="101" customFormat="false" ht="15" hidden="false" customHeight="false" outlineLevel="0" collapsed="false">
      <c r="B101" s="54" t="n">
        <v>92</v>
      </c>
      <c r="C101" s="9" t="s">
        <v>569</v>
      </c>
      <c r="D101" s="9" t="s">
        <v>606</v>
      </c>
      <c r="E101" s="35" t="n">
        <v>12375</v>
      </c>
      <c r="F101" s="27" t="n">
        <f aca="false">Default_Loss!$D$28</f>
        <v>12375</v>
      </c>
      <c r="G101" s="39" t="n">
        <f aca="false">IFERROR(IF(ISNUMBER(F101),F101-E101,"n/a"),"n/a")</f>
        <v>0</v>
      </c>
      <c r="H101" s="56" t="n">
        <v>0.500000001</v>
      </c>
      <c r="I101" s="53" t="str">
        <f aca="false">IFERROR(IF(ISNUMBER(F101),IF(ABS(F101-E101)&lt;=H101,"PASS","FAIL"),"FAIL"),"FAIL")</f>
        <v>PASS</v>
      </c>
    </row>
    <row r="102" customFormat="false" ht="15" hidden="false" customHeight="false" outlineLevel="0" collapsed="false">
      <c r="B102" s="54" t="n">
        <v>93</v>
      </c>
      <c r="C102" s="9" t="s">
        <v>569</v>
      </c>
      <c r="D102" s="9" t="s">
        <v>607</v>
      </c>
      <c r="E102" s="10" t="n">
        <v>0.0699</v>
      </c>
      <c r="F102" s="55" t="n">
        <f aca="false">Default_Loss!$E$28</f>
        <v>0.0699042470751673</v>
      </c>
      <c r="G102" s="39" t="n">
        <f aca="false">IFERROR(IF(ISNUMBER(F102),F102-E102,"n/a"),"n/a")</f>
        <v>4.2470751672602E-006</v>
      </c>
      <c r="H102" s="56" t="n">
        <v>5.0001E-005</v>
      </c>
      <c r="I102" s="53" t="str">
        <f aca="false">IFERROR(IF(ISNUMBER(F102),IF(ABS(F102-E102)&lt;=H102,"PASS","FAIL"),"FAIL"),"FAIL")</f>
        <v>PASS</v>
      </c>
    </row>
    <row r="103" customFormat="false" ht="15" hidden="false" customHeight="false" outlineLevel="0" collapsed="false">
      <c r="B103" s="54" t="n">
        <v>94</v>
      </c>
      <c r="C103" s="9" t="s">
        <v>569</v>
      </c>
      <c r="D103" s="9" t="s">
        <v>608</v>
      </c>
      <c r="E103" s="10" t="n">
        <v>0.0639</v>
      </c>
      <c r="F103" s="55" t="n">
        <f aca="false">Default_Loss!$F$28</f>
        <v>0.0639042470751673</v>
      </c>
      <c r="G103" s="39" t="n">
        <f aca="false">IFERROR(IF(ISNUMBER(F103),F103-E103,"n/a"),"n/a")</f>
        <v>4.2470751672602E-006</v>
      </c>
      <c r="H103" s="56" t="n">
        <v>5.0001E-005</v>
      </c>
      <c r="I103" s="53" t="str">
        <f aca="false">IFERROR(IF(ISNUMBER(F103),IF(ABS(F103-E103)&lt;=H103,"PASS","FAIL"),"FAIL"),"FAIL")</f>
        <v>PASS</v>
      </c>
    </row>
    <row r="104" customFormat="false" ht="15" hidden="false" customHeight="false" outlineLevel="0" collapsed="false">
      <c r="B104" s="54" t="n">
        <v>95</v>
      </c>
      <c r="C104" s="9" t="s">
        <v>569</v>
      </c>
      <c r="D104" s="9" t="s">
        <v>609</v>
      </c>
      <c r="E104" s="35" t="n">
        <v>12313</v>
      </c>
      <c r="F104" s="27" t="n">
        <f aca="false">Default_Loss!$D$29</f>
        <v>12312.5</v>
      </c>
      <c r="G104" s="39" t="n">
        <f aca="false">IFERROR(IF(ISNUMBER(F104),F104-E104,"n/a"),"n/a")</f>
        <v>-0.5</v>
      </c>
      <c r="H104" s="56" t="n">
        <v>0.500000001</v>
      </c>
      <c r="I104" s="53" t="str">
        <f aca="false">IFERROR(IF(ISNUMBER(F104),IF(ABS(F104-E104)&lt;=H104,"PASS","FAIL"),"FAIL"),"FAIL")</f>
        <v>PASS</v>
      </c>
    </row>
    <row r="105" customFormat="false" ht="15" hidden="false" customHeight="false" outlineLevel="0" collapsed="false">
      <c r="B105" s="54" t="n">
        <v>96</v>
      </c>
      <c r="C105" s="9" t="s">
        <v>569</v>
      </c>
      <c r="D105" s="9" t="s">
        <v>610</v>
      </c>
      <c r="E105" s="10" t="n">
        <v>0.0736</v>
      </c>
      <c r="F105" s="55" t="n">
        <f aca="false">Default_Loss!$E$29</f>
        <v>0.0736404123832243</v>
      </c>
      <c r="G105" s="39" t="n">
        <f aca="false">IFERROR(IF(ISNUMBER(F105),F105-E105,"n/a"),"n/a")</f>
        <v>4.04123832242614E-005</v>
      </c>
      <c r="H105" s="56" t="n">
        <v>5.0001E-005</v>
      </c>
      <c r="I105" s="53" t="str">
        <f aca="false">IFERROR(IF(ISNUMBER(F105),IF(ABS(F105-E105)&lt;=H105,"PASS","FAIL"),"FAIL"),"FAIL")</f>
        <v>PASS</v>
      </c>
    </row>
    <row r="106" customFormat="false" ht="15" hidden="false" customHeight="false" outlineLevel="0" collapsed="false">
      <c r="B106" s="54" t="n">
        <v>97</v>
      </c>
      <c r="C106" s="9" t="s">
        <v>569</v>
      </c>
      <c r="D106" s="9" t="s">
        <v>611</v>
      </c>
      <c r="E106" s="10" t="n">
        <v>0.0676</v>
      </c>
      <c r="F106" s="55" t="n">
        <f aca="false">Default_Loss!$F$29</f>
        <v>0.0676404123832243</v>
      </c>
      <c r="G106" s="39" t="n">
        <f aca="false">IFERROR(IF(ISNUMBER(F106),F106-E106,"n/a"),"n/a")</f>
        <v>4.04123832242614E-005</v>
      </c>
      <c r="H106" s="56" t="n">
        <v>5.0001E-005</v>
      </c>
      <c r="I106" s="53" t="str">
        <f aca="false">IFERROR(IF(ISNUMBER(F106),IF(ABS(F106-E106)&lt;=H106,"PASS","FAIL"),"FAIL"),"FAIL")</f>
        <v>PASS</v>
      </c>
    </row>
    <row r="107" customFormat="false" ht="15" hidden="false" customHeight="false" outlineLevel="0" collapsed="false">
      <c r="B107" s="54" t="n">
        <v>98</v>
      </c>
      <c r="C107" s="9" t="s">
        <v>569</v>
      </c>
      <c r="D107" s="9" t="s">
        <v>612</v>
      </c>
      <c r="E107" s="35" t="n">
        <v>12250</v>
      </c>
      <c r="F107" s="27" t="n">
        <f aca="false">Default_Loss!$D$30</f>
        <v>12250</v>
      </c>
      <c r="G107" s="39" t="n">
        <f aca="false">IFERROR(IF(ISNUMBER(F107),F107-E107,"n/a"),"n/a")</f>
        <v>0</v>
      </c>
      <c r="H107" s="56" t="n">
        <v>0.500000001</v>
      </c>
      <c r="I107" s="53" t="str">
        <f aca="false">IFERROR(IF(ISNUMBER(F107),IF(ABS(F107-E107)&lt;=H107,"PASS","FAIL"),"FAIL"),"FAIL")</f>
        <v>PASS</v>
      </c>
    </row>
    <row r="108" customFormat="false" ht="15" hidden="false" customHeight="false" outlineLevel="0" collapsed="false">
      <c r="B108" s="54" t="n">
        <v>99</v>
      </c>
      <c r="C108" s="9" t="s">
        <v>569</v>
      </c>
      <c r="D108" s="9" t="s">
        <v>613</v>
      </c>
      <c r="E108" s="10" t="n">
        <v>0.0774</v>
      </c>
      <c r="F108" s="55" t="n">
        <f aca="false">Default_Loss!$E$30</f>
        <v>0.0773997713205988</v>
      </c>
      <c r="G108" s="39" t="n">
        <f aca="false">IFERROR(IF(ISNUMBER(F108),F108-E108,"n/a"),"n/a")</f>
        <v>-2.28679401206855E-007</v>
      </c>
      <c r="H108" s="56" t="n">
        <v>5.0001E-005</v>
      </c>
      <c r="I108" s="53" t="str">
        <f aca="false">IFERROR(IF(ISNUMBER(F108),IF(ABS(F108-E108)&lt;=H108,"PASS","FAIL"),"FAIL"),"FAIL")</f>
        <v>PASS</v>
      </c>
    </row>
    <row r="109" customFormat="false" ht="15" hidden="false" customHeight="false" outlineLevel="0" collapsed="false">
      <c r="B109" s="54" t="n">
        <v>100</v>
      </c>
      <c r="C109" s="9" t="s">
        <v>569</v>
      </c>
      <c r="D109" s="9" t="s">
        <v>614</v>
      </c>
      <c r="E109" s="10" t="n">
        <v>0.0594</v>
      </c>
      <c r="F109" s="55" t="n">
        <f aca="false">Default_Loss!$F$30</f>
        <v>0.0593997713205988</v>
      </c>
      <c r="G109" s="39" t="n">
        <f aca="false">IFERROR(IF(ISNUMBER(F109),F109-E109,"n/a"),"n/a")</f>
        <v>-2.28679401213794E-007</v>
      </c>
      <c r="H109" s="56" t="n">
        <v>5.0001E-005</v>
      </c>
      <c r="I109" s="53" t="str">
        <f aca="false">IFERROR(IF(ISNUMBER(F109),IF(ABS(F109-E109)&lt;=H109,"PASS","FAIL"),"FAIL"),"FAIL")</f>
        <v>PASS</v>
      </c>
    </row>
    <row r="110" customFormat="false" ht="15" hidden="false" customHeight="false" outlineLevel="0" collapsed="false">
      <c r="B110" s="54" t="n">
        <v>101</v>
      </c>
      <c r="C110" s="9" t="s">
        <v>569</v>
      </c>
      <c r="D110" s="9" t="s">
        <v>615</v>
      </c>
      <c r="E110" s="35" t="n">
        <v>12188</v>
      </c>
      <c r="F110" s="27" t="n">
        <f aca="false">Default_Loss!$D$31</f>
        <v>12187.5</v>
      </c>
      <c r="G110" s="39" t="n">
        <f aca="false">IFERROR(IF(ISNUMBER(F110),F110-E110,"n/a"),"n/a")</f>
        <v>-0.5</v>
      </c>
      <c r="H110" s="56" t="n">
        <v>0.500000001</v>
      </c>
      <c r="I110" s="53" t="str">
        <f aca="false">IFERROR(IF(ISNUMBER(F110),IF(ABS(F110-E110)&lt;=H110,"PASS","FAIL"),"FAIL"),"FAIL")</f>
        <v>PASS</v>
      </c>
    </row>
    <row r="111" customFormat="false" ht="15" hidden="false" customHeight="false" outlineLevel="0" collapsed="false">
      <c r="B111" s="54" t="n">
        <v>102</v>
      </c>
      <c r="C111" s="9" t="s">
        <v>569</v>
      </c>
      <c r="D111" s="9" t="s">
        <v>616</v>
      </c>
      <c r="E111" s="10" t="n">
        <v>0.0812</v>
      </c>
      <c r="F111" s="55" t="n">
        <f aca="false">Default_Loss!$E$31</f>
        <v>0.0811827080590467</v>
      </c>
      <c r="G111" s="39" t="n">
        <f aca="false">IFERROR(IF(ISNUMBER(F111),F111-E111,"n/a"),"n/a")</f>
        <v>-1.72919409533456E-005</v>
      </c>
      <c r="H111" s="56" t="n">
        <v>5.0001E-005</v>
      </c>
      <c r="I111" s="53" t="str">
        <f aca="false">IFERROR(IF(ISNUMBER(F111),IF(ABS(F111-E111)&lt;=H111,"PASS","FAIL"),"FAIL"),"FAIL")</f>
        <v>PASS</v>
      </c>
    </row>
    <row r="112" customFormat="false" ht="15" hidden="false" customHeight="false" outlineLevel="0" collapsed="false">
      <c r="B112" s="54" t="n">
        <v>103</v>
      </c>
      <c r="C112" s="9" t="s">
        <v>569</v>
      </c>
      <c r="D112" s="9" t="s">
        <v>617</v>
      </c>
      <c r="E112" s="10" t="n">
        <v>0.0632</v>
      </c>
      <c r="F112" s="55" t="n">
        <f aca="false">Default_Loss!$F$31</f>
        <v>0.0631827080590467</v>
      </c>
      <c r="G112" s="39" t="n">
        <f aca="false">IFERROR(IF(ISNUMBER(F112),F112-E112,"n/a"),"n/a")</f>
        <v>-1.72919409533595E-005</v>
      </c>
      <c r="H112" s="56" t="n">
        <v>5.0001E-005</v>
      </c>
      <c r="I112" s="53" t="str">
        <f aca="false">IFERROR(IF(ISNUMBER(F112),IF(ABS(F112-E112)&lt;=H112,"PASS","FAIL"),"FAIL"),"FAIL")</f>
        <v>PASS</v>
      </c>
    </row>
    <row r="113" customFormat="false" ht="15" hidden="false" customHeight="false" outlineLevel="0" collapsed="false">
      <c r="B113" s="54" t="n">
        <v>104</v>
      </c>
      <c r="C113" s="9" t="s">
        <v>569</v>
      </c>
      <c r="D113" s="9" t="s">
        <v>618</v>
      </c>
      <c r="E113" s="35" t="n">
        <v>12125</v>
      </c>
      <c r="F113" s="27" t="n">
        <f aca="false">Default_Loss!$D$32</f>
        <v>12125</v>
      </c>
      <c r="G113" s="39" t="n">
        <f aca="false">IFERROR(IF(ISNUMBER(F113),F113-E113,"n/a"),"n/a")</f>
        <v>0</v>
      </c>
      <c r="H113" s="56" t="n">
        <v>0.500000001</v>
      </c>
      <c r="I113" s="53" t="str">
        <f aca="false">IFERROR(IF(ISNUMBER(F113),IF(ABS(F113-E113)&lt;=H113,"PASS","FAIL"),"FAIL"),"FAIL")</f>
        <v>PASS</v>
      </c>
    </row>
    <row r="114" customFormat="false" ht="15" hidden="false" customHeight="false" outlineLevel="0" collapsed="false">
      <c r="B114" s="54" t="n">
        <v>105</v>
      </c>
      <c r="C114" s="9" t="s">
        <v>569</v>
      </c>
      <c r="D114" s="9" t="s">
        <v>619</v>
      </c>
      <c r="E114" s="10" t="n">
        <v>0.0875</v>
      </c>
      <c r="F114" s="55" t="n">
        <f aca="false">Default_Loss!$E$32</f>
        <v>0.0875368825411204</v>
      </c>
      <c r="G114" s="39" t="n">
        <f aca="false">IFERROR(IF(ISNUMBER(F114),F114-E114,"n/a"),"n/a")</f>
        <v>3.68825411204421E-005</v>
      </c>
      <c r="H114" s="56" t="n">
        <v>5.0001E-005</v>
      </c>
      <c r="I114" s="53" t="str">
        <f aca="false">IFERROR(IF(ISNUMBER(F114),IF(ABS(F114-E114)&lt;=H114,"PASS","FAIL"),"FAIL"),"FAIL")</f>
        <v>PASS</v>
      </c>
    </row>
    <row r="115" customFormat="false" ht="15" hidden="false" customHeight="false" outlineLevel="0" collapsed="false">
      <c r="B115" s="54" t="n">
        <v>106</v>
      </c>
      <c r="C115" s="9" t="s">
        <v>569</v>
      </c>
      <c r="D115" s="9" t="s">
        <v>620</v>
      </c>
      <c r="E115" s="10" t="n">
        <v>0.0695</v>
      </c>
      <c r="F115" s="55" t="n">
        <f aca="false">Default_Loss!$F$32</f>
        <v>0.0695368825411204</v>
      </c>
      <c r="G115" s="39" t="n">
        <f aca="false">IFERROR(IF(ISNUMBER(F115),F115-E115,"n/a"),"n/a")</f>
        <v>3.68825411204282E-005</v>
      </c>
      <c r="H115" s="56" t="n">
        <v>5.0001E-005</v>
      </c>
      <c r="I115" s="53" t="str">
        <f aca="false">IFERROR(IF(ISNUMBER(F115),IF(ABS(F115-E115)&lt;=H115,"PASS","FAIL"),"FAIL"),"FAIL")</f>
        <v>PASS</v>
      </c>
    </row>
    <row r="116" customFormat="false" ht="15" hidden="false" customHeight="false" outlineLevel="0" collapsed="false">
      <c r="B116" s="54" t="n">
        <v>107</v>
      </c>
      <c r="C116" s="9" t="s">
        <v>569</v>
      </c>
      <c r="D116" s="9" t="s">
        <v>621</v>
      </c>
      <c r="E116" s="35" t="n">
        <v>11750</v>
      </c>
      <c r="F116" s="27" t="n">
        <f aca="false">Default_Loss!$D$33</f>
        <v>11750</v>
      </c>
      <c r="G116" s="39" t="n">
        <f aca="false">IFERROR(IF(ISNUMBER(F116),F116-E116,"n/a"),"n/a")</f>
        <v>0</v>
      </c>
      <c r="H116" s="56" t="n">
        <v>0.500000001</v>
      </c>
      <c r="I116" s="53" t="str">
        <f aca="false">IFERROR(IF(ISNUMBER(F116),IF(ABS(F116-E116)&lt;=H116,"PASS","FAIL"),"FAIL"),"FAIL")</f>
        <v>PASS</v>
      </c>
    </row>
    <row r="117" customFormat="false" ht="15" hidden="false" customHeight="false" outlineLevel="0" collapsed="false">
      <c r="B117" s="54" t="n">
        <v>108</v>
      </c>
      <c r="C117" s="9" t="s">
        <v>569</v>
      </c>
      <c r="D117" s="9" t="s">
        <v>622</v>
      </c>
      <c r="E117" s="10" t="n">
        <v>0.1006</v>
      </c>
      <c r="F117" s="55" t="n">
        <f aca="false">Default_Loss!$E$33</f>
        <v>0.100561753609911</v>
      </c>
      <c r="G117" s="39" t="n">
        <f aca="false">IFERROR(IF(ISNUMBER(F117),F117-E117,"n/a"),"n/a")</f>
        <v>-3.8246390089175E-005</v>
      </c>
      <c r="H117" s="56" t="n">
        <v>5.0001E-005</v>
      </c>
      <c r="I117" s="53" t="str">
        <f aca="false">IFERROR(IF(ISNUMBER(F117),IF(ABS(F117-E117)&lt;=H117,"PASS","FAIL"),"FAIL"),"FAIL")</f>
        <v>PASS</v>
      </c>
    </row>
    <row r="118" customFormat="false" ht="15" hidden="false" customHeight="false" outlineLevel="0" collapsed="false">
      <c r="B118" s="54" t="n">
        <v>109</v>
      </c>
      <c r="C118" s="9" t="s">
        <v>569</v>
      </c>
      <c r="D118" s="9" t="s">
        <v>623</v>
      </c>
      <c r="E118" s="10" t="n">
        <v>0.0106</v>
      </c>
      <c r="F118" s="55" t="n">
        <f aca="false">Default_Loss!$F$33</f>
        <v>0.0105617536099108</v>
      </c>
      <c r="G118" s="39" t="n">
        <f aca="false">IFERROR(IF(ISNUMBER(F118),F118-E118,"n/a"),"n/a")</f>
        <v>-3.82463900891767E-005</v>
      </c>
      <c r="H118" s="56" t="n">
        <v>5.0001E-005</v>
      </c>
      <c r="I118" s="53" t="str">
        <f aca="false">IFERROR(IF(ISNUMBER(F118),IF(ABS(F118-E118)&lt;=H118,"PASS","FAIL"),"FAIL"),"FAIL")</f>
        <v>PASS</v>
      </c>
    </row>
    <row r="119" customFormat="false" ht="15" hidden="false" customHeight="false" outlineLevel="0" collapsed="false">
      <c r="B119" s="54" t="n">
        <v>110</v>
      </c>
      <c r="C119" s="9" t="s">
        <v>569</v>
      </c>
      <c r="D119" s="9" t="s">
        <v>624</v>
      </c>
      <c r="E119" s="35" t="n">
        <v>125000</v>
      </c>
      <c r="F119" s="27" t="n">
        <f aca="false">Default_Loss!$C$34</f>
        <v>125000</v>
      </c>
      <c r="G119" s="39" t="n">
        <f aca="false">IFERROR(IF(ISNUMBER(F119),F119-E119,"n/a"),"n/a")</f>
        <v>0</v>
      </c>
      <c r="H119" s="56" t="n">
        <v>0.500000001</v>
      </c>
      <c r="I119" s="53" t="str">
        <f aca="false">IFERROR(IF(ISNUMBER(F119),IF(ABS(F119-E119)&lt;=H119,"PASS","FAIL"),"FAIL"),"FAIL")</f>
        <v>PASS</v>
      </c>
    </row>
    <row r="120" customFormat="false" ht="15" hidden="false" customHeight="false" outlineLevel="0" collapsed="false">
      <c r="B120" s="54" t="n">
        <v>111</v>
      </c>
      <c r="C120" s="9" t="s">
        <v>569</v>
      </c>
      <c r="D120" s="9" t="s">
        <v>625</v>
      </c>
      <c r="E120" s="35" t="n">
        <v>73000</v>
      </c>
      <c r="F120" s="27" t="n">
        <f aca="false">Default_Loss!$C$35</f>
        <v>73000</v>
      </c>
      <c r="G120" s="39" t="n">
        <f aca="false">IFERROR(IF(ISNUMBER(F120),F120-E120,"n/a"),"n/a")</f>
        <v>0</v>
      </c>
      <c r="H120" s="56" t="n">
        <v>0.500000001</v>
      </c>
      <c r="I120" s="53" t="str">
        <f aca="false">IFERROR(IF(ISNUMBER(F120),IF(ABS(F120-E120)&lt;=H120,"PASS","FAIL"),"FAIL"),"FAIL")</f>
        <v>PASS</v>
      </c>
    </row>
    <row r="121" customFormat="false" ht="15" hidden="false" customHeight="false" outlineLevel="0" collapsed="false">
      <c r="B121" s="54" t="n">
        <v>112</v>
      </c>
      <c r="C121" s="9" t="s">
        <v>569</v>
      </c>
      <c r="D121" s="9" t="s">
        <v>626</v>
      </c>
      <c r="E121" s="21" t="n">
        <v>0.15</v>
      </c>
      <c r="F121" s="59" t="n">
        <f aca="false">Default_Loss!$C$36</f>
        <v>0.15</v>
      </c>
      <c r="G121" s="39" t="n">
        <f aca="false">IFERROR(IF(ISNUMBER(F121),F121-E121,"n/a"),"n/a")</f>
        <v>0</v>
      </c>
      <c r="H121" s="56" t="n">
        <v>0.000500001</v>
      </c>
      <c r="I121" s="53" t="str">
        <f aca="false">IFERROR(IF(ISNUMBER(F121),IF(ABS(F121-E121)&lt;=H121,"PASS","FAIL"),"FAIL"),"FAIL")</f>
        <v>PASS</v>
      </c>
    </row>
    <row r="122" customFormat="false" ht="15" hidden="false" customHeight="false" outlineLevel="0" collapsed="false">
      <c r="B122" s="54" t="n">
        <v>113</v>
      </c>
      <c r="C122" s="9" t="s">
        <v>569</v>
      </c>
      <c r="D122" s="9" t="s">
        <v>627</v>
      </c>
      <c r="E122" s="21" t="n">
        <v>0.03</v>
      </c>
      <c r="F122" s="59" t="n">
        <f aca="false">Default_Loss!$C$39</f>
        <v>0.03</v>
      </c>
      <c r="G122" s="39" t="n">
        <f aca="false">IFERROR(IF(ISNUMBER(F122),F122-E122,"n/a"),"n/a")</f>
        <v>0</v>
      </c>
      <c r="H122" s="56" t="n">
        <v>0.000500001</v>
      </c>
      <c r="I122" s="53" t="str">
        <f aca="false">IFERROR(IF(ISNUMBER(F122),IF(ABS(F122-E122)&lt;=H122,"PASS","FAIL"),"FAIL"),"FAIL")</f>
        <v>PASS</v>
      </c>
    </row>
    <row r="123" customFormat="false" ht="15" hidden="false" customHeight="false" outlineLevel="0" collapsed="false">
      <c r="B123" s="54" t="n">
        <v>114</v>
      </c>
      <c r="C123" s="9" t="s">
        <v>569</v>
      </c>
      <c r="D123" s="9" t="s">
        <v>628</v>
      </c>
      <c r="E123" s="12" t="n">
        <v>0.35</v>
      </c>
      <c r="F123" s="17" t="n">
        <f aca="false">Default_Loss!$C$40</f>
        <v>0.35</v>
      </c>
      <c r="G123" s="39" t="n">
        <f aca="false">IFERROR(IF(ISNUMBER(F123),F123-E123,"n/a"),"n/a")</f>
        <v>0</v>
      </c>
      <c r="H123" s="56" t="n">
        <v>0.005000001</v>
      </c>
      <c r="I123" s="53" t="str">
        <f aca="false">IFERROR(IF(ISNUMBER(F123),IF(ABS(F123-E123)&lt;=H123,"PASS","FAIL"),"FAIL"),"FAIL")</f>
        <v>PASS</v>
      </c>
    </row>
    <row r="124" customFormat="false" ht="15" hidden="false" customHeight="false" outlineLevel="0" collapsed="false">
      <c r="B124" s="54" t="n">
        <v>115</v>
      </c>
      <c r="C124" s="9" t="s">
        <v>569</v>
      </c>
      <c r="D124" s="9" t="s">
        <v>629</v>
      </c>
      <c r="E124" s="10" t="n">
        <v>0.0105</v>
      </c>
      <c r="F124" s="55" t="n">
        <f aca="false">Default_Loss!$C$41</f>
        <v>0.0105</v>
      </c>
      <c r="G124" s="39" t="n">
        <f aca="false">IFERROR(IF(ISNUMBER(F124),F124-E124,"n/a"),"n/a")</f>
        <v>0</v>
      </c>
      <c r="H124" s="56" t="n">
        <v>5.0001E-005</v>
      </c>
      <c r="I124" s="53" t="str">
        <f aca="false">IFERROR(IF(ISNUMBER(F124),IF(ABS(F124-E124)&lt;=H124,"PASS","FAIL"),"FAIL"),"FAIL")</f>
        <v>PASS</v>
      </c>
    </row>
    <row r="125" customFormat="false" ht="15" hidden="false" customHeight="false" outlineLevel="0" collapsed="false">
      <c r="B125" s="54" t="n">
        <v>116</v>
      </c>
      <c r="C125" s="9" t="s">
        <v>569</v>
      </c>
      <c r="D125" s="9" t="s">
        <v>630</v>
      </c>
      <c r="E125" s="35" t="n">
        <v>7</v>
      </c>
      <c r="F125" s="27" t="n">
        <f aca="false">Default_Loss!$C$44</f>
        <v>7</v>
      </c>
      <c r="G125" s="39" t="n">
        <f aca="false">IFERROR(IF(ISNUMBER(F125),F125-E125,"n/a"),"n/a")</f>
        <v>0</v>
      </c>
      <c r="H125" s="56" t="n">
        <v>0.500000001</v>
      </c>
      <c r="I125" s="53" t="str">
        <f aca="false">IFERROR(IF(ISNUMBER(F125),IF(ABS(F125-E125)&lt;=H125,"PASS","FAIL"),"FAIL"),"FAIL")</f>
        <v>PASS</v>
      </c>
    </row>
    <row r="126" customFormat="false" ht="15" hidden="false" customHeight="false" outlineLevel="0" collapsed="false">
      <c r="B126" s="54" t="n">
        <v>117</v>
      </c>
      <c r="C126" s="9" t="s">
        <v>569</v>
      </c>
      <c r="D126" s="9" t="s">
        <v>631</v>
      </c>
      <c r="E126" s="35" t="n">
        <v>30</v>
      </c>
      <c r="F126" s="27" t="n">
        <f aca="false">Default_Loss!$C$45</f>
        <v>30</v>
      </c>
      <c r="G126" s="39" t="n">
        <f aca="false">IFERROR(IF(ISNUMBER(F126),F126-E126,"n/a"),"n/a")</f>
        <v>0</v>
      </c>
      <c r="H126" s="56" t="n">
        <v>0.500000001</v>
      </c>
      <c r="I126" s="53" t="str">
        <f aca="false">IFERROR(IF(ISNUMBER(F126),IF(ABS(F126-E126)&lt;=H126,"PASS","FAIL"),"FAIL"),"FAIL")</f>
        <v>PASS</v>
      </c>
    </row>
    <row r="127" customFormat="false" ht="15" hidden="false" customHeight="false" outlineLevel="0" collapsed="false">
      <c r="B127" s="54" t="n">
        <v>118</v>
      </c>
      <c r="C127" s="9" t="s">
        <v>569</v>
      </c>
      <c r="D127" s="9" t="s">
        <v>632</v>
      </c>
      <c r="E127" s="21" t="n">
        <v>0.468</v>
      </c>
      <c r="F127" s="59" t="n">
        <f aca="false">Default_Loss!$C$49</f>
        <v>0.467523221730945</v>
      </c>
      <c r="G127" s="39" t="n">
        <f aca="false">IFERROR(IF(ISNUMBER(F127),F127-E127,"n/a"),"n/a")</f>
        <v>-0.000476778269054956</v>
      </c>
      <c r="H127" s="56" t="n">
        <v>0.000500001</v>
      </c>
      <c r="I127" s="53" t="str">
        <f aca="false">IFERROR(IF(ISNUMBER(F127),IF(ABS(F127-E127)&lt;=H127,"PASS","FAIL"),"FAIL"),"FAIL")</f>
        <v>PASS</v>
      </c>
    </row>
    <row r="128" customFormat="false" ht="15" hidden="false" customHeight="false" outlineLevel="0" collapsed="false">
      <c r="B128" s="54" t="n">
        <v>119</v>
      </c>
      <c r="C128" s="9" t="s">
        <v>569</v>
      </c>
      <c r="D128" s="9" t="s">
        <v>633</v>
      </c>
      <c r="E128" s="21" t="n">
        <v>-0.216</v>
      </c>
      <c r="F128" s="59" t="n">
        <f aca="false">Default_Loss!$C$50</f>
        <v>-0.215803309265809</v>
      </c>
      <c r="G128" s="39" t="n">
        <f aca="false">IFERROR(IF(ISNUMBER(F128),F128-E128,"n/a"),"n/a")</f>
        <v>0.000196690734190513</v>
      </c>
      <c r="H128" s="56" t="n">
        <v>0.000500001</v>
      </c>
      <c r="I128" s="53" t="str">
        <f aca="false">IFERROR(IF(ISNUMBER(F128),IF(ABS(F128-E128)&lt;=H128,"PASS","FAIL"),"FAIL"),"FAIL")</f>
        <v>PASS</v>
      </c>
    </row>
    <row r="129" customFormat="false" ht="15" hidden="false" customHeight="false" outlineLevel="0" collapsed="false">
      <c r="B129" s="54" t="n">
        <v>120</v>
      </c>
      <c r="C129" s="9" t="s">
        <v>634</v>
      </c>
      <c r="D129" s="9" t="s">
        <v>635</v>
      </c>
      <c r="E129" s="10" t="n">
        <v>0.0832</v>
      </c>
      <c r="F129" s="55" t="n">
        <f aca="false">HY_Default_Grid!$C$18</f>
        <v>0.0832358496413976</v>
      </c>
      <c r="G129" s="39" t="n">
        <f aca="false">IFERROR(IF(ISNUMBER(F129),F129-E129,"n/a"),"n/a")</f>
        <v>3.58496413976339E-005</v>
      </c>
      <c r="H129" s="56" t="n">
        <v>5.0001E-005</v>
      </c>
      <c r="I129" s="53" t="str">
        <f aca="false">IFERROR(IF(ISNUMBER(F129),IF(ABS(F129-E129)&lt;=H129,"PASS","FAIL"),"FAIL"),"FAIL")</f>
        <v>PASS</v>
      </c>
    </row>
    <row r="130" customFormat="false" ht="15" hidden="false" customHeight="false" outlineLevel="0" collapsed="false">
      <c r="B130" s="54" t="n">
        <v>121</v>
      </c>
      <c r="C130" s="9" t="s">
        <v>634</v>
      </c>
      <c r="D130" s="9" t="s">
        <v>636</v>
      </c>
      <c r="E130" s="10" t="n">
        <v>0.0332</v>
      </c>
      <c r="F130" s="55" t="n">
        <f aca="false">HY_Default_Grid!$D$18</f>
        <v>0.0332428773936524</v>
      </c>
      <c r="G130" s="39" t="n">
        <f aca="false">IFERROR(IF(ISNUMBER(F130),F130-E130,"n/a"),"n/a")</f>
        <v>4.28773936523921E-005</v>
      </c>
      <c r="H130" s="56" t="n">
        <v>5.0001E-005</v>
      </c>
      <c r="I130" s="53" t="str">
        <f aca="false">IFERROR(IF(ISNUMBER(F130),IF(ABS(F130-E130)&lt;=H130,"PASS","FAIL"),"FAIL"),"FAIL")</f>
        <v>PASS</v>
      </c>
    </row>
    <row r="131" customFormat="false" ht="15" hidden="false" customHeight="false" outlineLevel="0" collapsed="false">
      <c r="B131" s="54" t="n">
        <v>122</v>
      </c>
      <c r="C131" s="9" t="s">
        <v>634</v>
      </c>
      <c r="D131" s="9" t="s">
        <v>637</v>
      </c>
      <c r="E131" s="10" t="n">
        <v>-0.0227</v>
      </c>
      <c r="F131" s="55" t="n">
        <f aca="false">HY_Default_Grid!$E$18</f>
        <v>-0.0227331144139129</v>
      </c>
      <c r="G131" s="39" t="n">
        <f aca="false">IFERROR(IF(ISNUMBER(F131),F131-E131,"n/a"),"n/a")</f>
        <v>-3.31144139129012E-005</v>
      </c>
      <c r="H131" s="56" t="n">
        <v>5.0001E-005</v>
      </c>
      <c r="I131" s="53" t="str">
        <f aca="false">IFERROR(IF(ISNUMBER(F131),IF(ABS(F131-E131)&lt;=H131,"PASS","FAIL"),"FAIL"),"FAIL")</f>
        <v>PASS</v>
      </c>
    </row>
    <row r="132" customFormat="false" ht="15" hidden="false" customHeight="false" outlineLevel="0" collapsed="false">
      <c r="B132" s="54" t="n">
        <v>123</v>
      </c>
      <c r="C132" s="9" t="s">
        <v>634</v>
      </c>
      <c r="D132" s="9" t="s">
        <v>638</v>
      </c>
      <c r="E132" s="10" t="n">
        <v>-0.0861</v>
      </c>
      <c r="F132" s="55" t="n">
        <f aca="false">HY_Default_Grid!$F$18</f>
        <v>-0.0861030965550614</v>
      </c>
      <c r="G132" s="39" t="n">
        <f aca="false">IFERROR(IF(ISNUMBER(F132),F132-E132,"n/a"),"n/a")</f>
        <v>-3.09655506143536E-006</v>
      </c>
      <c r="H132" s="56" t="n">
        <v>5.0001E-005</v>
      </c>
      <c r="I132" s="53" t="str">
        <f aca="false">IFERROR(IF(ISNUMBER(F132),IF(ABS(F132-E132)&lt;=H132,"PASS","FAIL"),"FAIL"),"FAIL")</f>
        <v>PASS</v>
      </c>
    </row>
    <row r="133" customFormat="false" ht="15" hidden="false" customHeight="false" outlineLevel="0" collapsed="false">
      <c r="B133" s="54" t="n">
        <v>124</v>
      </c>
      <c r="C133" s="9" t="s">
        <v>634</v>
      </c>
      <c r="D133" s="9" t="s">
        <v>639</v>
      </c>
      <c r="E133" s="10" t="n">
        <v>-0.1609</v>
      </c>
      <c r="F133" s="55" t="n">
        <f aca="false">HY_Default_Grid!$G$18</f>
        <v>-0.160856525122337</v>
      </c>
      <c r="G133" s="39" t="n">
        <f aca="false">IFERROR(IF(ISNUMBER(F133),F133-E133,"n/a"),"n/a")</f>
        <v>4.34748776631522E-005</v>
      </c>
      <c r="H133" s="56" t="n">
        <v>5.0001E-005</v>
      </c>
      <c r="I133" s="53" t="str">
        <f aca="false">IFERROR(IF(ISNUMBER(F133),IF(ABS(F133-E133)&lt;=H133,"PASS","FAIL"),"FAIL"),"FAIL")</f>
        <v>PASS</v>
      </c>
    </row>
    <row r="134" customFormat="false" ht="15" hidden="false" customHeight="false" outlineLevel="0" collapsed="false">
      <c r="B134" s="54" t="n">
        <v>125</v>
      </c>
      <c r="C134" s="9" t="s">
        <v>634</v>
      </c>
      <c r="D134" s="9" t="s">
        <v>640</v>
      </c>
      <c r="E134" s="10" t="n">
        <v>0.0832</v>
      </c>
      <c r="F134" s="55" t="n">
        <f aca="false">HY_Default_Grid!$C$19</f>
        <v>0.0832358496413976</v>
      </c>
      <c r="G134" s="39" t="n">
        <f aca="false">IFERROR(IF(ISNUMBER(F134),F134-E134,"n/a"),"n/a")</f>
        <v>3.58496413976339E-005</v>
      </c>
      <c r="H134" s="56" t="n">
        <v>5.0001E-005</v>
      </c>
      <c r="I134" s="53" t="str">
        <f aca="false">IFERROR(IF(ISNUMBER(F134),IF(ABS(F134-E134)&lt;=H134,"PASS","FAIL"),"FAIL"),"FAIL")</f>
        <v>PASS</v>
      </c>
    </row>
    <row r="135" customFormat="false" ht="15" hidden="false" customHeight="false" outlineLevel="0" collapsed="false">
      <c r="B135" s="54" t="n">
        <v>126</v>
      </c>
      <c r="C135" s="9" t="s">
        <v>634</v>
      </c>
      <c r="D135" s="9" t="s">
        <v>641</v>
      </c>
      <c r="E135" s="10" t="n">
        <v>0.0422</v>
      </c>
      <c r="F135" s="55" t="n">
        <f aca="false">HY_Default_Grid!$D$19</f>
        <v>0.0421815773308225</v>
      </c>
      <c r="G135" s="39" t="n">
        <f aca="false">IFERROR(IF(ISNUMBER(F135),F135-E135,"n/a"),"n/a")</f>
        <v>-1.84226691774814E-005</v>
      </c>
      <c r="H135" s="56" t="n">
        <v>5.0001E-005</v>
      </c>
      <c r="I135" s="53" t="str">
        <f aca="false">IFERROR(IF(ISNUMBER(F135),IF(ABS(F135-E135)&lt;=H135,"PASS","FAIL"),"FAIL"),"FAIL")</f>
        <v>PASS</v>
      </c>
    </row>
    <row r="136" customFormat="false" ht="15" hidden="false" customHeight="false" outlineLevel="0" collapsed="false">
      <c r="B136" s="54" t="n">
        <v>127</v>
      </c>
      <c r="C136" s="9" t="s">
        <v>634</v>
      </c>
      <c r="D136" s="9" t="s">
        <v>642</v>
      </c>
      <c r="E136" s="10" t="n">
        <v>-0.0033</v>
      </c>
      <c r="F136" s="55" t="n">
        <f aca="false">HY_Default_Grid!$E$19</f>
        <v>-0.00327681431979043</v>
      </c>
      <c r="G136" s="39" t="n">
        <f aca="false">IFERROR(IF(ISNUMBER(F136),F136-E136,"n/a"),"n/a")</f>
        <v>2.31856802095668E-005</v>
      </c>
      <c r="H136" s="56" t="n">
        <v>5.0001E-005</v>
      </c>
      <c r="I136" s="53" t="str">
        <f aca="false">IFERROR(IF(ISNUMBER(F136),IF(ABS(F136-E136)&lt;=H136,"PASS","FAIL"),"FAIL"),"FAIL")</f>
        <v>PASS</v>
      </c>
    </row>
    <row r="137" customFormat="false" ht="15" hidden="false" customHeight="false" outlineLevel="0" collapsed="false">
      <c r="B137" s="54" t="n">
        <v>128</v>
      </c>
      <c r="C137" s="9" t="s">
        <v>634</v>
      </c>
      <c r="D137" s="9" t="s">
        <v>643</v>
      </c>
      <c r="E137" s="10" t="n">
        <v>-0.0538</v>
      </c>
      <c r="F137" s="55" t="n">
        <f aca="false">HY_Default_Grid!$F$19</f>
        <v>-0.0537585023773277</v>
      </c>
      <c r="G137" s="39" t="n">
        <f aca="false">IFERROR(IF(ISNUMBER(F137),F137-E137,"n/a"),"n/a")</f>
        <v>4.14976226722902E-005</v>
      </c>
      <c r="H137" s="56" t="n">
        <v>5.0001E-005</v>
      </c>
      <c r="I137" s="53" t="str">
        <f aca="false">IFERROR(IF(ISNUMBER(F137),IF(ABS(F137-E137)&lt;=H137,"PASS","FAIL"),"FAIL"),"FAIL")</f>
        <v>PASS</v>
      </c>
    </row>
    <row r="138" customFormat="false" ht="15" hidden="false" customHeight="false" outlineLevel="0" collapsed="false">
      <c r="B138" s="54" t="n">
        <v>129</v>
      </c>
      <c r="C138" s="9" t="s">
        <v>634</v>
      </c>
      <c r="D138" s="9" t="s">
        <v>644</v>
      </c>
      <c r="E138" s="10" t="n">
        <v>-0.1117</v>
      </c>
      <c r="F138" s="55" t="n">
        <f aca="false">HY_Default_Grid!$G$19</f>
        <v>-0.111657902616308</v>
      </c>
      <c r="G138" s="39" t="n">
        <f aca="false">IFERROR(IF(ISNUMBER(F138),F138-E138,"n/a"),"n/a")</f>
        <v>4.2097383691958E-005</v>
      </c>
      <c r="H138" s="56" t="n">
        <v>5.0001E-005</v>
      </c>
      <c r="I138" s="53" t="str">
        <f aca="false">IFERROR(IF(ISNUMBER(F138),IF(ABS(F138-E138)&lt;=H138,"PASS","FAIL"),"FAIL"),"FAIL")</f>
        <v>PASS</v>
      </c>
    </row>
    <row r="139" customFormat="false" ht="15" hidden="false" customHeight="false" outlineLevel="0" collapsed="false">
      <c r="B139" s="54" t="n">
        <v>130</v>
      </c>
      <c r="C139" s="9" t="s">
        <v>634</v>
      </c>
      <c r="D139" s="9" t="s">
        <v>645</v>
      </c>
      <c r="E139" s="10" t="n">
        <v>0.0832</v>
      </c>
      <c r="F139" s="55" t="n">
        <f aca="false">HY_Default_Grid!$C$20</f>
        <v>0.0832358496413976</v>
      </c>
      <c r="G139" s="39" t="n">
        <f aca="false">IFERROR(IF(ISNUMBER(F139),F139-E139,"n/a"),"n/a")</f>
        <v>3.58496413976339E-005</v>
      </c>
      <c r="H139" s="56" t="n">
        <v>5.0001E-005</v>
      </c>
      <c r="I139" s="53" t="str">
        <f aca="false">IFERROR(IF(ISNUMBER(F139),IF(ABS(F139-E139)&lt;=H139,"PASS","FAIL"),"FAIL"),"FAIL")</f>
        <v>PASS</v>
      </c>
    </row>
    <row r="140" customFormat="false" ht="15" hidden="false" customHeight="false" outlineLevel="0" collapsed="false">
      <c r="B140" s="54" t="n">
        <v>131</v>
      </c>
      <c r="C140" s="9" t="s">
        <v>634</v>
      </c>
      <c r="D140" s="9" t="s">
        <v>646</v>
      </c>
      <c r="E140" s="10" t="n">
        <v>0.051</v>
      </c>
      <c r="F140" s="55" t="n">
        <f aca="false">HY_Default_Grid!$D$20</f>
        <v>0.0510343553507282</v>
      </c>
      <c r="G140" s="39" t="n">
        <f aca="false">IFERROR(IF(ISNUMBER(F140),F140-E140,"n/a"),"n/a")</f>
        <v>3.43553507282032E-005</v>
      </c>
      <c r="H140" s="56" t="n">
        <v>5.0001E-005</v>
      </c>
      <c r="I140" s="53" t="str">
        <f aca="false">IFERROR(IF(ISNUMBER(F140),IF(ABS(F140-E140)&lt;=H140,"PASS","FAIL"),"FAIL"),"FAIL")</f>
        <v>PASS</v>
      </c>
    </row>
    <row r="141" customFormat="false" ht="15" hidden="false" customHeight="false" outlineLevel="0" collapsed="false">
      <c r="B141" s="54" t="n">
        <v>132</v>
      </c>
      <c r="C141" s="9" t="s">
        <v>634</v>
      </c>
      <c r="D141" s="9" t="s">
        <v>647</v>
      </c>
      <c r="E141" s="10" t="n">
        <v>0.0157</v>
      </c>
      <c r="F141" s="55" t="n">
        <f aca="false">HY_Default_Grid!$E$20</f>
        <v>0.0157481690831436</v>
      </c>
      <c r="G141" s="39" t="n">
        <f aca="false">IFERROR(IF(ISNUMBER(F141),F141-E141,"n/a"),"n/a")</f>
        <v>4.8169083143583E-005</v>
      </c>
      <c r="H141" s="56" t="n">
        <v>5.0001E-005</v>
      </c>
      <c r="I141" s="53" t="str">
        <f aca="false">IFERROR(IF(ISNUMBER(F141),IF(ABS(F141-E141)&lt;=H141,"PASS","FAIL"),"FAIL"),"FAIL")</f>
        <v>PASS</v>
      </c>
    </row>
    <row r="142" customFormat="false" ht="15" hidden="false" customHeight="false" outlineLevel="0" collapsed="false">
      <c r="B142" s="54" t="n">
        <v>133</v>
      </c>
      <c r="C142" s="9" t="s">
        <v>634</v>
      </c>
      <c r="D142" s="9" t="s">
        <v>648</v>
      </c>
      <c r="E142" s="10" t="n">
        <v>-0.0227</v>
      </c>
      <c r="F142" s="55" t="n">
        <f aca="false">HY_Default_Grid!$F$20</f>
        <v>-0.0226912277354683</v>
      </c>
      <c r="G142" s="39" t="n">
        <f aca="false">IFERROR(IF(ISNUMBER(F142),F142-E142,"n/a"),"n/a")</f>
        <v>8.77226453172356E-006</v>
      </c>
      <c r="H142" s="56" t="n">
        <v>5.0001E-005</v>
      </c>
      <c r="I142" s="53" t="str">
        <f aca="false">IFERROR(IF(ISNUMBER(F142),IF(ABS(F142-E142)&lt;=H142,"PASS","FAIL"),"FAIL"),"FAIL")</f>
        <v>PASS</v>
      </c>
    </row>
    <row r="143" customFormat="false" ht="15" hidden="false" customHeight="false" outlineLevel="0" collapsed="false">
      <c r="B143" s="54" t="n">
        <v>134</v>
      </c>
      <c r="C143" s="9" t="s">
        <v>634</v>
      </c>
      <c r="D143" s="9" t="s">
        <v>649</v>
      </c>
      <c r="E143" s="10" t="n">
        <v>-0.0657</v>
      </c>
      <c r="F143" s="55" t="n">
        <f aca="false">HY_Default_Grid!$G$20</f>
        <v>-0.0656770399067929</v>
      </c>
      <c r="G143" s="39" t="n">
        <f aca="false">IFERROR(IF(ISNUMBER(F143),F143-E143,"n/a"),"n/a")</f>
        <v>2.29600932071528E-005</v>
      </c>
      <c r="H143" s="56" t="n">
        <v>5.0001E-005</v>
      </c>
      <c r="I143" s="53" t="str">
        <f aca="false">IFERROR(IF(ISNUMBER(F143),IF(ABS(F143-E143)&lt;=H143,"PASS","FAIL"),"FAIL"),"FAIL")</f>
        <v>PASS</v>
      </c>
    </row>
    <row r="144" customFormat="false" ht="15" hidden="false" customHeight="true" outlineLevel="0" collapsed="false">
      <c r="B144" s="54" t="n">
        <v>135</v>
      </c>
      <c r="C144" s="9" t="s">
        <v>634</v>
      </c>
      <c r="D144" s="60" t="s">
        <v>650</v>
      </c>
      <c r="E144" s="49" t="s">
        <v>558</v>
      </c>
      <c r="F144" s="61" t="str">
        <f aca="false">IFERROR(IF(AND(ABS(HY_Default_Grid!C18-HY_Default_Grid!C19)&lt;0.000000000001,ABS(HY_Default_Grid!C18-HY_Default_Grid!C20)&lt;0.000000000001),"holds","does not hold"),"error")</f>
        <v>holds</v>
      </c>
      <c r="G144" s="9"/>
      <c r="H144" s="9"/>
      <c r="I144" s="53" t="str">
        <f aca="false">IFERROR(IF(AND(ABS(HY_Default_Grid!C18-HY_Default_Grid!C19)&lt;0.000000000001,ABS(HY_Default_Grid!C18-HY_Default_Grid!C20)&lt;0.000000000001),"PASS","FAIL"),"FAIL")</f>
        <v>PASS</v>
      </c>
    </row>
    <row r="145" customFormat="false" ht="15" hidden="false" customHeight="true" outlineLevel="0" collapsed="false">
      <c r="B145" s="54" t="n">
        <v>136</v>
      </c>
      <c r="C145" s="9" t="s">
        <v>634</v>
      </c>
      <c r="D145" s="60" t="s">
        <v>651</v>
      </c>
      <c r="E145" s="49" t="s">
        <v>558</v>
      </c>
      <c r="F145" s="61" t="str">
        <f aca="false">IFERROR(IF(AND(HY_Default_Grid!D18&lt;HY_Default_Grid!C18,HY_Default_Grid!E18&lt;HY_Default_Grid!D18,HY_Default_Grid!F18&lt;HY_Default_Grid!E18,HY_Default_Grid!G18&lt;HY_Default_Grid!F18,HY_Default_Grid!D19&lt;HY_Default_Grid!C19,HY_Default_Grid!E19&lt;HY_Default_Grid!D19,HY_Default_Grid!F19&lt;HY_Default_Grid!E19,HY_Default_Grid!G19&lt;HY_Default_Grid!F19,HY_Default_Grid!D20&lt;HY_Default_Grid!C20,HY_Default_Grid!E20&lt;HY_Default_Grid!D20,HY_Default_Grid!F20&lt;HY_Default_Grid!E20,HY_Default_Grid!G20&lt;HY_Default_Grid!F20),"holds","does not hold"),"error")</f>
        <v>holds</v>
      </c>
      <c r="G145" s="9"/>
      <c r="H145" s="9"/>
      <c r="I145" s="53" t="str">
        <f aca="false">IFERROR(IF(AND(HY_Default_Grid!D18&lt;HY_Default_Grid!C18,HY_Default_Grid!E18&lt;HY_Default_Grid!D18,HY_Default_Grid!F18&lt;HY_Default_Grid!E18,HY_Default_Grid!G18&lt;HY_Default_Grid!F18,HY_Default_Grid!D19&lt;HY_Default_Grid!C19,HY_Default_Grid!E19&lt;HY_Default_Grid!D19,HY_Default_Grid!F19&lt;HY_Default_Grid!E19,HY_Default_Grid!G19&lt;HY_Default_Grid!F19,HY_Default_Grid!D20&lt;HY_Default_Grid!C20,HY_Default_Grid!E20&lt;HY_Default_Grid!D20,HY_Default_Grid!F20&lt;HY_Default_Grid!E20,HY_Default_Grid!G20&lt;HY_Default_Grid!F20),"PASS","FAIL"),"FAIL")</f>
        <v>PASS</v>
      </c>
    </row>
    <row r="146" customFormat="false" ht="15" hidden="false" customHeight="true" outlineLevel="0" collapsed="false">
      <c r="B146" s="54" t="n">
        <v>137</v>
      </c>
      <c r="C146" s="9" t="s">
        <v>652</v>
      </c>
      <c r="D146" s="60" t="s">
        <v>653</v>
      </c>
      <c r="E146" s="49" t="s">
        <v>558</v>
      </c>
      <c r="F146" s="61" t="str">
        <f aca="false">IFERROR(IF(ABS(Duration!$C$24-Duration!$C$31)&lt;0.000000001,"holds","does not hold"),"error")</f>
        <v>holds</v>
      </c>
      <c r="G146" s="9"/>
      <c r="H146" s="9"/>
      <c r="I146" s="53" t="str">
        <f aca="false">IFERROR(IF(ABS(Duration!$C$24-Duration!$C$31)&lt;0.000000001,"PASS","FAIL"),"FAIL")</f>
        <v>PASS</v>
      </c>
    </row>
    <row r="147" customFormat="false" ht="15" hidden="false" customHeight="false" outlineLevel="0" collapsed="false">
      <c r="B147" s="54" t="n">
        <v>138</v>
      </c>
      <c r="C147" s="9" t="s">
        <v>652</v>
      </c>
      <c r="D147" s="9" t="s">
        <v>654</v>
      </c>
      <c r="E147" s="10" t="n">
        <v>0.0545</v>
      </c>
      <c r="F147" s="55" t="n">
        <f aca="false">Duration!$C$5</f>
        <v>0.0545</v>
      </c>
      <c r="G147" s="39" t="n">
        <f aca="false">IFERROR(IF(ISNUMBER(F147),F147-E147,"n/a"),"n/a")</f>
        <v>0</v>
      </c>
      <c r="H147" s="56" t="n">
        <v>5.0001E-005</v>
      </c>
      <c r="I147" s="53" t="str">
        <f aca="false">IFERROR(IF(ISNUMBER(F147),IF(ABS(F147-E147)&lt;=H147,"PASS","FAIL"),"FAIL"),"FAIL")</f>
        <v>PASS</v>
      </c>
    </row>
    <row r="148" customFormat="false" ht="15" hidden="false" customHeight="false" outlineLevel="0" collapsed="false">
      <c r="B148" s="54" t="n">
        <v>139</v>
      </c>
      <c r="C148" s="9" t="s">
        <v>652</v>
      </c>
      <c r="D148" s="9" t="s">
        <v>655</v>
      </c>
      <c r="E148" s="18" t="n">
        <v>5.2</v>
      </c>
      <c r="F148" s="48" t="n">
        <f aca="false">Duration!$C$25</f>
        <v>5.1975804197976</v>
      </c>
      <c r="G148" s="39" t="n">
        <f aca="false">IFERROR(IF(ISNUMBER(F148),F148-E148,"n/a"),"n/a")</f>
        <v>-0.00241958020240229</v>
      </c>
      <c r="H148" s="56" t="n">
        <v>0.005000001</v>
      </c>
      <c r="I148" s="53" t="str">
        <f aca="false">IFERROR(IF(ISNUMBER(F148),IF(ABS(F148-E148)&lt;=H148,"PASS","FAIL"),"FAIL"),"FAIL")</f>
        <v>PASS</v>
      </c>
    </row>
    <row r="149" customFormat="false" ht="15" hidden="false" customHeight="false" outlineLevel="0" collapsed="false">
      <c r="B149" s="54" t="n">
        <v>140</v>
      </c>
      <c r="C149" s="9" t="s">
        <v>652</v>
      </c>
      <c r="D149" s="9" t="s">
        <v>656</v>
      </c>
      <c r="E149" s="18" t="n">
        <v>5.06</v>
      </c>
      <c r="F149" s="48" t="n">
        <f aca="false">Duration!$C$26</f>
        <v>5.05970349943792</v>
      </c>
      <c r="G149" s="39" t="n">
        <f aca="false">IFERROR(IF(ISNUMBER(F149),F149-E149,"n/a"),"n/a")</f>
        <v>-0.000296500562084745</v>
      </c>
      <c r="H149" s="56" t="n">
        <v>0.005000001</v>
      </c>
      <c r="I149" s="53" t="str">
        <f aca="false">IFERROR(IF(ISNUMBER(F149),IF(ABS(F149-E149)&lt;=H149,"PASS","FAIL"),"FAIL"),"FAIL")</f>
        <v>PASS</v>
      </c>
    </row>
    <row r="150" customFormat="false" ht="15" hidden="false" customHeight="false" outlineLevel="0" collapsed="false">
      <c r="B150" s="54" t="n">
        <v>141</v>
      </c>
      <c r="C150" s="9" t="s">
        <v>652</v>
      </c>
      <c r="D150" s="9" t="s">
        <v>657</v>
      </c>
      <c r="E150" s="62" t="n">
        <v>30.4</v>
      </c>
      <c r="F150" s="51" t="n">
        <f aca="false">Duration!$C$27</f>
        <v>30.4403522940709</v>
      </c>
      <c r="G150" s="39" t="n">
        <f aca="false">IFERROR(IF(ISNUMBER(F150),F150-E150,"n/a"),"n/a")</f>
        <v>0.0403522940708747</v>
      </c>
      <c r="H150" s="56" t="n">
        <v>0.050000001</v>
      </c>
      <c r="I150" s="53" t="str">
        <f aca="false">IFERROR(IF(ISNUMBER(F150),IF(ABS(F150-E150)&lt;=H150,"PASS","FAIL"),"FAIL"),"FAIL")</f>
        <v>PASS</v>
      </c>
    </row>
    <row r="151" customFormat="false" ht="15" hidden="false" customHeight="false" outlineLevel="0" collapsed="false">
      <c r="B151" s="54" t="n">
        <v>142</v>
      </c>
      <c r="C151" s="9" t="s">
        <v>652</v>
      </c>
      <c r="D151" s="9" t="s">
        <v>658</v>
      </c>
      <c r="E151" s="18" t="n">
        <v>95.09</v>
      </c>
      <c r="F151" s="48" t="n">
        <f aca="false">Duration!$C$28</f>
        <v>95.0891878027261</v>
      </c>
      <c r="G151" s="39" t="n">
        <f aca="false">IFERROR(IF(ISNUMBER(F151),F151-E151,"n/a"),"n/a")</f>
        <v>-0.000812197273916127</v>
      </c>
      <c r="H151" s="56" t="n">
        <v>0.005000001</v>
      </c>
      <c r="I151" s="53" t="str">
        <f aca="false">IFERROR(IF(ISNUMBER(F151),IF(ABS(F151-E151)&lt;=H151,"PASS","FAIL"),"FAIL"),"FAIL")</f>
        <v>PASS</v>
      </c>
    </row>
    <row r="152" customFormat="false" ht="15" hidden="false" customHeight="false" outlineLevel="0" collapsed="false">
      <c r="B152" s="54" t="n">
        <v>143</v>
      </c>
      <c r="C152" s="9" t="s">
        <v>652</v>
      </c>
      <c r="D152" s="9" t="s">
        <v>659</v>
      </c>
      <c r="E152" s="10" t="n">
        <v>-0.0491</v>
      </c>
      <c r="F152" s="55" t="n">
        <f aca="false">Duration!$C$33</f>
        <v>-0.0491081219727392</v>
      </c>
      <c r="G152" s="39" t="n">
        <f aca="false">IFERROR(IF(ISNUMBER(F152),F152-E152,"n/a"),"n/a")</f>
        <v>-8.12197273917376E-006</v>
      </c>
      <c r="H152" s="56" t="n">
        <v>5.0001E-005</v>
      </c>
      <c r="I152" s="53" t="str">
        <f aca="false">IFERROR(IF(ISNUMBER(F152),IF(ABS(F152-E152)&lt;=H152,"PASS","FAIL"),"FAIL"),"FAIL")</f>
        <v>PASS</v>
      </c>
    </row>
    <row r="153" customFormat="false" ht="15" hidden="false" customHeight="false" outlineLevel="0" collapsed="false">
      <c r="B153" s="54" t="n">
        <v>144</v>
      </c>
      <c r="C153" s="9" t="s">
        <v>652</v>
      </c>
      <c r="D153" s="9" t="s">
        <v>660</v>
      </c>
      <c r="E153" s="10" t="n">
        <v>-0.0506</v>
      </c>
      <c r="F153" s="55" t="n">
        <f aca="false">Duration!$C$34</f>
        <v>-0.0505970349943792</v>
      </c>
      <c r="G153" s="39" t="n">
        <f aca="false">IFERROR(IF(ISNUMBER(F153),F153-E153,"n/a"),"n/a")</f>
        <v>2.96500562085161E-006</v>
      </c>
      <c r="H153" s="56" t="n">
        <v>5.0001E-005</v>
      </c>
      <c r="I153" s="53" t="str">
        <f aca="false">IFERROR(IF(ISNUMBER(F153),IF(ABS(F153-E153)&lt;=H153,"PASS","FAIL"),"FAIL"),"FAIL")</f>
        <v>PASS</v>
      </c>
    </row>
    <row r="154" customFormat="false" ht="15" hidden="false" customHeight="false" outlineLevel="0" collapsed="false">
      <c r="B154" s="54" t="n">
        <v>145</v>
      </c>
      <c r="C154" s="9" t="s">
        <v>652</v>
      </c>
      <c r="D154" s="9" t="s">
        <v>661</v>
      </c>
      <c r="E154" s="10" t="n">
        <v>-0.0491</v>
      </c>
      <c r="F154" s="55" t="n">
        <f aca="false">Duration!$C$35</f>
        <v>-0.0490750173796756</v>
      </c>
      <c r="G154" s="39" t="n">
        <f aca="false">IFERROR(IF(ISNUMBER(F154),F154-E154,"n/a"),"n/a")</f>
        <v>2.49826203243958E-005</v>
      </c>
      <c r="H154" s="56" t="n">
        <v>5.0001E-005</v>
      </c>
      <c r="I154" s="53" t="str">
        <f aca="false">IFERROR(IF(ISNUMBER(F154),IF(ABS(F154-E154)&lt;=H154,"PASS","FAIL"),"FAIL"),"FAIL")</f>
        <v>PASS</v>
      </c>
    </row>
    <row r="155" customFormat="false" ht="15" hidden="false" customHeight="false" outlineLevel="0" collapsed="false">
      <c r="B155" s="54" t="n">
        <v>146</v>
      </c>
      <c r="C155" s="9" t="s">
        <v>652</v>
      </c>
      <c r="D155" s="9" t="s">
        <v>662</v>
      </c>
      <c r="E155" s="18" t="n">
        <v>105.22</v>
      </c>
      <c r="F155" s="48" t="n">
        <f aca="false">Duration!$C$29</f>
        <v>105.215336900422</v>
      </c>
      <c r="G155" s="39" t="n">
        <f aca="false">IFERROR(IF(ISNUMBER(F155),F155-E155,"n/a"),"n/a")</f>
        <v>-0.00466309957832323</v>
      </c>
      <c r="H155" s="56" t="n">
        <v>0.005000001</v>
      </c>
      <c r="I155" s="53" t="str">
        <f aca="false">IFERROR(IF(ISNUMBER(F155),IF(ABS(F155-E155)&lt;=H155,"PASS","FAIL"),"FAIL"),"FAIL")</f>
        <v>PASS</v>
      </c>
    </row>
    <row r="156" customFormat="false" ht="15" hidden="false" customHeight="false" outlineLevel="0" collapsed="false">
      <c r="B156" s="54" t="n">
        <v>147</v>
      </c>
      <c r="C156" s="9" t="s">
        <v>652</v>
      </c>
      <c r="D156" s="9" t="s">
        <v>663</v>
      </c>
      <c r="E156" s="18" t="n">
        <v>90.46</v>
      </c>
      <c r="F156" s="48" t="n">
        <f aca="false">Duration!$C$30</f>
        <v>90.4633792740816</v>
      </c>
      <c r="G156" s="39" t="n">
        <f aca="false">IFERROR(IF(ISNUMBER(F156),F156-E156,"n/a"),"n/a")</f>
        <v>0.00337927408155281</v>
      </c>
      <c r="H156" s="56" t="n">
        <v>0.005000001</v>
      </c>
      <c r="I156" s="53" t="str">
        <f aca="false">IFERROR(IF(ISNUMBER(F156),IF(ABS(F156-E156)&lt;=H156,"PASS","FAIL"),"FAIL"),"FAIL")</f>
        <v>PASS</v>
      </c>
    </row>
    <row r="157" customFormat="false" ht="15" hidden="false" customHeight="true" outlineLevel="0" collapsed="false">
      <c r="B157" s="54" t="n">
        <v>148</v>
      </c>
      <c r="C157" s="9" t="s">
        <v>652</v>
      </c>
      <c r="D157" s="60" t="s">
        <v>664</v>
      </c>
      <c r="E157" s="49" t="s">
        <v>558</v>
      </c>
      <c r="F157" s="61" t="str">
        <f aca="false">IFERROR(IF(ABS(Duration!$C$24-100)&lt;0.000000001,"holds","does not hold"),"error")</f>
        <v>holds</v>
      </c>
      <c r="G157" s="9"/>
      <c r="H157" s="9"/>
      <c r="I157" s="53" t="str">
        <f aca="false">IFERROR(IF(ABS(Duration!$C$24-100)&lt;0.000000001,"PASS","FAIL"),"FAIL")</f>
        <v>PASS</v>
      </c>
    </row>
    <row r="158" customFormat="false" ht="15" hidden="false" customHeight="true" outlineLevel="0" collapsed="false">
      <c r="B158" s="54" t="n">
        <v>149</v>
      </c>
      <c r="C158" s="9" t="s">
        <v>652</v>
      </c>
      <c r="D158" s="60" t="s">
        <v>665</v>
      </c>
      <c r="E158" s="49" t="s">
        <v>558</v>
      </c>
      <c r="F158" s="61" t="str">
        <f aca="false">IFERROR(IF(Duration!$C$29-100&gt;100-Duration!$C$28,"holds","does not hold"),"error")</f>
        <v>holds</v>
      </c>
      <c r="G158" s="9"/>
      <c r="H158" s="9"/>
      <c r="I158" s="53" t="str">
        <f aca="false">IFERROR(IF(Duration!$C$29-100&gt;100-Duration!$C$28,"PASS","FAIL"),"FAIL")</f>
        <v>PASS</v>
      </c>
    </row>
    <row r="159" customFormat="false" ht="15" hidden="false" customHeight="true" outlineLevel="0" collapsed="false">
      <c r="B159" s="54" t="n">
        <v>150</v>
      </c>
      <c r="C159" s="9" t="s">
        <v>652</v>
      </c>
      <c r="D159" s="60" t="s">
        <v>666</v>
      </c>
      <c r="E159" s="49" t="s">
        <v>558</v>
      </c>
      <c r="F159" s="61" t="str">
        <f aca="false">IFERROR(IF(ABS(Duration!$C$55-Duration!$C$60)&lt;0.000000001,"holds","does not hold"),"error")</f>
        <v>holds</v>
      </c>
      <c r="G159" s="9"/>
      <c r="H159" s="9"/>
      <c r="I159" s="53" t="str">
        <f aca="false">IFERROR(IF(ABS(Duration!$C$55-Duration!$C$60)&lt;0.000000001,"PASS","FAIL"),"FAIL")</f>
        <v>PASS</v>
      </c>
    </row>
    <row r="160" customFormat="false" ht="15" hidden="false" customHeight="true" outlineLevel="0" collapsed="false">
      <c r="B160" s="54" t="n">
        <v>151</v>
      </c>
      <c r="C160" s="9" t="s">
        <v>652</v>
      </c>
      <c r="D160" s="60" t="s">
        <v>667</v>
      </c>
      <c r="E160" s="49" t="s">
        <v>558</v>
      </c>
      <c r="F160" s="61" t="str">
        <f aca="false">IFERROR(IF(ABS(Duration!$C$80-Duration!$C$84)&lt;0.000000001,"holds","does not hold"),"error")</f>
        <v>holds</v>
      </c>
      <c r="G160" s="9"/>
      <c r="H160" s="9"/>
      <c r="I160" s="53" t="str">
        <f aca="false">IFERROR(IF(ABS(Duration!$C$80-Duration!$C$84)&lt;0.000000001,"PASS","FAIL"),"FAIL")</f>
        <v>PASS</v>
      </c>
    </row>
    <row r="161" customFormat="false" ht="15" hidden="false" customHeight="true" outlineLevel="0" collapsed="false">
      <c r="B161" s="54" t="n">
        <v>152</v>
      </c>
      <c r="C161" s="9" t="s">
        <v>652</v>
      </c>
      <c r="D161" s="60" t="s">
        <v>668</v>
      </c>
      <c r="E161" s="49" t="s">
        <v>558</v>
      </c>
      <c r="F161" s="61" t="str">
        <f aca="false">IFERROR(IF(ABS(Duration!$C$104-Duration!$C$108)&lt;0.000000001,"holds","does not hold"),"error")</f>
        <v>holds</v>
      </c>
      <c r="G161" s="9"/>
      <c r="H161" s="9"/>
      <c r="I161" s="53" t="str">
        <f aca="false">IFERROR(IF(ABS(Duration!$C$104-Duration!$C$108)&lt;0.000000001,"PASS","FAIL"),"FAIL")</f>
        <v>PASS</v>
      </c>
    </row>
    <row r="162" customFormat="false" ht="15" hidden="false" customHeight="true" outlineLevel="0" collapsed="false">
      <c r="B162" s="54" t="n">
        <v>153</v>
      </c>
      <c r="C162" s="9" t="s">
        <v>652</v>
      </c>
      <c r="D162" s="60" t="s">
        <v>669</v>
      </c>
      <c r="E162" s="49" t="s">
        <v>558</v>
      </c>
      <c r="F162" s="61" t="str">
        <f aca="false">IFERROR(IF(ABS(Duration!$C$128-Duration!$C$132)&lt;0.000000001,"holds","does not hold"),"error")</f>
        <v>holds</v>
      </c>
      <c r="G162" s="9"/>
      <c r="H162" s="9"/>
      <c r="I162" s="53" t="str">
        <f aca="false">IFERROR(IF(ABS(Duration!$C$128-Duration!$C$132)&lt;0.000000001,"PASS","FAIL"),"FAIL")</f>
        <v>PASS</v>
      </c>
    </row>
    <row r="163" customFormat="false" ht="15" hidden="false" customHeight="false" outlineLevel="0" collapsed="false">
      <c r="B163" s="54" t="n">
        <v>154</v>
      </c>
      <c r="C163" s="9" t="s">
        <v>652</v>
      </c>
      <c r="D163" s="9" t="s">
        <v>670</v>
      </c>
      <c r="E163" s="10" t="n">
        <v>0.048</v>
      </c>
      <c r="F163" s="55" t="n">
        <f aca="false">Duration!$C$37</f>
        <v>0.048</v>
      </c>
      <c r="G163" s="39" t="n">
        <f aca="false">IFERROR(IF(ISNUMBER(F163),F163-E163,"n/a"),"n/a")</f>
        <v>0</v>
      </c>
      <c r="H163" s="56" t="n">
        <v>5.0001E-005</v>
      </c>
      <c r="I163" s="53" t="str">
        <f aca="false">IFERROR(IF(ISNUMBER(F163),IF(ABS(F163-E163)&lt;=H163,"PASS","FAIL"),"FAIL"),"FAIL")</f>
        <v>PASS</v>
      </c>
    </row>
    <row r="164" customFormat="false" ht="15" hidden="false" customHeight="false" outlineLevel="0" collapsed="false">
      <c r="B164" s="54" t="n">
        <v>155</v>
      </c>
      <c r="C164" s="9" t="s">
        <v>652</v>
      </c>
      <c r="D164" s="9" t="s">
        <v>671</v>
      </c>
      <c r="E164" s="18" t="n">
        <v>1.89</v>
      </c>
      <c r="F164" s="48" t="n">
        <f aca="false">Duration!$C$57</f>
        <v>1.88552704639733</v>
      </c>
      <c r="G164" s="39" t="n">
        <f aca="false">IFERROR(IF(ISNUMBER(F164),F164-E164,"n/a"),"n/a")</f>
        <v>-0.00447295360267153</v>
      </c>
      <c r="H164" s="56" t="n">
        <v>0.005000001</v>
      </c>
      <c r="I164" s="53" t="str">
        <f aca="false">IFERROR(IF(ISNUMBER(F164),IF(ABS(F164-E164)&lt;=H164,"PASS","FAIL"),"FAIL"),"FAIL")</f>
        <v>PASS</v>
      </c>
    </row>
    <row r="165" customFormat="false" ht="15" hidden="false" customHeight="false" outlineLevel="0" collapsed="false">
      <c r="B165" s="54" t="n">
        <v>156</v>
      </c>
      <c r="C165" s="9" t="s">
        <v>652</v>
      </c>
      <c r="D165" s="9" t="s">
        <v>672</v>
      </c>
      <c r="E165" s="18" t="n">
        <v>98.14</v>
      </c>
      <c r="F165" s="48" t="n">
        <f aca="false">Duration!$C$59</f>
        <v>98.136997830781</v>
      </c>
      <c r="G165" s="39" t="n">
        <f aca="false">IFERROR(IF(ISNUMBER(F165),F165-E165,"n/a"),"n/a")</f>
        <v>-0.00300216921901608</v>
      </c>
      <c r="H165" s="56" t="n">
        <v>0.005000001</v>
      </c>
      <c r="I165" s="53" t="str">
        <f aca="false">IFERROR(IF(ISNUMBER(F165),IF(ABS(F165-E165)&lt;=H165,"PASS","FAIL"),"FAIL"),"FAIL")</f>
        <v>PASS</v>
      </c>
    </row>
    <row r="166" customFormat="false" ht="15" hidden="false" customHeight="false" outlineLevel="0" collapsed="false">
      <c r="B166" s="54" t="n">
        <v>157</v>
      </c>
      <c r="C166" s="9" t="s">
        <v>652</v>
      </c>
      <c r="D166" s="9" t="s">
        <v>673</v>
      </c>
      <c r="E166" s="18" t="n">
        <v>3.52</v>
      </c>
      <c r="F166" s="48" t="n">
        <f aca="false">Duration!$C$134</f>
        <v>3.52350723728783</v>
      </c>
      <c r="G166" s="39" t="n">
        <f aca="false">IFERROR(IF(ISNUMBER(F166),F166-E166,"n/a"),"n/a")</f>
        <v>0.00350723728782976</v>
      </c>
      <c r="H166" s="56" t="n">
        <v>0.005000001</v>
      </c>
      <c r="I166" s="53" t="str">
        <f aca="false">IFERROR(IF(ISNUMBER(F166),IF(ABS(F166-E166)&lt;=H166,"PASS","FAIL"),"FAIL"),"FAIL")</f>
        <v>PASS</v>
      </c>
    </row>
    <row r="167" customFormat="false" ht="15" hidden="false" customHeight="true" outlineLevel="0" collapsed="false">
      <c r="B167" s="54" t="n">
        <v>158</v>
      </c>
      <c r="C167" s="9" t="s">
        <v>652</v>
      </c>
      <c r="D167" s="60" t="s">
        <v>674</v>
      </c>
      <c r="E167" s="49" t="s">
        <v>558</v>
      </c>
      <c r="F167" s="61" t="str">
        <f aca="false">IFERROR(IF(ABS(Duration!$C$154-Duration!$C$158)&lt;0.000000001,"holds","does not hold"),"error")</f>
        <v>holds</v>
      </c>
      <c r="G167" s="9"/>
      <c r="H167" s="9"/>
      <c r="I167" s="53" t="str">
        <f aca="false">IFERROR(IF(ABS(Duration!$C$154-Duration!$C$158)&lt;0.000000001,"PASS","FAIL"),"FAIL")</f>
        <v>PASS</v>
      </c>
    </row>
    <row r="168" customFormat="false" ht="15" hidden="false" customHeight="false" outlineLevel="0" collapsed="false">
      <c r="B168" s="54" t="n">
        <v>159</v>
      </c>
      <c r="C168" s="9" t="s">
        <v>652</v>
      </c>
      <c r="D168" s="9" t="s">
        <v>675</v>
      </c>
      <c r="E168" s="18" t="n">
        <v>3.95</v>
      </c>
      <c r="F168" s="48" t="n">
        <f aca="false">Duration!$C$156</f>
        <v>3.94682946501708</v>
      </c>
      <c r="G168" s="39" t="n">
        <f aca="false">IFERROR(IF(ISNUMBER(F168),F168-E168,"n/a"),"n/a")</f>
        <v>-0.00317053498291964</v>
      </c>
      <c r="H168" s="56" t="n">
        <v>0.005000001</v>
      </c>
      <c r="I168" s="53" t="str">
        <f aca="false">IFERROR(IF(ISNUMBER(F168),IF(ABS(F168-E168)&lt;=H168,"PASS","FAIL"),"FAIL"),"FAIL")</f>
        <v>PASS</v>
      </c>
    </row>
    <row r="169" customFormat="false" ht="15" hidden="false" customHeight="true" outlineLevel="0" collapsed="false">
      <c r="B169" s="54" t="n">
        <v>160</v>
      </c>
      <c r="C169" s="9" t="s">
        <v>652</v>
      </c>
      <c r="D169" s="60" t="s">
        <v>676</v>
      </c>
      <c r="E169" s="49" t="s">
        <v>558</v>
      </c>
      <c r="F169" s="61" t="str">
        <f aca="false">IFERROR(IF(ABS(Duration!$C$154-Assumptions!$E$37)&lt;0.0000001,"holds","does not hold"),"error")</f>
        <v>holds</v>
      </c>
      <c r="G169" s="9"/>
      <c r="H169" s="9"/>
      <c r="I169" s="53" t="str">
        <f aca="false">IFERROR(IF(ABS(Duration!$C$154-Assumptions!$E$37)&lt;0.0000001,"PASS","FAIL"),"FAIL")</f>
        <v>PASS</v>
      </c>
    </row>
    <row r="170" customFormat="false" ht="15" hidden="false" customHeight="false" outlineLevel="0" collapsed="false">
      <c r="B170" s="54" t="n">
        <v>161</v>
      </c>
      <c r="C170" s="9" t="s">
        <v>677</v>
      </c>
      <c r="D170" s="9" t="s">
        <v>678</v>
      </c>
      <c r="E170" s="12" t="n">
        <v>0.35</v>
      </c>
      <c r="F170" s="17" t="n">
        <f aca="false">CLO_Tranches!$C$5</f>
        <v>0.35</v>
      </c>
      <c r="G170" s="39" t="n">
        <f aca="false">IFERROR(IF(ISNUMBER(F170),F170-E170,"n/a"),"n/a")</f>
        <v>0</v>
      </c>
      <c r="H170" s="56" t="n">
        <v>0.005000001</v>
      </c>
      <c r="I170" s="53" t="str">
        <f aca="false">IFERROR(IF(ISNUMBER(F170),IF(ABS(F170-E170)&lt;=H170,"PASS","FAIL"),"FAIL"),"FAIL")</f>
        <v>PASS</v>
      </c>
    </row>
    <row r="171" customFormat="false" ht="15" hidden="false" customHeight="false" outlineLevel="0" collapsed="false">
      <c r="B171" s="54" t="n">
        <v>162</v>
      </c>
      <c r="C171" s="9" t="s">
        <v>677</v>
      </c>
      <c r="D171" s="9" t="s">
        <v>679</v>
      </c>
      <c r="E171" s="21" t="n">
        <v>0.035</v>
      </c>
      <c r="F171" s="59" t="n">
        <f aca="false">CLO_Tranches!$G$8</f>
        <v>0.035</v>
      </c>
      <c r="G171" s="39" t="n">
        <f aca="false">IFERROR(IF(ISNUMBER(F171),F171-E171,"n/a"),"n/a")</f>
        <v>0</v>
      </c>
      <c r="H171" s="56" t="n">
        <v>0.000500001</v>
      </c>
      <c r="I171" s="53" t="str">
        <f aca="false">IFERROR(IF(ISNUMBER(F171),IF(ABS(F171-E171)&lt;=H171,"PASS","FAIL"),"FAIL"),"FAIL")</f>
        <v>PASS</v>
      </c>
    </row>
    <row r="172" customFormat="false" ht="15" hidden="false" customHeight="false" outlineLevel="0" collapsed="false">
      <c r="B172" s="54" t="n">
        <v>163</v>
      </c>
      <c r="C172" s="9" t="s">
        <v>677</v>
      </c>
      <c r="D172" s="9" t="s">
        <v>680</v>
      </c>
      <c r="E172" s="21" t="n">
        <v>0.07</v>
      </c>
      <c r="F172" s="59" t="n">
        <f aca="false">CLO_Tranches!$H$8</f>
        <v>0.07</v>
      </c>
      <c r="G172" s="39" t="n">
        <f aca="false">IFERROR(IF(ISNUMBER(F172),F172-E172,"n/a"),"n/a")</f>
        <v>0</v>
      </c>
      <c r="H172" s="56" t="n">
        <v>0.000500001</v>
      </c>
      <c r="I172" s="53" t="str">
        <f aca="false">IFERROR(IF(ISNUMBER(F172),IF(ABS(F172-E172)&lt;=H172,"PASS","FAIL"),"FAIL"),"FAIL")</f>
        <v>PASS</v>
      </c>
    </row>
    <row r="173" customFormat="false" ht="15" hidden="false" customHeight="false" outlineLevel="0" collapsed="false">
      <c r="B173" s="54" t="n">
        <v>164</v>
      </c>
      <c r="C173" s="9" t="s">
        <v>677</v>
      </c>
      <c r="D173" s="9" t="s">
        <v>681</v>
      </c>
      <c r="E173" s="21" t="n">
        <v>0.105</v>
      </c>
      <c r="F173" s="59" t="n">
        <f aca="false">CLO_Tranches!$I$8</f>
        <v>0.105</v>
      </c>
      <c r="G173" s="39" t="n">
        <f aca="false">IFERROR(IF(ISNUMBER(F173),F173-E173,"n/a"),"n/a")</f>
        <v>0</v>
      </c>
      <c r="H173" s="56" t="n">
        <v>0.000500001</v>
      </c>
      <c r="I173" s="53" t="str">
        <f aca="false">IFERROR(IF(ISNUMBER(F173),IF(ABS(F173-E173)&lt;=H173,"PASS","FAIL"),"FAIL"),"FAIL")</f>
        <v>PASS</v>
      </c>
    </row>
    <row r="174" customFormat="false" ht="15" hidden="false" customHeight="false" outlineLevel="0" collapsed="false">
      <c r="B174" s="54" t="n">
        <v>165</v>
      </c>
      <c r="C174" s="9" t="s">
        <v>677</v>
      </c>
      <c r="D174" s="9" t="s">
        <v>682</v>
      </c>
      <c r="E174" s="21" t="n">
        <v>0.14</v>
      </c>
      <c r="F174" s="59" t="n">
        <f aca="false">CLO_Tranches!$J$8</f>
        <v>0.14</v>
      </c>
      <c r="G174" s="39" t="n">
        <f aca="false">IFERROR(IF(ISNUMBER(F174),F174-E174,"n/a"),"n/a")</f>
        <v>0</v>
      </c>
      <c r="H174" s="56" t="n">
        <v>0.000500001</v>
      </c>
      <c r="I174" s="53" t="str">
        <f aca="false">IFERROR(IF(ISNUMBER(F174),IF(ABS(F174-E174)&lt;=H174,"PASS","FAIL"),"FAIL"),"FAIL")</f>
        <v>PASS</v>
      </c>
    </row>
    <row r="175" customFormat="false" ht="15" hidden="false" customHeight="false" outlineLevel="0" collapsed="false">
      <c r="B175" s="54" t="n">
        <v>166</v>
      </c>
      <c r="C175" s="9" t="s">
        <v>677</v>
      </c>
      <c r="D175" s="9" t="s">
        <v>683</v>
      </c>
      <c r="E175" s="21" t="n">
        <v>0.175</v>
      </c>
      <c r="F175" s="59" t="n">
        <f aca="false">CLO_Tranches!$K$8</f>
        <v>0.175</v>
      </c>
      <c r="G175" s="39" t="n">
        <f aca="false">IFERROR(IF(ISNUMBER(F175),F175-E175,"n/a"),"n/a")</f>
        <v>0</v>
      </c>
      <c r="H175" s="56" t="n">
        <v>0.000500001</v>
      </c>
      <c r="I175" s="53" t="str">
        <f aca="false">IFERROR(IF(ISNUMBER(F175),IF(ABS(F175-E175)&lt;=H175,"PASS","FAIL"),"FAIL"),"FAIL")</f>
        <v>PASS</v>
      </c>
    </row>
    <row r="176" customFormat="false" ht="15" hidden="false" customHeight="false" outlineLevel="0" collapsed="false">
      <c r="B176" s="54" t="n">
        <v>167</v>
      </c>
      <c r="C176" s="9" t="s">
        <v>677</v>
      </c>
      <c r="D176" s="9" t="s">
        <v>684</v>
      </c>
      <c r="E176" s="12" t="n">
        <v>0</v>
      </c>
      <c r="F176" s="17" t="n">
        <f aca="false">CLO_Tranches!$G$11</f>
        <v>0</v>
      </c>
      <c r="G176" s="39" t="n">
        <f aca="false">IFERROR(IF(ISNUMBER(F176),F176-E176,"n/a"),"n/a")</f>
        <v>0</v>
      </c>
      <c r="H176" s="56" t="n">
        <v>0.005000001</v>
      </c>
      <c r="I176" s="53" t="str">
        <f aca="false">IFERROR(IF(ISNUMBER(F176),IF(ABS(F176-E176)&lt;=H176,"PASS","FAIL"),"FAIL"),"FAIL")</f>
        <v>PASS</v>
      </c>
    </row>
    <row r="177" customFormat="false" ht="15" hidden="false" customHeight="false" outlineLevel="0" collapsed="false">
      <c r="B177" s="54" t="n">
        <v>168</v>
      </c>
      <c r="C177" s="9" t="s">
        <v>677</v>
      </c>
      <c r="D177" s="9" t="s">
        <v>685</v>
      </c>
      <c r="E177" s="12" t="n">
        <v>0</v>
      </c>
      <c r="F177" s="17" t="n">
        <f aca="false">CLO_Tranches!$H$11</f>
        <v>0</v>
      </c>
      <c r="G177" s="39" t="n">
        <f aca="false">IFERROR(IF(ISNUMBER(F177),F177-E177,"n/a"),"n/a")</f>
        <v>0</v>
      </c>
      <c r="H177" s="56" t="n">
        <v>0.005000001</v>
      </c>
      <c r="I177" s="53" t="str">
        <f aca="false">IFERROR(IF(ISNUMBER(F177),IF(ABS(F177-E177)&lt;=H177,"PASS","FAIL"),"FAIL"),"FAIL")</f>
        <v>PASS</v>
      </c>
    </row>
    <row r="178" customFormat="false" ht="15" hidden="false" customHeight="false" outlineLevel="0" collapsed="false">
      <c r="B178" s="54" t="n">
        <v>169</v>
      </c>
      <c r="C178" s="9" t="s">
        <v>677</v>
      </c>
      <c r="D178" s="9" t="s">
        <v>686</v>
      </c>
      <c r="E178" s="12" t="n">
        <v>0</v>
      </c>
      <c r="F178" s="17" t="n">
        <f aca="false">CLO_Tranches!$I$11</f>
        <v>0</v>
      </c>
      <c r="G178" s="39" t="n">
        <f aca="false">IFERROR(IF(ISNUMBER(F178),F178-E178,"n/a"),"n/a")</f>
        <v>0</v>
      </c>
      <c r="H178" s="56" t="n">
        <v>0.005000001</v>
      </c>
      <c r="I178" s="53" t="str">
        <f aca="false">IFERROR(IF(ISNUMBER(F178),IF(ABS(F178-E178)&lt;=H178,"PASS","FAIL"),"FAIL"),"FAIL")</f>
        <v>PASS</v>
      </c>
    </row>
    <row r="179" customFormat="false" ht="15" hidden="false" customHeight="false" outlineLevel="0" collapsed="false">
      <c r="B179" s="54" t="n">
        <v>170</v>
      </c>
      <c r="C179" s="9" t="s">
        <v>677</v>
      </c>
      <c r="D179" s="9" t="s">
        <v>687</v>
      </c>
      <c r="E179" s="12" t="n">
        <v>0</v>
      </c>
      <c r="F179" s="17" t="n">
        <f aca="false">CLO_Tranches!$J$11</f>
        <v>0</v>
      </c>
      <c r="G179" s="39" t="n">
        <f aca="false">IFERROR(IF(ISNUMBER(F179),F179-E179,"n/a"),"n/a")</f>
        <v>0</v>
      </c>
      <c r="H179" s="56" t="n">
        <v>0.005000001</v>
      </c>
      <c r="I179" s="53" t="str">
        <f aca="false">IFERROR(IF(ISNUMBER(F179),IF(ABS(F179-E179)&lt;=H179,"PASS","FAIL"),"FAIL"),"FAIL")</f>
        <v>PASS</v>
      </c>
    </row>
    <row r="180" customFormat="false" ht="15" hidden="false" customHeight="false" outlineLevel="0" collapsed="false">
      <c r="B180" s="54" t="n">
        <v>171</v>
      </c>
      <c r="C180" s="9" t="s">
        <v>677</v>
      </c>
      <c r="D180" s="9" t="s">
        <v>688</v>
      </c>
      <c r="E180" s="12" t="n">
        <v>0</v>
      </c>
      <c r="F180" s="17" t="n">
        <f aca="false">CLO_Tranches!$K$11</f>
        <v>0</v>
      </c>
      <c r="G180" s="39" t="n">
        <f aca="false">IFERROR(IF(ISNUMBER(F180),F180-E180,"n/a"),"n/a")</f>
        <v>0</v>
      </c>
      <c r="H180" s="56" t="n">
        <v>0.005000001</v>
      </c>
      <c r="I180" s="53" t="str">
        <f aca="false">IFERROR(IF(ISNUMBER(F180),IF(ABS(F180-E180)&lt;=H180,"PASS","FAIL"),"FAIL"),"FAIL")</f>
        <v>PASS</v>
      </c>
    </row>
    <row r="181" customFormat="false" ht="15" hidden="false" customHeight="false" outlineLevel="0" collapsed="false">
      <c r="B181" s="54" t="n">
        <v>172</v>
      </c>
      <c r="C181" s="9" t="s">
        <v>677</v>
      </c>
      <c r="D181" s="9" t="s">
        <v>689</v>
      </c>
      <c r="E181" s="12" t="n">
        <v>0.36</v>
      </c>
      <c r="F181" s="17" t="n">
        <f aca="false">CLO_Tranches!$C$11</f>
        <v>0.36</v>
      </c>
      <c r="G181" s="39" t="n">
        <f aca="false">IFERROR(IF(ISNUMBER(F181),F181-E181,"n/a"),"n/a")</f>
        <v>0</v>
      </c>
      <c r="H181" s="56" t="n">
        <v>0.005000001</v>
      </c>
      <c r="I181" s="53" t="str">
        <f aca="false">IFERROR(IF(ISNUMBER(F181),IF(ABS(F181-E181)&lt;=H181,"PASS","FAIL"),"FAIL"),"FAIL")</f>
        <v>PASS</v>
      </c>
    </row>
    <row r="182" customFormat="false" ht="15" hidden="false" customHeight="false" outlineLevel="0" collapsed="false">
      <c r="B182" s="54" t="n">
        <v>173</v>
      </c>
      <c r="C182" s="9" t="s">
        <v>677</v>
      </c>
      <c r="D182" s="9" t="s">
        <v>690</v>
      </c>
      <c r="E182" s="12" t="n">
        <v>1</v>
      </c>
      <c r="F182" s="17" t="n">
        <f aca="false">CLO_Tranches!$D$11</f>
        <v>1</v>
      </c>
      <c r="G182" s="39" t="n">
        <f aca="false">IFERROR(IF(ISNUMBER(F182),F182-E182,"n/a"),"n/a")</f>
        <v>0</v>
      </c>
      <c r="H182" s="56" t="n">
        <v>0.005000001</v>
      </c>
      <c r="I182" s="53" t="str">
        <f aca="false">IFERROR(IF(ISNUMBER(F182),IF(ABS(F182-E182)&lt;=H182,"PASS","FAIL"),"FAIL"),"FAIL")</f>
        <v>PASS</v>
      </c>
    </row>
    <row r="183" customFormat="false" ht="15" hidden="false" customHeight="false" outlineLevel="0" collapsed="false">
      <c r="B183" s="54" t="n">
        <v>174</v>
      </c>
      <c r="C183" s="9" t="s">
        <v>677</v>
      </c>
      <c r="D183" s="9" t="s">
        <v>691</v>
      </c>
      <c r="E183" s="10" t="n">
        <v>0.013</v>
      </c>
      <c r="F183" s="55" t="n">
        <f aca="false">CLO_Tranches!$E$11</f>
        <v>0.013</v>
      </c>
      <c r="G183" s="39" t="n">
        <f aca="false">IFERROR(IF(ISNUMBER(F183),F183-E183,"n/a"),"n/a")</f>
        <v>0</v>
      </c>
      <c r="H183" s="56" t="n">
        <v>5.0001E-005</v>
      </c>
      <c r="I183" s="53" t="str">
        <f aca="false">IFERROR(IF(ISNUMBER(F183),IF(ABS(F183-E183)&lt;=H183,"PASS","FAIL"),"FAIL"),"FAIL")</f>
        <v>PASS</v>
      </c>
    </row>
    <row r="184" customFormat="false" ht="15" hidden="false" customHeight="false" outlineLevel="0" collapsed="false">
      <c r="B184" s="54" t="n">
        <v>175</v>
      </c>
      <c r="C184" s="9" t="s">
        <v>677</v>
      </c>
      <c r="D184" s="9" t="s">
        <v>692</v>
      </c>
      <c r="E184" s="21" t="n">
        <v>1.029</v>
      </c>
      <c r="F184" s="59" t="n">
        <f aca="false">CLO_Tranches!$F$11</f>
        <v>1.02857142857143</v>
      </c>
      <c r="G184" s="39" t="n">
        <f aca="false">IFERROR(IF(ISNUMBER(F184),F184-E184,"n/a"),"n/a")</f>
        <v>-0.000428571428571223</v>
      </c>
      <c r="H184" s="56" t="n">
        <v>0.000500001</v>
      </c>
      <c r="I184" s="53" t="str">
        <f aca="false">IFERROR(IF(ISNUMBER(F184),IF(ABS(F184-E184)&lt;=H184,"PASS","FAIL"),"FAIL"),"FAIL")</f>
        <v>PASS</v>
      </c>
    </row>
    <row r="185" customFormat="false" ht="15" hidden="false" customHeight="false" outlineLevel="0" collapsed="false">
      <c r="B185" s="54" t="n">
        <v>176</v>
      </c>
      <c r="C185" s="9" t="s">
        <v>677</v>
      </c>
      <c r="D185" s="9" t="s">
        <v>693</v>
      </c>
      <c r="E185" s="12" t="n">
        <v>0</v>
      </c>
      <c r="F185" s="17" t="n">
        <f aca="false">CLO_Tranches!$G$12</f>
        <v>0</v>
      </c>
      <c r="G185" s="39" t="n">
        <f aca="false">IFERROR(IF(ISNUMBER(F185),F185-E185,"n/a"),"n/a")</f>
        <v>0</v>
      </c>
      <c r="H185" s="56" t="n">
        <v>0.005000001</v>
      </c>
      <c r="I185" s="53" t="str">
        <f aca="false">IFERROR(IF(ISNUMBER(F185),IF(ABS(F185-E185)&lt;=H185,"PASS","FAIL"),"FAIL"),"FAIL")</f>
        <v>PASS</v>
      </c>
    </row>
    <row r="186" customFormat="false" ht="15" hidden="false" customHeight="false" outlineLevel="0" collapsed="false">
      <c r="B186" s="54" t="n">
        <v>177</v>
      </c>
      <c r="C186" s="9" t="s">
        <v>677</v>
      </c>
      <c r="D186" s="9" t="s">
        <v>694</v>
      </c>
      <c r="E186" s="12" t="n">
        <v>0</v>
      </c>
      <c r="F186" s="17" t="n">
        <f aca="false">CLO_Tranches!$H$12</f>
        <v>0</v>
      </c>
      <c r="G186" s="39" t="n">
        <f aca="false">IFERROR(IF(ISNUMBER(F186),F186-E186,"n/a"),"n/a")</f>
        <v>0</v>
      </c>
      <c r="H186" s="56" t="n">
        <v>0.005000001</v>
      </c>
      <c r="I186" s="53" t="str">
        <f aca="false">IFERROR(IF(ISNUMBER(F186),IF(ABS(F186-E186)&lt;=H186,"PASS","FAIL"),"FAIL"),"FAIL")</f>
        <v>PASS</v>
      </c>
    </row>
    <row r="187" customFormat="false" ht="15" hidden="false" customHeight="false" outlineLevel="0" collapsed="false">
      <c r="B187" s="54" t="n">
        <v>178</v>
      </c>
      <c r="C187" s="9" t="s">
        <v>677</v>
      </c>
      <c r="D187" s="9" t="s">
        <v>695</v>
      </c>
      <c r="E187" s="12" t="n">
        <v>0</v>
      </c>
      <c r="F187" s="17" t="n">
        <f aca="false">CLO_Tranches!$I$12</f>
        <v>0</v>
      </c>
      <c r="G187" s="39" t="n">
        <f aca="false">IFERROR(IF(ISNUMBER(F187),F187-E187,"n/a"),"n/a")</f>
        <v>0</v>
      </c>
      <c r="H187" s="56" t="n">
        <v>0.005000001</v>
      </c>
      <c r="I187" s="53" t="str">
        <f aca="false">IFERROR(IF(ISNUMBER(F187),IF(ABS(F187-E187)&lt;=H187,"PASS","FAIL"),"FAIL"),"FAIL")</f>
        <v>PASS</v>
      </c>
    </row>
    <row r="188" customFormat="false" ht="15" hidden="false" customHeight="false" outlineLevel="0" collapsed="false">
      <c r="B188" s="54" t="n">
        <v>179</v>
      </c>
      <c r="C188" s="9" t="s">
        <v>677</v>
      </c>
      <c r="D188" s="9" t="s">
        <v>696</v>
      </c>
      <c r="E188" s="12" t="n">
        <v>0</v>
      </c>
      <c r="F188" s="17" t="n">
        <f aca="false">CLO_Tranches!$J$12</f>
        <v>0</v>
      </c>
      <c r="G188" s="39" t="n">
        <f aca="false">IFERROR(IF(ISNUMBER(F188),F188-E188,"n/a"),"n/a")</f>
        <v>0</v>
      </c>
      <c r="H188" s="56" t="n">
        <v>0.005000001</v>
      </c>
      <c r="I188" s="53" t="str">
        <f aca="false">IFERROR(IF(ISNUMBER(F188),IF(ABS(F188-E188)&lt;=H188,"PASS","FAIL"),"FAIL"),"FAIL")</f>
        <v>PASS</v>
      </c>
    </row>
    <row r="189" customFormat="false" ht="15" hidden="false" customHeight="false" outlineLevel="0" collapsed="false">
      <c r="B189" s="54" t="n">
        <v>180</v>
      </c>
      <c r="C189" s="9" t="s">
        <v>677</v>
      </c>
      <c r="D189" s="9" t="s">
        <v>697</v>
      </c>
      <c r="E189" s="12" t="n">
        <v>0</v>
      </c>
      <c r="F189" s="17" t="n">
        <f aca="false">CLO_Tranches!$K$12</f>
        <v>0</v>
      </c>
      <c r="G189" s="39" t="n">
        <f aca="false">IFERROR(IF(ISNUMBER(F189),F189-E189,"n/a"),"n/a")</f>
        <v>0</v>
      </c>
      <c r="H189" s="56" t="n">
        <v>0.005000001</v>
      </c>
      <c r="I189" s="53" t="str">
        <f aca="false">IFERROR(IF(ISNUMBER(F189),IF(ABS(F189-E189)&lt;=H189,"PASS","FAIL"),"FAIL"),"FAIL")</f>
        <v>PASS</v>
      </c>
    </row>
    <row r="190" customFormat="false" ht="15" hidden="false" customHeight="false" outlineLevel="0" collapsed="false">
      <c r="B190" s="54" t="n">
        <v>181</v>
      </c>
      <c r="C190" s="9" t="s">
        <v>677</v>
      </c>
      <c r="D190" s="9" t="s">
        <v>698</v>
      </c>
      <c r="E190" s="12" t="n">
        <v>0.25</v>
      </c>
      <c r="F190" s="17" t="n">
        <f aca="false">CLO_Tranches!$C$12</f>
        <v>0.25</v>
      </c>
      <c r="G190" s="39" t="n">
        <f aca="false">IFERROR(IF(ISNUMBER(F190),F190-E190,"n/a"),"n/a")</f>
        <v>0</v>
      </c>
      <c r="H190" s="56" t="n">
        <v>0.005000001</v>
      </c>
      <c r="I190" s="53" t="str">
        <f aca="false">IFERROR(IF(ISNUMBER(F190),IF(ABS(F190-E190)&lt;=H190,"PASS","FAIL"),"FAIL"),"FAIL")</f>
        <v>PASS</v>
      </c>
    </row>
    <row r="191" customFormat="false" ht="15" hidden="false" customHeight="false" outlineLevel="0" collapsed="false">
      <c r="B191" s="54" t="n">
        <v>182</v>
      </c>
      <c r="C191" s="9" t="s">
        <v>677</v>
      </c>
      <c r="D191" s="9" t="s">
        <v>699</v>
      </c>
      <c r="E191" s="12" t="n">
        <v>0.36</v>
      </c>
      <c r="F191" s="17" t="n">
        <f aca="false">CLO_Tranches!$D$12</f>
        <v>0.36</v>
      </c>
      <c r="G191" s="39" t="n">
        <f aca="false">IFERROR(IF(ISNUMBER(F191),F191-E191,"n/a"),"n/a")</f>
        <v>0</v>
      </c>
      <c r="H191" s="56" t="n">
        <v>0.005000001</v>
      </c>
      <c r="I191" s="53" t="str">
        <f aca="false">IFERROR(IF(ISNUMBER(F191),IF(ABS(F191-E191)&lt;=H191,"PASS","FAIL"),"FAIL"),"FAIL")</f>
        <v>PASS</v>
      </c>
    </row>
    <row r="192" customFormat="false" ht="15" hidden="false" customHeight="false" outlineLevel="0" collapsed="false">
      <c r="B192" s="54" t="n">
        <v>183</v>
      </c>
      <c r="C192" s="9" t="s">
        <v>677</v>
      </c>
      <c r="D192" s="9" t="s">
        <v>700</v>
      </c>
      <c r="E192" s="10" t="n">
        <v>0.018</v>
      </c>
      <c r="F192" s="55" t="n">
        <f aca="false">CLO_Tranches!$E$12</f>
        <v>0.018</v>
      </c>
      <c r="G192" s="39" t="n">
        <f aca="false">IFERROR(IF(ISNUMBER(F192),F192-E192,"n/a"),"n/a")</f>
        <v>0</v>
      </c>
      <c r="H192" s="56" t="n">
        <v>5.0001E-005</v>
      </c>
      <c r="I192" s="53" t="str">
        <f aca="false">IFERROR(IF(ISNUMBER(F192),IF(ABS(F192-E192)&lt;=H192,"PASS","FAIL"),"FAIL"),"FAIL")</f>
        <v>PASS</v>
      </c>
    </row>
    <row r="193" customFormat="false" ht="15" hidden="false" customHeight="false" outlineLevel="0" collapsed="false">
      <c r="B193" s="54" t="n">
        <v>184</v>
      </c>
      <c r="C193" s="9" t="s">
        <v>677</v>
      </c>
      <c r="D193" s="9" t="s">
        <v>701</v>
      </c>
      <c r="E193" s="21" t="n">
        <v>0.714</v>
      </c>
      <c r="F193" s="59" t="n">
        <f aca="false">CLO_Tranches!$F$12</f>
        <v>0.714285714285714</v>
      </c>
      <c r="G193" s="39" t="n">
        <f aca="false">IFERROR(IF(ISNUMBER(F193),F193-E193,"n/a"),"n/a")</f>
        <v>0.000285714285714223</v>
      </c>
      <c r="H193" s="56" t="n">
        <v>0.000500001</v>
      </c>
      <c r="I193" s="53" t="str">
        <f aca="false">IFERROR(IF(ISNUMBER(F193),IF(ABS(F193-E193)&lt;=H193,"PASS","FAIL"),"FAIL"),"FAIL")</f>
        <v>PASS</v>
      </c>
    </row>
    <row r="194" customFormat="false" ht="15" hidden="false" customHeight="false" outlineLevel="0" collapsed="false">
      <c r="B194" s="54" t="n">
        <v>185</v>
      </c>
      <c r="C194" s="9" t="s">
        <v>677</v>
      </c>
      <c r="D194" s="9" t="s">
        <v>702</v>
      </c>
      <c r="E194" s="12" t="n">
        <v>0</v>
      </c>
      <c r="F194" s="17" t="n">
        <f aca="false">CLO_Tranches!$G$13</f>
        <v>0</v>
      </c>
      <c r="G194" s="39" t="n">
        <f aca="false">IFERROR(IF(ISNUMBER(F194),F194-E194,"n/a"),"n/a")</f>
        <v>0</v>
      </c>
      <c r="H194" s="56" t="n">
        <v>0.005000001</v>
      </c>
      <c r="I194" s="53" t="str">
        <f aca="false">IFERROR(IF(ISNUMBER(F194),IF(ABS(F194-E194)&lt;=H194,"PASS","FAIL"),"FAIL"),"FAIL")</f>
        <v>PASS</v>
      </c>
    </row>
    <row r="195" customFormat="false" ht="15" hidden="false" customHeight="false" outlineLevel="0" collapsed="false">
      <c r="B195" s="54" t="n">
        <v>186</v>
      </c>
      <c r="C195" s="9" t="s">
        <v>677</v>
      </c>
      <c r="D195" s="9" t="s">
        <v>703</v>
      </c>
      <c r="E195" s="12" t="n">
        <v>0</v>
      </c>
      <c r="F195" s="17" t="n">
        <f aca="false">CLO_Tranches!$H$13</f>
        <v>0</v>
      </c>
      <c r="G195" s="39" t="n">
        <f aca="false">IFERROR(IF(ISNUMBER(F195),F195-E195,"n/a"),"n/a")</f>
        <v>0</v>
      </c>
      <c r="H195" s="56" t="n">
        <v>0.005000001</v>
      </c>
      <c r="I195" s="53" t="str">
        <f aca="false">IFERROR(IF(ISNUMBER(F195),IF(ABS(F195-E195)&lt;=H195,"PASS","FAIL"),"FAIL"),"FAIL")</f>
        <v>PASS</v>
      </c>
    </row>
    <row r="196" customFormat="false" ht="15" hidden="false" customHeight="false" outlineLevel="0" collapsed="false">
      <c r="B196" s="54" t="n">
        <v>187</v>
      </c>
      <c r="C196" s="9" t="s">
        <v>677</v>
      </c>
      <c r="D196" s="9" t="s">
        <v>704</v>
      </c>
      <c r="E196" s="12" t="n">
        <v>0</v>
      </c>
      <c r="F196" s="17" t="n">
        <f aca="false">CLO_Tranches!$I$13</f>
        <v>0</v>
      </c>
      <c r="G196" s="39" t="n">
        <f aca="false">IFERROR(IF(ISNUMBER(F196),F196-E196,"n/a"),"n/a")</f>
        <v>0</v>
      </c>
      <c r="H196" s="56" t="n">
        <v>0.005000001</v>
      </c>
      <c r="I196" s="53" t="str">
        <f aca="false">IFERROR(IF(ISNUMBER(F196),IF(ABS(F196-E196)&lt;=H196,"PASS","FAIL"),"FAIL"),"FAIL")</f>
        <v>PASS</v>
      </c>
    </row>
    <row r="197" customFormat="false" ht="15" hidden="false" customHeight="false" outlineLevel="0" collapsed="false">
      <c r="B197" s="54" t="n">
        <v>188</v>
      </c>
      <c r="C197" s="9" t="s">
        <v>677</v>
      </c>
      <c r="D197" s="9" t="s">
        <v>705</v>
      </c>
      <c r="E197" s="12" t="n">
        <v>0</v>
      </c>
      <c r="F197" s="17" t="n">
        <f aca="false">CLO_Tranches!$J$13</f>
        <v>0</v>
      </c>
      <c r="G197" s="39" t="n">
        <f aca="false">IFERROR(IF(ISNUMBER(F197),F197-E197,"n/a"),"n/a")</f>
        <v>0</v>
      </c>
      <c r="H197" s="56" t="n">
        <v>0.005000001</v>
      </c>
      <c r="I197" s="53" t="str">
        <f aca="false">IFERROR(IF(ISNUMBER(F197),IF(ABS(F197-E197)&lt;=H197,"PASS","FAIL"),"FAIL"),"FAIL")</f>
        <v>PASS</v>
      </c>
    </row>
    <row r="198" customFormat="false" ht="15" hidden="false" customHeight="false" outlineLevel="0" collapsed="false">
      <c r="B198" s="54" t="n">
        <v>189</v>
      </c>
      <c r="C198" s="9" t="s">
        <v>677</v>
      </c>
      <c r="D198" s="9" t="s">
        <v>706</v>
      </c>
      <c r="E198" s="12" t="n">
        <v>0</v>
      </c>
      <c r="F198" s="17" t="n">
        <f aca="false">CLO_Tranches!$K$13</f>
        <v>0</v>
      </c>
      <c r="G198" s="39" t="n">
        <f aca="false">IFERROR(IF(ISNUMBER(F198),F198-E198,"n/a"),"n/a")</f>
        <v>0</v>
      </c>
      <c r="H198" s="56" t="n">
        <v>0.005000001</v>
      </c>
      <c r="I198" s="53" t="str">
        <f aca="false">IFERROR(IF(ISNUMBER(F198),IF(ABS(F198-E198)&lt;=H198,"PASS","FAIL"),"FAIL"),"FAIL")</f>
        <v>PASS</v>
      </c>
    </row>
    <row r="199" customFormat="false" ht="15" hidden="false" customHeight="false" outlineLevel="0" collapsed="false">
      <c r="B199" s="54" t="n">
        <v>190</v>
      </c>
      <c r="C199" s="9" t="s">
        <v>677</v>
      </c>
      <c r="D199" s="9" t="s">
        <v>707</v>
      </c>
      <c r="E199" s="12" t="n">
        <v>0.19</v>
      </c>
      <c r="F199" s="17" t="n">
        <f aca="false">CLO_Tranches!$C$13</f>
        <v>0.19</v>
      </c>
      <c r="G199" s="39" t="n">
        <f aca="false">IFERROR(IF(ISNUMBER(F199),F199-E199,"n/a"),"n/a")</f>
        <v>0</v>
      </c>
      <c r="H199" s="56" t="n">
        <v>0.005000001</v>
      </c>
      <c r="I199" s="53" t="str">
        <f aca="false">IFERROR(IF(ISNUMBER(F199),IF(ABS(F199-E199)&lt;=H199,"PASS","FAIL"),"FAIL"),"FAIL")</f>
        <v>PASS</v>
      </c>
    </row>
    <row r="200" customFormat="false" ht="15" hidden="false" customHeight="false" outlineLevel="0" collapsed="false">
      <c r="B200" s="54" t="n">
        <v>191</v>
      </c>
      <c r="C200" s="9" t="s">
        <v>677</v>
      </c>
      <c r="D200" s="9" t="s">
        <v>708</v>
      </c>
      <c r="E200" s="12" t="n">
        <v>0.25</v>
      </c>
      <c r="F200" s="17" t="n">
        <f aca="false">CLO_Tranches!$D$13</f>
        <v>0.25</v>
      </c>
      <c r="G200" s="39" t="n">
        <f aca="false">IFERROR(IF(ISNUMBER(F200),F200-E200,"n/a"),"n/a")</f>
        <v>0</v>
      </c>
      <c r="H200" s="56" t="n">
        <v>0.005000001</v>
      </c>
      <c r="I200" s="53" t="str">
        <f aca="false">IFERROR(IF(ISNUMBER(F200),IF(ABS(F200-E200)&lt;=H200,"PASS","FAIL"),"FAIL"),"FAIL")</f>
        <v>PASS</v>
      </c>
    </row>
    <row r="201" customFormat="false" ht="15" hidden="false" customHeight="false" outlineLevel="0" collapsed="false">
      <c r="B201" s="54" t="n">
        <v>192</v>
      </c>
      <c r="C201" s="9" t="s">
        <v>677</v>
      </c>
      <c r="D201" s="9" t="s">
        <v>709</v>
      </c>
      <c r="E201" s="10" t="n">
        <v>0.023</v>
      </c>
      <c r="F201" s="55" t="n">
        <f aca="false">CLO_Tranches!$E$13</f>
        <v>0.023</v>
      </c>
      <c r="G201" s="39" t="n">
        <f aca="false">IFERROR(IF(ISNUMBER(F201),F201-E201,"n/a"),"n/a")</f>
        <v>0</v>
      </c>
      <c r="H201" s="56" t="n">
        <v>5.0001E-005</v>
      </c>
      <c r="I201" s="53" t="str">
        <f aca="false">IFERROR(IF(ISNUMBER(F201),IF(ABS(F201-E201)&lt;=H201,"PASS","FAIL"),"FAIL"),"FAIL")</f>
        <v>PASS</v>
      </c>
    </row>
    <row r="202" customFormat="false" ht="15" hidden="false" customHeight="false" outlineLevel="0" collapsed="false">
      <c r="B202" s="54" t="n">
        <v>193</v>
      </c>
      <c r="C202" s="9" t="s">
        <v>677</v>
      </c>
      <c r="D202" s="9" t="s">
        <v>710</v>
      </c>
      <c r="E202" s="21" t="n">
        <v>0.543</v>
      </c>
      <c r="F202" s="59" t="n">
        <f aca="false">CLO_Tranches!$F$13</f>
        <v>0.542857142857143</v>
      </c>
      <c r="G202" s="39" t="n">
        <f aca="false">IFERROR(IF(ISNUMBER(F202),F202-E202,"n/a"),"n/a")</f>
        <v>-0.000142857142857</v>
      </c>
      <c r="H202" s="56" t="n">
        <v>0.000500001</v>
      </c>
      <c r="I202" s="53" t="str">
        <f aca="false">IFERROR(IF(ISNUMBER(F202),IF(ABS(F202-E202)&lt;=H202,"PASS","FAIL"),"FAIL"),"FAIL")</f>
        <v>PASS</v>
      </c>
    </row>
    <row r="203" customFormat="false" ht="15" hidden="false" customHeight="false" outlineLevel="0" collapsed="false">
      <c r="B203" s="54" t="n">
        <v>194</v>
      </c>
      <c r="C203" s="9" t="s">
        <v>677</v>
      </c>
      <c r="D203" s="9" t="s">
        <v>711</v>
      </c>
      <c r="E203" s="12" t="n">
        <v>0</v>
      </c>
      <c r="F203" s="17" t="n">
        <f aca="false">CLO_Tranches!$G$14</f>
        <v>0</v>
      </c>
      <c r="G203" s="39" t="n">
        <f aca="false">IFERROR(IF(ISNUMBER(F203),F203-E203,"n/a"),"n/a")</f>
        <v>0</v>
      </c>
      <c r="H203" s="56" t="n">
        <v>0.005000001</v>
      </c>
      <c r="I203" s="53" t="str">
        <f aca="false">IFERROR(IF(ISNUMBER(F203),IF(ABS(F203-E203)&lt;=H203,"PASS","FAIL"),"FAIL"),"FAIL")</f>
        <v>PASS</v>
      </c>
    </row>
    <row r="204" customFormat="false" ht="15" hidden="false" customHeight="false" outlineLevel="0" collapsed="false">
      <c r="B204" s="54" t="n">
        <v>195</v>
      </c>
      <c r="C204" s="9" t="s">
        <v>677</v>
      </c>
      <c r="D204" s="9" t="s">
        <v>712</v>
      </c>
      <c r="E204" s="12" t="n">
        <v>0</v>
      </c>
      <c r="F204" s="17" t="n">
        <f aca="false">CLO_Tranches!$H$14</f>
        <v>0</v>
      </c>
      <c r="G204" s="39" t="n">
        <f aca="false">IFERROR(IF(ISNUMBER(F204),F204-E204,"n/a"),"n/a")</f>
        <v>0</v>
      </c>
      <c r="H204" s="56" t="n">
        <v>0.005000001</v>
      </c>
      <c r="I204" s="53" t="str">
        <f aca="false">IFERROR(IF(ISNUMBER(F204),IF(ABS(F204-E204)&lt;=H204,"PASS","FAIL"),"FAIL"),"FAIL")</f>
        <v>PASS</v>
      </c>
    </row>
    <row r="205" customFormat="false" ht="15" hidden="false" customHeight="false" outlineLevel="0" collapsed="false">
      <c r="B205" s="54" t="n">
        <v>196</v>
      </c>
      <c r="C205" s="9" t="s">
        <v>677</v>
      </c>
      <c r="D205" s="9" t="s">
        <v>713</v>
      </c>
      <c r="E205" s="12" t="n">
        <v>0</v>
      </c>
      <c r="F205" s="17" t="n">
        <f aca="false">CLO_Tranches!$I$14</f>
        <v>0</v>
      </c>
      <c r="G205" s="39" t="n">
        <f aca="false">IFERROR(IF(ISNUMBER(F205),F205-E205,"n/a"),"n/a")</f>
        <v>0</v>
      </c>
      <c r="H205" s="56" t="n">
        <v>0.005000001</v>
      </c>
      <c r="I205" s="53" t="str">
        <f aca="false">IFERROR(IF(ISNUMBER(F205),IF(ABS(F205-E205)&lt;=H205,"PASS","FAIL"),"FAIL"),"FAIL")</f>
        <v>PASS</v>
      </c>
    </row>
    <row r="206" customFormat="false" ht="15" hidden="false" customHeight="false" outlineLevel="0" collapsed="false">
      <c r="B206" s="54" t="n">
        <v>197</v>
      </c>
      <c r="C206" s="9" t="s">
        <v>677</v>
      </c>
      <c r="D206" s="9" t="s">
        <v>714</v>
      </c>
      <c r="E206" s="12" t="n">
        <v>0.17</v>
      </c>
      <c r="F206" s="17" t="n">
        <f aca="false">CLO_Tranches!$J$14</f>
        <v>0.166666666666666</v>
      </c>
      <c r="G206" s="39" t="n">
        <f aca="false">IFERROR(IF(ISNUMBER(F206),F206-E206,"n/a"),"n/a")</f>
        <v>-0.00333333333333366</v>
      </c>
      <c r="H206" s="56" t="n">
        <v>0.005000001</v>
      </c>
      <c r="I206" s="53" t="str">
        <f aca="false">IFERROR(IF(ISNUMBER(F206),IF(ABS(F206-E206)&lt;=H206,"PASS","FAIL"),"FAIL"),"FAIL")</f>
        <v>PASS</v>
      </c>
    </row>
    <row r="207" customFormat="false" ht="15" hidden="false" customHeight="false" outlineLevel="0" collapsed="false">
      <c r="B207" s="54" t="n">
        <v>198</v>
      </c>
      <c r="C207" s="9" t="s">
        <v>677</v>
      </c>
      <c r="D207" s="9" t="s">
        <v>715</v>
      </c>
      <c r="E207" s="12" t="n">
        <v>0.75</v>
      </c>
      <c r="F207" s="17" t="n">
        <f aca="false">CLO_Tranches!$K$14</f>
        <v>0.75</v>
      </c>
      <c r="G207" s="39" t="n">
        <f aca="false">IFERROR(IF(ISNUMBER(F207),F207-E207,"n/a"),"n/a")</f>
        <v>0</v>
      </c>
      <c r="H207" s="56" t="n">
        <v>0.005000001</v>
      </c>
      <c r="I207" s="53" t="str">
        <f aca="false">IFERROR(IF(ISNUMBER(F207),IF(ABS(F207-E207)&lt;=H207,"PASS","FAIL"),"FAIL"),"FAIL")</f>
        <v>PASS</v>
      </c>
    </row>
    <row r="208" customFormat="false" ht="15" hidden="false" customHeight="false" outlineLevel="0" collapsed="false">
      <c r="B208" s="54" t="n">
        <v>199</v>
      </c>
      <c r="C208" s="9" t="s">
        <v>677</v>
      </c>
      <c r="D208" s="9" t="s">
        <v>716</v>
      </c>
      <c r="E208" s="12" t="n">
        <v>0.13</v>
      </c>
      <c r="F208" s="17" t="n">
        <f aca="false">CLO_Tranches!$C$14</f>
        <v>0.13</v>
      </c>
      <c r="G208" s="39" t="n">
        <f aca="false">IFERROR(IF(ISNUMBER(F208),F208-E208,"n/a"),"n/a")</f>
        <v>0</v>
      </c>
      <c r="H208" s="56" t="n">
        <v>0.005000001</v>
      </c>
      <c r="I208" s="53" t="str">
        <f aca="false">IFERROR(IF(ISNUMBER(F208),IF(ABS(F208-E208)&lt;=H208,"PASS","FAIL"),"FAIL"),"FAIL")</f>
        <v>PASS</v>
      </c>
    </row>
    <row r="209" customFormat="false" ht="15" hidden="false" customHeight="false" outlineLevel="0" collapsed="false">
      <c r="B209" s="54" t="n">
        <v>200</v>
      </c>
      <c r="C209" s="9" t="s">
        <v>677</v>
      </c>
      <c r="D209" s="9" t="s">
        <v>717</v>
      </c>
      <c r="E209" s="12" t="n">
        <v>0.19</v>
      </c>
      <c r="F209" s="17" t="n">
        <f aca="false">CLO_Tranches!$D$14</f>
        <v>0.19</v>
      </c>
      <c r="G209" s="39" t="n">
        <f aca="false">IFERROR(IF(ISNUMBER(F209),F209-E209,"n/a"),"n/a")</f>
        <v>0</v>
      </c>
      <c r="H209" s="56" t="n">
        <v>0.005000001</v>
      </c>
      <c r="I209" s="53" t="str">
        <f aca="false">IFERROR(IF(ISNUMBER(F209),IF(ABS(F209-E209)&lt;=H209,"PASS","FAIL"),"FAIL"),"FAIL")</f>
        <v>PASS</v>
      </c>
    </row>
    <row r="210" customFormat="false" ht="15" hidden="false" customHeight="false" outlineLevel="0" collapsed="false">
      <c r="B210" s="54" t="n">
        <v>201</v>
      </c>
      <c r="C210" s="9" t="s">
        <v>677</v>
      </c>
      <c r="D210" s="9" t="s">
        <v>718</v>
      </c>
      <c r="E210" s="10" t="n">
        <v>0.035</v>
      </c>
      <c r="F210" s="55" t="n">
        <f aca="false">CLO_Tranches!$E$14</f>
        <v>0.035</v>
      </c>
      <c r="G210" s="39" t="n">
        <f aca="false">IFERROR(IF(ISNUMBER(F210),F210-E210,"n/a"),"n/a")</f>
        <v>0</v>
      </c>
      <c r="H210" s="56" t="n">
        <v>5.0001E-005</v>
      </c>
      <c r="I210" s="53" t="str">
        <f aca="false">IFERROR(IF(ISNUMBER(F210),IF(ABS(F210-E210)&lt;=H210,"PASS","FAIL"),"FAIL"),"FAIL")</f>
        <v>PASS</v>
      </c>
    </row>
    <row r="211" customFormat="false" ht="15" hidden="false" customHeight="false" outlineLevel="0" collapsed="false">
      <c r="B211" s="54" t="n">
        <v>202</v>
      </c>
      <c r="C211" s="9" t="s">
        <v>677</v>
      </c>
      <c r="D211" s="9" t="s">
        <v>719</v>
      </c>
      <c r="E211" s="21" t="n">
        <v>0.371</v>
      </c>
      <c r="F211" s="59" t="n">
        <f aca="false">CLO_Tranches!$F$14</f>
        <v>0.371428571428571</v>
      </c>
      <c r="G211" s="39" t="n">
        <f aca="false">IFERROR(IF(ISNUMBER(F211),F211-E211,"n/a"),"n/a")</f>
        <v>0.000428571428571445</v>
      </c>
      <c r="H211" s="56" t="n">
        <v>0.000500001</v>
      </c>
      <c r="I211" s="53" t="str">
        <f aca="false">IFERROR(IF(ISNUMBER(F211),IF(ABS(F211-E211)&lt;=H211,"PASS","FAIL"),"FAIL"),"FAIL")</f>
        <v>PASS</v>
      </c>
    </row>
    <row r="212" customFormat="false" ht="15" hidden="false" customHeight="false" outlineLevel="0" collapsed="false">
      <c r="B212" s="54" t="n">
        <v>203</v>
      </c>
      <c r="C212" s="9" t="s">
        <v>677</v>
      </c>
      <c r="D212" s="9" t="s">
        <v>720</v>
      </c>
      <c r="E212" s="12" t="n">
        <v>0</v>
      </c>
      <c r="F212" s="17" t="n">
        <f aca="false">CLO_Tranches!$G$15</f>
        <v>0</v>
      </c>
      <c r="G212" s="39" t="n">
        <f aca="false">IFERROR(IF(ISNUMBER(F212),F212-E212,"n/a"),"n/a")</f>
        <v>0</v>
      </c>
      <c r="H212" s="56" t="n">
        <v>0.005000001</v>
      </c>
      <c r="I212" s="53" t="str">
        <f aca="false">IFERROR(IF(ISNUMBER(F212),IF(ABS(F212-E212)&lt;=H212,"PASS","FAIL"),"FAIL"),"FAIL")</f>
        <v>PASS</v>
      </c>
    </row>
    <row r="213" customFormat="false" ht="15" hidden="false" customHeight="false" outlineLevel="0" collapsed="false">
      <c r="B213" s="54" t="n">
        <v>204</v>
      </c>
      <c r="C213" s="9" t="s">
        <v>677</v>
      </c>
      <c r="D213" s="9" t="s">
        <v>721</v>
      </c>
      <c r="E213" s="12" t="n">
        <v>0</v>
      </c>
      <c r="F213" s="17" t="n">
        <f aca="false">CLO_Tranches!$H$15</f>
        <v>0</v>
      </c>
      <c r="G213" s="39" t="n">
        <f aca="false">IFERROR(IF(ISNUMBER(F213),F213-E213,"n/a"),"n/a")</f>
        <v>0</v>
      </c>
      <c r="H213" s="56" t="n">
        <v>0.005000001</v>
      </c>
      <c r="I213" s="53" t="str">
        <f aca="false">IFERROR(IF(ISNUMBER(F213),IF(ABS(F213-E213)&lt;=H213,"PASS","FAIL"),"FAIL"),"FAIL")</f>
        <v>PASS</v>
      </c>
    </row>
    <row r="214" customFormat="false" ht="15" hidden="false" customHeight="false" outlineLevel="0" collapsed="false">
      <c r="B214" s="54" t="n">
        <v>205</v>
      </c>
      <c r="C214" s="9" t="s">
        <v>677</v>
      </c>
      <c r="D214" s="9" t="s">
        <v>722</v>
      </c>
      <c r="E214" s="12" t="n">
        <v>0.37</v>
      </c>
      <c r="F214" s="17" t="n">
        <f aca="false">CLO_Tranches!$I$15</f>
        <v>0.375</v>
      </c>
      <c r="G214" s="39" t="n">
        <f aca="false">IFERROR(IF(ISNUMBER(F214),F214-E214,"n/a"),"n/a")</f>
        <v>0.00499999999999989</v>
      </c>
      <c r="H214" s="56" t="n">
        <v>0.005000001</v>
      </c>
      <c r="I214" s="53" t="str">
        <f aca="false">IFERROR(IF(ISNUMBER(F214),IF(ABS(F214-E214)&lt;=H214,"PASS","FAIL"),"FAIL"),"FAIL")</f>
        <v>PASS</v>
      </c>
    </row>
    <row r="215" customFormat="false" ht="15" hidden="false" customHeight="false" outlineLevel="0" collapsed="false">
      <c r="B215" s="54" t="n">
        <v>206</v>
      </c>
      <c r="C215" s="9" t="s">
        <v>677</v>
      </c>
      <c r="D215" s="9" t="s">
        <v>723</v>
      </c>
      <c r="E215" s="12" t="n">
        <v>1</v>
      </c>
      <c r="F215" s="17" t="n">
        <f aca="false">CLO_Tranches!$J$15</f>
        <v>1</v>
      </c>
      <c r="G215" s="39" t="n">
        <f aca="false">IFERROR(IF(ISNUMBER(F215),F215-E215,"n/a"),"n/a")</f>
        <v>0</v>
      </c>
      <c r="H215" s="56" t="n">
        <v>0.005000001</v>
      </c>
      <c r="I215" s="53" t="str">
        <f aca="false">IFERROR(IF(ISNUMBER(F215),IF(ABS(F215-E215)&lt;=H215,"PASS","FAIL"),"FAIL"),"FAIL")</f>
        <v>PASS</v>
      </c>
    </row>
    <row r="216" customFormat="false" ht="15" hidden="false" customHeight="false" outlineLevel="0" collapsed="false">
      <c r="B216" s="54" t="n">
        <v>207</v>
      </c>
      <c r="C216" s="9" t="s">
        <v>677</v>
      </c>
      <c r="D216" s="9" t="s">
        <v>724</v>
      </c>
      <c r="E216" s="12" t="n">
        <v>1</v>
      </c>
      <c r="F216" s="17" t="n">
        <f aca="false">CLO_Tranches!$K$15</f>
        <v>1</v>
      </c>
      <c r="G216" s="39" t="n">
        <f aca="false">IFERROR(IF(ISNUMBER(F216),F216-E216,"n/a"),"n/a")</f>
        <v>0</v>
      </c>
      <c r="H216" s="56" t="n">
        <v>0.005000001</v>
      </c>
      <c r="I216" s="53" t="str">
        <f aca="false">IFERROR(IF(ISNUMBER(F216),IF(ABS(F216-E216)&lt;=H216,"PASS","FAIL"),"FAIL"),"FAIL")</f>
        <v>PASS</v>
      </c>
    </row>
    <row r="217" customFormat="false" ht="15" hidden="false" customHeight="false" outlineLevel="0" collapsed="false">
      <c r="B217" s="54" t="n">
        <v>208</v>
      </c>
      <c r="C217" s="9" t="s">
        <v>677</v>
      </c>
      <c r="D217" s="9" t="s">
        <v>725</v>
      </c>
      <c r="E217" s="12" t="n">
        <v>0.09</v>
      </c>
      <c r="F217" s="17" t="n">
        <f aca="false">CLO_Tranches!$C$15</f>
        <v>0.09</v>
      </c>
      <c r="G217" s="39" t="n">
        <f aca="false">IFERROR(IF(ISNUMBER(F217),F217-E217,"n/a"),"n/a")</f>
        <v>0</v>
      </c>
      <c r="H217" s="56" t="n">
        <v>0.005000001</v>
      </c>
      <c r="I217" s="53" t="str">
        <f aca="false">IFERROR(IF(ISNUMBER(F217),IF(ABS(F217-E217)&lt;=H217,"PASS","FAIL"),"FAIL"),"FAIL")</f>
        <v>PASS</v>
      </c>
    </row>
    <row r="218" customFormat="false" ht="15" hidden="false" customHeight="false" outlineLevel="0" collapsed="false">
      <c r="B218" s="54" t="n">
        <v>209</v>
      </c>
      <c r="C218" s="9" t="s">
        <v>677</v>
      </c>
      <c r="D218" s="9" t="s">
        <v>726</v>
      </c>
      <c r="E218" s="12" t="n">
        <v>0.13</v>
      </c>
      <c r="F218" s="17" t="n">
        <f aca="false">CLO_Tranches!$D$15</f>
        <v>0.13</v>
      </c>
      <c r="G218" s="39" t="n">
        <f aca="false">IFERROR(IF(ISNUMBER(F218),F218-E218,"n/a"),"n/a")</f>
        <v>0</v>
      </c>
      <c r="H218" s="56" t="n">
        <v>0.005000001</v>
      </c>
      <c r="I218" s="53" t="str">
        <f aca="false">IFERROR(IF(ISNUMBER(F218),IF(ABS(F218-E218)&lt;=H218,"PASS","FAIL"),"FAIL"),"FAIL")</f>
        <v>PASS</v>
      </c>
    </row>
    <row r="219" customFormat="false" ht="15" hidden="false" customHeight="false" outlineLevel="0" collapsed="false">
      <c r="B219" s="54" t="n">
        <v>210</v>
      </c>
      <c r="C219" s="9" t="s">
        <v>677</v>
      </c>
      <c r="D219" s="9" t="s">
        <v>727</v>
      </c>
      <c r="E219" s="10" t="n">
        <v>0.065</v>
      </c>
      <c r="F219" s="55" t="n">
        <f aca="false">CLO_Tranches!$E$15</f>
        <v>0.065</v>
      </c>
      <c r="G219" s="39" t="n">
        <f aca="false">IFERROR(IF(ISNUMBER(F219),F219-E219,"n/a"),"n/a")</f>
        <v>0</v>
      </c>
      <c r="H219" s="56" t="n">
        <v>5.0001E-005</v>
      </c>
      <c r="I219" s="53" t="str">
        <f aca="false">IFERROR(IF(ISNUMBER(F219),IF(ABS(F219-E219)&lt;=H219,"PASS","FAIL"),"FAIL"),"FAIL")</f>
        <v>PASS</v>
      </c>
    </row>
    <row r="220" customFormat="false" ht="15" hidden="false" customHeight="false" outlineLevel="0" collapsed="false">
      <c r="B220" s="54" t="n">
        <v>211</v>
      </c>
      <c r="C220" s="9" t="s">
        <v>677</v>
      </c>
      <c r="D220" s="9" t="s">
        <v>728</v>
      </c>
      <c r="E220" s="21" t="n">
        <v>0.257</v>
      </c>
      <c r="F220" s="59" t="n">
        <f aca="false">CLO_Tranches!$F$15</f>
        <v>0.257142857142857</v>
      </c>
      <c r="G220" s="39" t="n">
        <f aca="false">IFERROR(IF(ISNUMBER(F220),F220-E220,"n/a"),"n/a")</f>
        <v>0.000142857142857167</v>
      </c>
      <c r="H220" s="56" t="n">
        <v>0.000500001</v>
      </c>
      <c r="I220" s="53" t="str">
        <f aca="false">IFERROR(IF(ISNUMBER(F220),IF(ABS(F220-E220)&lt;=H220,"PASS","FAIL"),"FAIL"),"FAIL")</f>
        <v>PASS</v>
      </c>
    </row>
    <row r="221" customFormat="false" ht="15" hidden="false" customHeight="false" outlineLevel="0" collapsed="false">
      <c r="B221" s="54" t="n">
        <v>212</v>
      </c>
      <c r="C221" s="9" t="s">
        <v>677</v>
      </c>
      <c r="D221" s="9" t="s">
        <v>729</v>
      </c>
      <c r="E221" s="12" t="n">
        <v>0.39</v>
      </c>
      <c r="F221" s="17" t="n">
        <f aca="false">CLO_Tranches!$G$16</f>
        <v>0.388888888888889</v>
      </c>
      <c r="G221" s="39" t="n">
        <f aca="false">IFERROR(IF(ISNUMBER(F221),F221-E221,"n/a"),"n/a")</f>
        <v>-0.00111111111111117</v>
      </c>
      <c r="H221" s="56" t="n">
        <v>0.005000001</v>
      </c>
      <c r="I221" s="53" t="str">
        <f aca="false">IFERROR(IF(ISNUMBER(F221),IF(ABS(F221-E221)&lt;=H221,"PASS","FAIL"),"FAIL"),"FAIL")</f>
        <v>PASS</v>
      </c>
    </row>
    <row r="222" customFormat="false" ht="15" hidden="false" customHeight="false" outlineLevel="0" collapsed="false">
      <c r="B222" s="54" t="n">
        <v>213</v>
      </c>
      <c r="C222" s="9" t="s">
        <v>677</v>
      </c>
      <c r="D222" s="9" t="s">
        <v>730</v>
      </c>
      <c r="E222" s="12" t="n">
        <v>0.78</v>
      </c>
      <c r="F222" s="17" t="n">
        <f aca="false">CLO_Tranches!$H$16</f>
        <v>0.777777777777778</v>
      </c>
      <c r="G222" s="39" t="n">
        <f aca="false">IFERROR(IF(ISNUMBER(F222),F222-E222,"n/a"),"n/a")</f>
        <v>-0.00222222222222235</v>
      </c>
      <c r="H222" s="56" t="n">
        <v>0.005000001</v>
      </c>
      <c r="I222" s="53" t="str">
        <f aca="false">IFERROR(IF(ISNUMBER(F222),IF(ABS(F222-E222)&lt;=H222,"PASS","FAIL"),"FAIL"),"FAIL")</f>
        <v>PASS</v>
      </c>
    </row>
    <row r="223" customFormat="false" ht="15" hidden="false" customHeight="false" outlineLevel="0" collapsed="false">
      <c r="B223" s="54" t="n">
        <v>214</v>
      </c>
      <c r="C223" s="9" t="s">
        <v>677</v>
      </c>
      <c r="D223" s="9" t="s">
        <v>731</v>
      </c>
      <c r="E223" s="12" t="n">
        <v>1</v>
      </c>
      <c r="F223" s="17" t="n">
        <f aca="false">CLO_Tranches!$I$16</f>
        <v>1</v>
      </c>
      <c r="G223" s="39" t="n">
        <f aca="false">IFERROR(IF(ISNUMBER(F223),F223-E223,"n/a"),"n/a")</f>
        <v>0</v>
      </c>
      <c r="H223" s="56" t="n">
        <v>0.005000001</v>
      </c>
      <c r="I223" s="53" t="str">
        <f aca="false">IFERROR(IF(ISNUMBER(F223),IF(ABS(F223-E223)&lt;=H223,"PASS","FAIL"),"FAIL"),"FAIL")</f>
        <v>PASS</v>
      </c>
    </row>
    <row r="224" customFormat="false" ht="15" hidden="false" customHeight="false" outlineLevel="0" collapsed="false">
      <c r="B224" s="54" t="n">
        <v>215</v>
      </c>
      <c r="C224" s="9" t="s">
        <v>677</v>
      </c>
      <c r="D224" s="9" t="s">
        <v>732</v>
      </c>
      <c r="E224" s="12" t="n">
        <v>1</v>
      </c>
      <c r="F224" s="17" t="n">
        <f aca="false">CLO_Tranches!$J$16</f>
        <v>1</v>
      </c>
      <c r="G224" s="39" t="n">
        <f aca="false">IFERROR(IF(ISNUMBER(F224),F224-E224,"n/a"),"n/a")</f>
        <v>0</v>
      </c>
      <c r="H224" s="56" t="n">
        <v>0.005000001</v>
      </c>
      <c r="I224" s="53" t="str">
        <f aca="false">IFERROR(IF(ISNUMBER(F224),IF(ABS(F224-E224)&lt;=H224,"PASS","FAIL"),"FAIL"),"FAIL")</f>
        <v>PASS</v>
      </c>
    </row>
    <row r="225" customFormat="false" ht="15" hidden="false" customHeight="false" outlineLevel="0" collapsed="false">
      <c r="B225" s="54" t="n">
        <v>216</v>
      </c>
      <c r="C225" s="9" t="s">
        <v>677</v>
      </c>
      <c r="D225" s="9" t="s">
        <v>733</v>
      </c>
      <c r="E225" s="12" t="n">
        <v>1</v>
      </c>
      <c r="F225" s="17" t="n">
        <f aca="false">CLO_Tranches!$K$16</f>
        <v>1</v>
      </c>
      <c r="G225" s="39" t="n">
        <f aca="false">IFERROR(IF(ISNUMBER(F225),F225-E225,"n/a"),"n/a")</f>
        <v>0</v>
      </c>
      <c r="H225" s="56" t="n">
        <v>0.005000001</v>
      </c>
      <c r="I225" s="53" t="str">
        <f aca="false">IFERROR(IF(ISNUMBER(F225),IF(ABS(F225-E225)&lt;=H225,"PASS","FAIL"),"FAIL"),"FAIL")</f>
        <v>PASS</v>
      </c>
    </row>
    <row r="226" customFormat="false" ht="15" hidden="false" customHeight="false" outlineLevel="0" collapsed="false">
      <c r="B226" s="54" t="n">
        <v>217</v>
      </c>
      <c r="C226" s="9" t="s">
        <v>677</v>
      </c>
      <c r="D226" s="9" t="s">
        <v>734</v>
      </c>
      <c r="E226" s="12" t="n">
        <v>0</v>
      </c>
      <c r="F226" s="17" t="n">
        <f aca="false">CLO_Tranches!$C$16</f>
        <v>0</v>
      </c>
      <c r="G226" s="39" t="n">
        <f aca="false">IFERROR(IF(ISNUMBER(F226),F226-E226,"n/a"),"n/a")</f>
        <v>0</v>
      </c>
      <c r="H226" s="56" t="n">
        <v>0.005000001</v>
      </c>
      <c r="I226" s="53" t="str">
        <f aca="false">IFERROR(IF(ISNUMBER(F226),IF(ABS(F226-E226)&lt;=H226,"PASS","FAIL"),"FAIL"),"FAIL")</f>
        <v>PASS</v>
      </c>
    </row>
    <row r="227" customFormat="false" ht="15" hidden="false" customHeight="false" outlineLevel="0" collapsed="false">
      <c r="B227" s="54" t="n">
        <v>218</v>
      </c>
      <c r="C227" s="9" t="s">
        <v>677</v>
      </c>
      <c r="D227" s="9" t="s">
        <v>735</v>
      </c>
      <c r="E227" s="12" t="n">
        <v>0.09</v>
      </c>
      <c r="F227" s="17" t="n">
        <f aca="false">CLO_Tranches!$D$16</f>
        <v>0.09</v>
      </c>
      <c r="G227" s="39" t="n">
        <f aca="false">IFERROR(IF(ISNUMBER(F227),F227-E227,"n/a"),"n/a")</f>
        <v>0</v>
      </c>
      <c r="H227" s="56" t="n">
        <v>0.005000001</v>
      </c>
      <c r="I227" s="53" t="str">
        <f aca="false">IFERROR(IF(ISNUMBER(F227),IF(ABS(F227-E227)&lt;=H227,"PASS","FAIL"),"FAIL"),"FAIL")</f>
        <v>PASS</v>
      </c>
    </row>
    <row r="228" customFormat="false" ht="15" hidden="false" customHeight="true" outlineLevel="0" collapsed="false">
      <c r="B228" s="54" t="n">
        <v>219</v>
      </c>
      <c r="C228" s="9" t="s">
        <v>677</v>
      </c>
      <c r="D228" s="60" t="s">
        <v>736</v>
      </c>
      <c r="E228" s="49" t="s">
        <v>558</v>
      </c>
      <c r="F228" s="61" t="str">
        <f aca="false">IFERROR(IF(ABS(SUM(CLO_Tranches!D11:D16)-SUM(CLO_Tranches!C11:C16)-1)&lt;0.000000000001,"holds","does not hold"),"error")</f>
        <v>holds</v>
      </c>
      <c r="G228" s="9"/>
      <c r="H228" s="9"/>
      <c r="I228" s="53" t="str">
        <f aca="false">IFERROR(IF(ABS(SUM(CLO_Tranches!D11:D16)-SUM(CLO_Tranches!C11:C16)-1)&lt;0.000000000001,"PASS","FAIL"),"FAIL")</f>
        <v>PASS</v>
      </c>
    </row>
    <row r="229" customFormat="false" ht="15" hidden="false" customHeight="false" outlineLevel="0" collapsed="false">
      <c r="B229" s="54" t="n">
        <v>220</v>
      </c>
      <c r="C229" s="9" t="s">
        <v>737</v>
      </c>
      <c r="D229" s="9" t="s">
        <v>738</v>
      </c>
      <c r="E229" s="18" t="n">
        <v>1062.5</v>
      </c>
      <c r="F229" s="48" t="n">
        <f aca="false">Derived!$D$6</f>
        <v>1062.5</v>
      </c>
      <c r="G229" s="39" t="n">
        <f aca="false">IFERROR(IF(ISNUMBER(F229),F229-E229,"n/a"),"n/a")</f>
        <v>0</v>
      </c>
      <c r="H229" s="56" t="n">
        <v>0.005000001</v>
      </c>
      <c r="I229" s="53" t="str">
        <f aca="false">IFERROR(IF(ISNUMBER(F229),IF(ABS(F229-E229)&lt;=H229,"PASS","FAIL"),"FAIL"),"FAIL")</f>
        <v>PASS</v>
      </c>
    </row>
    <row r="230" customFormat="false" ht="15" hidden="false" customHeight="false" outlineLevel="0" collapsed="false">
      <c r="B230" s="54" t="n">
        <v>221</v>
      </c>
      <c r="C230" s="9" t="s">
        <v>737</v>
      </c>
      <c r="D230" s="9" t="s">
        <v>739</v>
      </c>
      <c r="E230" s="18" t="n">
        <v>531.25</v>
      </c>
      <c r="F230" s="48" t="n">
        <f aca="false">Derived!$D$7</f>
        <v>531.25</v>
      </c>
      <c r="G230" s="39" t="n">
        <f aca="false">IFERROR(IF(ISNUMBER(F230),F230-E230,"n/a"),"n/a")</f>
        <v>0</v>
      </c>
      <c r="H230" s="56" t="n">
        <v>0.005000001</v>
      </c>
      <c r="I230" s="53" t="str">
        <f aca="false">IFERROR(IF(ISNUMBER(F230),IF(ABS(F230-E230)&lt;=H230,"PASS","FAIL"),"FAIL"),"FAIL")</f>
        <v>PASS</v>
      </c>
    </row>
    <row r="231" customFormat="false" ht="15" hidden="false" customHeight="false" outlineLevel="0" collapsed="false">
      <c r="B231" s="54" t="n">
        <v>222</v>
      </c>
      <c r="C231" s="9" t="s">
        <v>737</v>
      </c>
      <c r="D231" s="9" t="s">
        <v>740</v>
      </c>
      <c r="E231" s="18" t="n">
        <v>7.6</v>
      </c>
      <c r="F231" s="48" t="n">
        <f aca="false">Derived!$D$8</f>
        <v>7.6</v>
      </c>
      <c r="G231" s="39" t="n">
        <f aca="false">IFERROR(IF(ISNUMBER(F231),F231-E231,"n/a"),"n/a")</f>
        <v>0</v>
      </c>
      <c r="H231" s="56" t="n">
        <v>0.005000001</v>
      </c>
      <c r="I231" s="53" t="str">
        <f aca="false">IFERROR(IF(ISNUMBER(F231),IF(ABS(F231-E231)&lt;=H231,"PASS","FAIL"),"FAIL"),"FAIL")</f>
        <v>PASS</v>
      </c>
    </row>
    <row r="232" customFormat="false" ht="15" hidden="false" customHeight="false" outlineLevel="0" collapsed="false">
      <c r="B232" s="54" t="n">
        <v>223</v>
      </c>
      <c r="C232" s="9" t="s">
        <v>737</v>
      </c>
      <c r="D232" s="9" t="s">
        <v>741</v>
      </c>
      <c r="E232" s="18" t="n">
        <v>1.92</v>
      </c>
      <c r="F232" s="48" t="n">
        <f aca="false">Derived!$D$9</f>
        <v>1.92</v>
      </c>
      <c r="G232" s="39" t="n">
        <f aca="false">IFERROR(IF(ISNUMBER(F232),F232-E232,"n/a"),"n/a")</f>
        <v>0</v>
      </c>
      <c r="H232" s="56" t="n">
        <v>0.005000001</v>
      </c>
      <c r="I232" s="53" t="str">
        <f aca="false">IFERROR(IF(ISNUMBER(F232),IF(ABS(F232-E232)&lt;=H232,"PASS","FAIL"),"FAIL"),"FAIL")</f>
        <v>PASS</v>
      </c>
    </row>
    <row r="233" customFormat="false" ht="15" hidden="false" customHeight="false" outlineLevel="0" collapsed="false">
      <c r="B233" s="54" t="n">
        <v>224</v>
      </c>
      <c r="C233" s="9" t="s">
        <v>737</v>
      </c>
      <c r="D233" s="9" t="s">
        <v>742</v>
      </c>
      <c r="E233" s="18" t="n">
        <v>1.6</v>
      </c>
      <c r="F233" s="48" t="n">
        <f aca="false">Derived!$D$10</f>
        <v>1.6</v>
      </c>
      <c r="G233" s="39" t="n">
        <f aca="false">IFERROR(IF(ISNUMBER(F233),F233-E233,"n/a"),"n/a")</f>
        <v>0</v>
      </c>
      <c r="H233" s="56" t="n">
        <v>0.005000001</v>
      </c>
      <c r="I233" s="53" t="str">
        <f aca="false">IFERROR(IF(ISNUMBER(F233),IF(ABS(F233-E233)&lt;=H233,"PASS","FAIL"),"FAIL"),"FAIL")</f>
        <v>PASS</v>
      </c>
    </row>
    <row r="234" customFormat="false" ht="15" hidden="false" customHeight="false" outlineLevel="0" collapsed="false">
      <c r="B234" s="54" t="n">
        <v>225</v>
      </c>
      <c r="C234" s="9" t="s">
        <v>737</v>
      </c>
      <c r="D234" s="9" t="s">
        <v>743</v>
      </c>
      <c r="E234" s="18" t="n">
        <v>1.32</v>
      </c>
      <c r="F234" s="48" t="n">
        <f aca="false">Derived!$D$11</f>
        <v>1.32</v>
      </c>
      <c r="G234" s="39" t="n">
        <f aca="false">IFERROR(IF(ISNUMBER(F234),F234-E234,"n/a"),"n/a")</f>
        <v>0</v>
      </c>
      <c r="H234" s="56" t="n">
        <v>0.005000001</v>
      </c>
      <c r="I234" s="53" t="str">
        <f aca="false">IFERROR(IF(ISNUMBER(F234),IF(ABS(F234-E234)&lt;=H234,"PASS","FAIL"),"FAIL"),"FAIL")</f>
        <v>PASS</v>
      </c>
    </row>
    <row r="235" customFormat="false" ht="15" hidden="false" customHeight="false" outlineLevel="0" collapsed="false">
      <c r="B235" s="54" t="n">
        <v>226</v>
      </c>
      <c r="C235" s="9" t="s">
        <v>737</v>
      </c>
      <c r="D235" s="9" t="s">
        <v>744</v>
      </c>
      <c r="E235" s="63" t="n">
        <v>2.725</v>
      </c>
      <c r="F235" s="50" t="n">
        <f aca="false">Derived!$D$12</f>
        <v>2.725</v>
      </c>
      <c r="G235" s="39" t="n">
        <f aca="false">IFERROR(IF(ISNUMBER(F235),F235-E235,"n/a"),"n/a")</f>
        <v>0</v>
      </c>
      <c r="H235" s="56" t="n">
        <v>0.000500001</v>
      </c>
      <c r="I235" s="53" t="str">
        <f aca="false">IFERROR(IF(ISNUMBER(F235),IF(ABS(F235-E235)&lt;=H235,"PASS","FAIL"),"FAIL"),"FAIL")</f>
        <v>PASS</v>
      </c>
    </row>
    <row r="236" customFormat="false" ht="15" hidden="false" customHeight="false" outlineLevel="0" collapsed="false">
      <c r="B236" s="54" t="n">
        <v>227</v>
      </c>
      <c r="C236" s="9" t="s">
        <v>737</v>
      </c>
      <c r="D236" s="9" t="s">
        <v>745</v>
      </c>
      <c r="E236" s="18" t="n">
        <v>0.97</v>
      </c>
      <c r="F236" s="48" t="n">
        <f aca="false">Derived!$D$13</f>
        <v>0.97</v>
      </c>
      <c r="G236" s="39" t="n">
        <f aca="false">IFERROR(IF(ISNUMBER(F236),F236-E236,"n/a"),"n/a")</f>
        <v>0</v>
      </c>
      <c r="H236" s="56" t="n">
        <v>0.005000001</v>
      </c>
      <c r="I236" s="53" t="str">
        <f aca="false">IFERROR(IF(ISNUMBER(F236),IF(ABS(F236-E236)&lt;=H236,"PASS","FAIL"),"FAIL"),"FAIL")</f>
        <v>PASS</v>
      </c>
    </row>
    <row r="237" customFormat="false" ht="15" hidden="false" customHeight="false" outlineLevel="0" collapsed="false">
      <c r="B237" s="54" t="n">
        <v>228</v>
      </c>
      <c r="C237" s="9" t="s">
        <v>737</v>
      </c>
      <c r="D237" s="9" t="s">
        <v>746</v>
      </c>
      <c r="E237" s="63" t="n">
        <v>0.859</v>
      </c>
      <c r="F237" s="50" t="n">
        <f aca="false">Derived!$D$14</f>
        <v>0.8587340257</v>
      </c>
      <c r="G237" s="39" t="n">
        <f aca="false">IFERROR(IF(ISNUMBER(F237),F237-E237,"n/a"),"n/a")</f>
        <v>-0.000265974300000083</v>
      </c>
      <c r="H237" s="56" t="n">
        <v>0.000500001</v>
      </c>
      <c r="I237" s="53" t="str">
        <f aca="false">IFERROR(IF(ISNUMBER(F237),IF(ABS(F237-E237)&lt;=H237,"PASS","FAIL"),"FAIL"),"FAIL")</f>
        <v>PASS</v>
      </c>
    </row>
    <row r="238" customFormat="false" ht="15" hidden="false" customHeight="false" outlineLevel="0" collapsed="false">
      <c r="B238" s="54" t="n">
        <v>229</v>
      </c>
      <c r="C238" s="9" t="s">
        <v>737</v>
      </c>
      <c r="D238" s="9" t="s">
        <v>747</v>
      </c>
      <c r="E238" s="63" t="n">
        <v>0.444</v>
      </c>
      <c r="F238" s="50" t="n">
        <f aca="false">Derived!$D$15</f>
        <v>0.4437053125</v>
      </c>
      <c r="G238" s="39" t="n">
        <f aca="false">IFERROR(IF(ISNUMBER(F238),F238-E238,"n/a"),"n/a")</f>
        <v>-0.000294687500000057</v>
      </c>
      <c r="H238" s="56" t="n">
        <v>0.000500001</v>
      </c>
      <c r="I238" s="53" t="str">
        <f aca="false">IFERROR(IF(ISNUMBER(F238),IF(ABS(F238-E238)&lt;=H238,"PASS","FAIL"),"FAIL"),"FAIL")</f>
        <v>PASS</v>
      </c>
    </row>
    <row r="239" customFormat="false" ht="15" hidden="false" customHeight="false" outlineLevel="0" collapsed="false">
      <c r="B239" s="54" t="n">
        <v>230</v>
      </c>
      <c r="C239" s="9" t="s">
        <v>737</v>
      </c>
      <c r="D239" s="9" t="s">
        <v>748</v>
      </c>
      <c r="E239" s="18" t="n">
        <v>2.94</v>
      </c>
      <c r="F239" s="48" t="n">
        <f aca="false">Derived!$D$16</f>
        <v>2.94</v>
      </c>
      <c r="G239" s="39" t="n">
        <f aca="false">IFERROR(IF(ISNUMBER(F239),F239-E239,"n/a"),"n/a")</f>
        <v>0</v>
      </c>
      <c r="H239" s="56" t="n">
        <v>0.005000001</v>
      </c>
      <c r="I239" s="53" t="str">
        <f aca="false">IFERROR(IF(ISNUMBER(F239),IF(ABS(F239-E239)&lt;=H239,"PASS","FAIL"),"FAIL"),"FAIL")</f>
        <v>PASS</v>
      </c>
    </row>
    <row r="240" customFormat="false" ht="15" hidden="false" customHeight="false" outlineLevel="0" collapsed="false">
      <c r="B240" s="54" t="n">
        <v>231</v>
      </c>
      <c r="C240" s="9" t="s">
        <v>737</v>
      </c>
      <c r="D240" s="9" t="s">
        <v>749</v>
      </c>
      <c r="E240" s="18" t="n">
        <v>4.75</v>
      </c>
      <c r="F240" s="48" t="n">
        <f aca="false">Derived!$D$17</f>
        <v>4.75</v>
      </c>
      <c r="G240" s="39" t="n">
        <f aca="false">IFERROR(IF(ISNUMBER(F240),F240-E240,"n/a"),"n/a")</f>
        <v>0</v>
      </c>
      <c r="H240" s="56" t="n">
        <v>0.005000001</v>
      </c>
      <c r="I240" s="53" t="str">
        <f aca="false">IFERROR(IF(ISNUMBER(F240),IF(ABS(F240-E240)&lt;=H240,"PASS","FAIL"),"FAIL"),"FAIL")</f>
        <v>PASS</v>
      </c>
    </row>
    <row r="241" customFormat="false" ht="15" hidden="false" customHeight="false" outlineLevel="0" collapsed="false">
      <c r="B241" s="54" t="n">
        <v>232</v>
      </c>
      <c r="C241" s="9" t="s">
        <v>737</v>
      </c>
      <c r="D241" s="9" t="s">
        <v>750</v>
      </c>
      <c r="E241" s="62" t="n">
        <v>7.9</v>
      </c>
      <c r="F241" s="51" t="n">
        <f aca="false">Derived!$D$18</f>
        <v>7.91666666666667</v>
      </c>
      <c r="G241" s="39" t="n">
        <f aca="false">IFERROR(IF(ISNUMBER(F241),F241-E241,"n/a"),"n/a")</f>
        <v>0.0166666666666666</v>
      </c>
      <c r="H241" s="56" t="n">
        <v>0.050000001</v>
      </c>
      <c r="I241" s="53" t="str">
        <f aca="false">IFERROR(IF(ISNUMBER(F241),IF(ABS(F241-E241)&lt;=H241,"PASS","FAIL"),"FAIL"),"FAIL")</f>
        <v>PASS</v>
      </c>
    </row>
    <row r="242" customFormat="false" ht="15" hidden="false" customHeight="false" outlineLevel="0" collapsed="false">
      <c r="B242" s="54" t="n">
        <v>233</v>
      </c>
      <c r="C242" s="9" t="s">
        <v>737</v>
      </c>
      <c r="D242" s="9" t="s">
        <v>751</v>
      </c>
      <c r="E242" s="18" t="n">
        <v>2.95</v>
      </c>
      <c r="F242" s="48" t="n">
        <f aca="false">Derived!$D$19</f>
        <v>2.95</v>
      </c>
      <c r="G242" s="39" t="n">
        <f aca="false">IFERROR(IF(ISNUMBER(F242),F242-E242,"n/a"),"n/a")</f>
        <v>0</v>
      </c>
      <c r="H242" s="56" t="n">
        <v>0.005000001</v>
      </c>
      <c r="I242" s="53" t="str">
        <f aca="false">IFERROR(IF(ISNUMBER(F242),IF(ABS(F242-E242)&lt;=H242,"PASS","FAIL"),"FAIL"),"FAIL")</f>
        <v>PASS</v>
      </c>
    </row>
    <row r="243" customFormat="false" ht="15" hidden="false" customHeight="false" outlineLevel="0" collapsed="false">
      <c r="B243" s="54" t="n">
        <v>234</v>
      </c>
      <c r="C243" s="9" t="s">
        <v>737</v>
      </c>
      <c r="D243" s="9" t="s">
        <v>752</v>
      </c>
      <c r="E243" s="18" t="n">
        <v>0.77</v>
      </c>
      <c r="F243" s="48" t="n">
        <f aca="false">Derived!$D$20</f>
        <v>0.77</v>
      </c>
      <c r="G243" s="39" t="n">
        <f aca="false">IFERROR(IF(ISNUMBER(F243),F243-E243,"n/a"),"n/a")</f>
        <v>0</v>
      </c>
      <c r="H243" s="56" t="n">
        <v>0.005000001</v>
      </c>
      <c r="I243" s="53" t="str">
        <f aca="false">IFERROR(IF(ISNUMBER(F243),IF(ABS(F243-E243)&lt;=H243,"PASS","FAIL"),"FAIL"),"FAIL")</f>
        <v>PASS</v>
      </c>
    </row>
    <row r="244" customFormat="false" ht="15" hidden="false" customHeight="false" outlineLevel="0" collapsed="false">
      <c r="B244" s="54" t="n">
        <v>235</v>
      </c>
      <c r="C244" s="9" t="s">
        <v>737</v>
      </c>
      <c r="D244" s="9" t="s">
        <v>753</v>
      </c>
      <c r="E244" s="18" t="n">
        <v>1362.5</v>
      </c>
      <c r="F244" s="48" t="n">
        <f aca="false">Derived!$D$21</f>
        <v>1362.5</v>
      </c>
      <c r="G244" s="39" t="n">
        <f aca="false">IFERROR(IF(ISNUMBER(F244),F244-E244,"n/a"),"n/a")</f>
        <v>0</v>
      </c>
      <c r="H244" s="56" t="n">
        <v>0.005000001</v>
      </c>
      <c r="I244" s="53" t="str">
        <f aca="false">IFERROR(IF(ISNUMBER(F244),IF(ABS(F244-E244)&lt;=H244,"PASS","FAIL"),"FAIL"),"FAIL")</f>
        <v>PASS</v>
      </c>
    </row>
    <row r="245" customFormat="false" ht="15" hidden="false" customHeight="false" outlineLevel="0" collapsed="false">
      <c r="B245" s="54" t="n">
        <v>236</v>
      </c>
      <c r="C245" s="9" t="s">
        <v>737</v>
      </c>
      <c r="D245" s="9" t="s">
        <v>754</v>
      </c>
      <c r="E245" s="18" t="n">
        <v>1227.5</v>
      </c>
      <c r="F245" s="48" t="n">
        <f aca="false">Derived!$D$22</f>
        <v>1227.5</v>
      </c>
      <c r="G245" s="39" t="n">
        <f aca="false">IFERROR(IF(ISNUMBER(F245),F245-E245,"n/a"),"n/a")</f>
        <v>0</v>
      </c>
      <c r="H245" s="56" t="n">
        <v>0.005000001</v>
      </c>
      <c r="I245" s="53" t="str">
        <f aca="false">IFERROR(IF(ISNUMBER(F245),IF(ABS(F245-E245)&lt;=H245,"PASS","FAIL"),"FAIL"),"FAIL")</f>
        <v>PASS</v>
      </c>
    </row>
    <row r="246" customFormat="false" ht="15" hidden="false" customHeight="false" outlineLevel="0" collapsed="false">
      <c r="B246" s="54" t="n">
        <v>237</v>
      </c>
      <c r="C246" s="9" t="s">
        <v>737</v>
      </c>
      <c r="D246" s="9" t="s">
        <v>755</v>
      </c>
      <c r="E246" s="18" t="n">
        <v>0.15</v>
      </c>
      <c r="F246" s="48" t="n">
        <f aca="false">Derived!$D$23</f>
        <v>0.152201761470354</v>
      </c>
      <c r="G246" s="39" t="n">
        <f aca="false">IFERROR(IF(ISNUMBER(F246),F246-E246,"n/a"),"n/a")</f>
        <v>0.00220176147035439</v>
      </c>
      <c r="H246" s="56" t="n">
        <v>0.005000001</v>
      </c>
      <c r="I246" s="53" t="str">
        <f aca="false">IFERROR(IF(ISNUMBER(F246),IF(ABS(F246-E246)&lt;=H246,"PASS","FAIL"),"FAIL"),"FAIL")</f>
        <v>PASS</v>
      </c>
    </row>
    <row r="247" customFormat="false" ht="15" hidden="false" customHeight="false" outlineLevel="0" collapsed="false">
      <c r="B247" s="54" t="n">
        <v>238</v>
      </c>
      <c r="C247" s="9" t="s">
        <v>737</v>
      </c>
      <c r="D247" s="9" t="s">
        <v>756</v>
      </c>
      <c r="E247" s="18" t="n">
        <v>5.21</v>
      </c>
      <c r="F247" s="48" t="n">
        <f aca="false">Derived!$D$24</f>
        <v>5.21220176147035</v>
      </c>
      <c r="G247" s="39" t="n">
        <f aca="false">IFERROR(IF(ISNUMBER(F247),F247-E247,"n/a"),"n/a")</f>
        <v>0.00220176147035378</v>
      </c>
      <c r="H247" s="56" t="n">
        <v>0.005000001</v>
      </c>
      <c r="I247" s="53" t="str">
        <f aca="false">IFERROR(IF(ISNUMBER(F247),IF(ABS(F247-E247)&lt;=H247,"PASS","FAIL"),"FAIL"),"FAIL")</f>
        <v>PASS</v>
      </c>
    </row>
    <row r="248" customFormat="false" ht="15" hidden="false" customHeight="false" outlineLevel="0" collapsed="false">
      <c r="B248" s="54" t="n">
        <v>239</v>
      </c>
      <c r="C248" s="9" t="s">
        <v>737</v>
      </c>
      <c r="D248" s="9" t="s">
        <v>757</v>
      </c>
      <c r="E248" s="18" t="n">
        <v>5.21</v>
      </c>
      <c r="F248" s="48" t="n">
        <f aca="false">Derived!$D$25</f>
        <v>5.21220176147035</v>
      </c>
      <c r="G248" s="39" t="n">
        <f aca="false">IFERROR(IF(ISNUMBER(F248),F248-E248,"n/a"),"n/a")</f>
        <v>0.00220176147035378</v>
      </c>
      <c r="H248" s="56" t="n">
        <v>0.005000001</v>
      </c>
      <c r="I248" s="53" t="str">
        <f aca="false">IFERROR(IF(ISNUMBER(F248),IF(ABS(F248-E248)&lt;=H248,"PASS","FAIL"),"FAIL"),"FAIL")</f>
        <v>PASS</v>
      </c>
    </row>
    <row r="249" customFormat="false" ht="15" hidden="false" customHeight="false" outlineLevel="0" collapsed="false">
      <c r="B249" s="54" t="n">
        <v>240</v>
      </c>
      <c r="C249" s="9" t="s">
        <v>737</v>
      </c>
      <c r="D249" s="9" t="s">
        <v>758</v>
      </c>
      <c r="E249" s="18" t="n">
        <v>9.54</v>
      </c>
      <c r="F249" s="48" t="n">
        <f aca="false">Derived!$D$26</f>
        <v>9.54000000000001</v>
      </c>
      <c r="G249" s="39" t="n">
        <f aca="false">IFERROR(IF(ISNUMBER(F249),F249-E249,"n/a"),"n/a")</f>
        <v>0</v>
      </c>
      <c r="H249" s="56" t="n">
        <v>0.005000001</v>
      </c>
      <c r="I249" s="53" t="str">
        <f aca="false">IFERROR(IF(ISNUMBER(F249),IF(ABS(F249-E249)&lt;=H249,"PASS","FAIL"),"FAIL"),"FAIL")</f>
        <v>PASS</v>
      </c>
    </row>
    <row r="250" customFormat="false" ht="15" hidden="false" customHeight="false" outlineLevel="0" collapsed="false">
      <c r="B250" s="54" t="n">
        <v>241</v>
      </c>
      <c r="C250" s="9" t="s">
        <v>737</v>
      </c>
      <c r="D250" s="9" t="s">
        <v>759</v>
      </c>
      <c r="E250" s="18" t="n">
        <v>-9.54</v>
      </c>
      <c r="F250" s="48" t="n">
        <f aca="false">Derived!$D$27</f>
        <v>-9.54000000000001</v>
      </c>
      <c r="G250" s="39" t="n">
        <f aca="false">IFERROR(IF(ISNUMBER(F250),F250-E250,"n/a"),"n/a")</f>
        <v>0</v>
      </c>
      <c r="H250" s="56" t="n">
        <v>0.005000001</v>
      </c>
      <c r="I250" s="53" t="str">
        <f aca="false">IFERROR(IF(ISNUMBER(F250),IF(ABS(F250-E250)&lt;=H250,"PASS","FAIL"),"FAIL"),"FAIL")</f>
        <v>PASS</v>
      </c>
    </row>
    <row r="251" customFormat="false" ht="15" hidden="false" customHeight="false" outlineLevel="0" collapsed="false">
      <c r="B251" s="54" t="n">
        <v>242</v>
      </c>
      <c r="C251" s="9" t="s">
        <v>737</v>
      </c>
      <c r="D251" s="9" t="s">
        <v>760</v>
      </c>
      <c r="E251" s="18" t="n">
        <v>0.61</v>
      </c>
      <c r="F251" s="48" t="n">
        <f aca="false">Derived!$D$28</f>
        <v>0.608807045881418</v>
      </c>
      <c r="G251" s="39" t="n">
        <f aca="false">IFERROR(IF(ISNUMBER(F251),F251-E251,"n/a"),"n/a")</f>
        <v>-0.00119295411858245</v>
      </c>
      <c r="H251" s="56" t="n">
        <v>0.005000001</v>
      </c>
      <c r="I251" s="53" t="str">
        <f aca="false">IFERROR(IF(ISNUMBER(F251),IF(ABS(F251-E251)&lt;=H251,"PASS","FAIL"),"FAIL"),"FAIL")</f>
        <v>PASS</v>
      </c>
    </row>
    <row r="252" customFormat="false" ht="15" hidden="false" customHeight="false" outlineLevel="0" collapsed="false">
      <c r="B252" s="54" t="n">
        <v>243</v>
      </c>
      <c r="C252" s="9" t="s">
        <v>737</v>
      </c>
      <c r="D252" s="9" t="s">
        <v>761</v>
      </c>
      <c r="E252" s="18" t="n">
        <v>9.51</v>
      </c>
      <c r="F252" s="48" t="n">
        <f aca="false">Derived!$D$29</f>
        <v>9.51119295411858</v>
      </c>
      <c r="G252" s="39" t="n">
        <f aca="false">IFERROR(IF(ISNUMBER(F252),F252-E252,"n/a"),"n/a")</f>
        <v>0.00119295411858111</v>
      </c>
      <c r="H252" s="56" t="n">
        <v>0.005000001</v>
      </c>
      <c r="I252" s="53" t="str">
        <f aca="false">IFERROR(IF(ISNUMBER(F252),IF(ABS(F252-E252)&lt;=H252,"PASS","FAIL"),"FAIL"),"FAIL")</f>
        <v>PASS</v>
      </c>
    </row>
    <row r="253" customFormat="false" ht="15" hidden="false" customHeight="false" outlineLevel="0" collapsed="false">
      <c r="B253" s="54" t="n">
        <v>244</v>
      </c>
      <c r="C253" s="9" t="s">
        <v>737</v>
      </c>
      <c r="D253" s="9" t="s">
        <v>762</v>
      </c>
      <c r="E253" s="18" t="n">
        <v>-9.51</v>
      </c>
      <c r="F253" s="48" t="n">
        <f aca="false">Derived!$D$30</f>
        <v>-9.51119295411858</v>
      </c>
      <c r="G253" s="39" t="n">
        <f aca="false">IFERROR(IF(ISNUMBER(F253),F253-E253,"n/a"),"n/a")</f>
        <v>-0.00119295411858111</v>
      </c>
      <c r="H253" s="56" t="n">
        <v>0.005000001</v>
      </c>
      <c r="I253" s="53" t="str">
        <f aca="false">IFERROR(IF(ISNUMBER(F253),IF(ABS(F253-E253)&lt;=H253,"PASS","FAIL"),"FAIL"),"FAIL")</f>
        <v>PASS</v>
      </c>
    </row>
    <row r="254" customFormat="false" ht="15" hidden="false" customHeight="false" outlineLevel="0" collapsed="false">
      <c r="B254" s="54" t="n">
        <v>245</v>
      </c>
      <c r="C254" s="9" t="s">
        <v>737</v>
      </c>
      <c r="D254" s="9" t="s">
        <v>763</v>
      </c>
      <c r="E254" s="18" t="n">
        <v>1.86</v>
      </c>
      <c r="F254" s="48" t="n">
        <f aca="false">Derived!$D$31</f>
        <v>1.86</v>
      </c>
      <c r="G254" s="39" t="n">
        <f aca="false">IFERROR(IF(ISNUMBER(F254),F254-E254,"n/a"),"n/a")</f>
        <v>0</v>
      </c>
      <c r="H254" s="56" t="n">
        <v>0.005000001</v>
      </c>
      <c r="I254" s="53" t="str">
        <f aca="false">IFERROR(IF(ISNUMBER(F254),IF(ABS(F254-E254)&lt;=H254,"PASS","FAIL"),"FAIL"),"FAIL")</f>
        <v>PASS</v>
      </c>
    </row>
    <row r="255" customFormat="false" ht="15" hidden="false" customHeight="false" outlineLevel="0" collapsed="false">
      <c r="B255" s="54" t="n">
        <v>246</v>
      </c>
      <c r="C255" s="9" t="s">
        <v>737</v>
      </c>
      <c r="D255" s="9" t="s">
        <v>764</v>
      </c>
      <c r="E255" s="35" t="n">
        <v>465</v>
      </c>
      <c r="F255" s="27" t="n">
        <f aca="false">Derived!$D$32</f>
        <v>465</v>
      </c>
      <c r="G255" s="39" t="n">
        <f aca="false">IFERROR(IF(ISNUMBER(F255),F255-E255,"n/a"),"n/a")</f>
        <v>0</v>
      </c>
      <c r="H255" s="56" t="n">
        <v>0.500000001</v>
      </c>
      <c r="I255" s="53" t="str">
        <f aca="false">IFERROR(IF(ISNUMBER(F255),IF(ABS(F255-E255)&lt;=H255,"PASS","FAIL"),"FAIL"),"FAIL")</f>
        <v>PASS</v>
      </c>
    </row>
    <row r="256" customFormat="false" ht="15" hidden="false" customHeight="false" outlineLevel="0" collapsed="false">
      <c r="B256" s="54" t="n">
        <v>247</v>
      </c>
      <c r="C256" s="9" t="s">
        <v>737</v>
      </c>
      <c r="D256" s="9" t="s">
        <v>765</v>
      </c>
      <c r="E256" s="35" t="n">
        <v>4400</v>
      </c>
      <c r="F256" s="27" t="n">
        <f aca="false">Derived!$D$33</f>
        <v>4400</v>
      </c>
      <c r="G256" s="39" t="n">
        <f aca="false">IFERROR(IF(ISNUMBER(F256),F256-E256,"n/a"),"n/a")</f>
        <v>0</v>
      </c>
      <c r="H256" s="56" t="n">
        <v>0.500000001</v>
      </c>
      <c r="I256" s="53" t="str">
        <f aca="false">IFERROR(IF(ISNUMBER(F256),IF(ABS(F256-E256)&lt;=H256,"PASS","FAIL"),"FAIL"),"FAIL")</f>
        <v>PASS</v>
      </c>
    </row>
    <row r="257" customFormat="false" ht="15" hidden="false" customHeight="false" outlineLevel="0" collapsed="false">
      <c r="B257" s="54" t="n">
        <v>248</v>
      </c>
      <c r="C257" s="9" t="s">
        <v>737</v>
      </c>
      <c r="D257" s="9" t="s">
        <v>766</v>
      </c>
      <c r="E257" s="35" t="n">
        <v>464</v>
      </c>
      <c r="F257" s="27" t="n">
        <f aca="false">Derived!$D$34</f>
        <v>464.125</v>
      </c>
      <c r="G257" s="39" t="n">
        <f aca="false">IFERROR(IF(ISNUMBER(F257),F257-E257,"n/a"),"n/a")</f>
        <v>0.125</v>
      </c>
      <c r="H257" s="56" t="n">
        <v>0.500000001</v>
      </c>
      <c r="I257" s="53" t="str">
        <f aca="false">IFERROR(IF(ISNUMBER(F257),IF(ABS(F257-E257)&lt;=H257,"PASS","FAIL"),"FAIL"),"FAIL")</f>
        <v>PASS</v>
      </c>
    </row>
    <row r="258" customFormat="false" ht="15" hidden="false" customHeight="false" outlineLevel="0" collapsed="false">
      <c r="B258" s="54" t="n">
        <v>249</v>
      </c>
      <c r="C258" s="9" t="s">
        <v>737</v>
      </c>
      <c r="D258" s="9" t="s">
        <v>767</v>
      </c>
      <c r="E258" s="35" t="n">
        <v>6750</v>
      </c>
      <c r="F258" s="27" t="n">
        <f aca="false">Derived!$D$35</f>
        <v>6750</v>
      </c>
      <c r="G258" s="39" t="n">
        <f aca="false">IFERROR(IF(ISNUMBER(F258),F258-E258,"n/a"),"n/a")</f>
        <v>0</v>
      </c>
      <c r="H258" s="56" t="n">
        <v>0.500000001</v>
      </c>
      <c r="I258" s="53" t="str">
        <f aca="false">IFERROR(IF(ISNUMBER(F258),IF(ABS(F258-E258)&lt;=H258,"PASS","FAIL"),"FAIL"),"FAIL")</f>
        <v>PASS</v>
      </c>
    </row>
    <row r="259" customFormat="false" ht="15" hidden="false" customHeight="false" outlineLevel="0" collapsed="false">
      <c r="B259" s="54" t="n">
        <v>250</v>
      </c>
      <c r="C259" s="9" t="s">
        <v>737</v>
      </c>
      <c r="D259" s="9" t="s">
        <v>768</v>
      </c>
      <c r="E259" s="35" t="n">
        <v>500</v>
      </c>
      <c r="F259" s="27" t="n">
        <f aca="false">Derived!$D$36</f>
        <v>500</v>
      </c>
      <c r="G259" s="39" t="n">
        <f aca="false">IFERROR(IF(ISNUMBER(F259),F259-E259,"n/a"),"n/a")</f>
        <v>0</v>
      </c>
      <c r="H259" s="56" t="n">
        <v>0.500000001</v>
      </c>
      <c r="I259" s="53" t="str">
        <f aca="false">IFERROR(IF(ISNUMBER(F259),IF(ABS(F259-E259)&lt;=H259,"PASS","FAIL"),"FAIL"),"FAIL")</f>
        <v>PASS</v>
      </c>
    </row>
    <row r="260" customFormat="false" ht="15" hidden="false" customHeight="false" outlineLevel="0" collapsed="false">
      <c r="B260" s="54" t="n">
        <v>251</v>
      </c>
      <c r="C260" s="9" t="s">
        <v>737</v>
      </c>
      <c r="D260" s="9" t="s">
        <v>769</v>
      </c>
      <c r="E260" s="35" t="n">
        <v>2385</v>
      </c>
      <c r="F260" s="27" t="n">
        <f aca="false">Derived!$D$37</f>
        <v>2385</v>
      </c>
      <c r="G260" s="39" t="n">
        <f aca="false">IFERROR(IF(ISNUMBER(F260),F260-E260,"n/a"),"n/a")</f>
        <v>0</v>
      </c>
      <c r="H260" s="56" t="n">
        <v>0.500000001</v>
      </c>
      <c r="I260" s="53" t="str">
        <f aca="false">IFERROR(IF(ISNUMBER(F260),IF(ABS(F260-E260)&lt;=H260,"PASS","FAIL"),"FAIL"),"FAIL")</f>
        <v>PASS</v>
      </c>
    </row>
    <row r="261" customFormat="false" ht="15" hidden="false" customHeight="false" outlineLevel="0" collapsed="false">
      <c r="B261" s="54" t="n">
        <v>252</v>
      </c>
      <c r="C261" s="9" t="s">
        <v>737</v>
      </c>
      <c r="D261" s="9" t="s">
        <v>770</v>
      </c>
      <c r="E261" s="18" t="n">
        <v>531.25</v>
      </c>
      <c r="F261" s="48" t="n">
        <f aca="false">Derived!$D$38</f>
        <v>531.25</v>
      </c>
      <c r="G261" s="39" t="n">
        <f aca="false">IFERROR(IF(ISNUMBER(F261),F261-E261,"n/a"),"n/a")</f>
        <v>0</v>
      </c>
      <c r="H261" s="56" t="n">
        <v>0.005000001</v>
      </c>
      <c r="I261" s="53" t="str">
        <f aca="false">IFERROR(IF(ISNUMBER(F261),IF(ABS(F261-E261)&lt;=H261,"PASS","FAIL"),"FAIL"),"FAIL")</f>
        <v>PASS</v>
      </c>
    </row>
    <row r="262" customFormat="false" ht="15" hidden="false" customHeight="false" outlineLevel="0" collapsed="false">
      <c r="B262" s="54" t="n">
        <v>253</v>
      </c>
      <c r="C262" s="9" t="s">
        <v>737</v>
      </c>
      <c r="D262" s="9" t="s">
        <v>771</v>
      </c>
      <c r="E262" s="18" t="n">
        <v>1062.5</v>
      </c>
      <c r="F262" s="48" t="n">
        <f aca="false">Derived!$D$39</f>
        <v>1062.5</v>
      </c>
      <c r="G262" s="39" t="n">
        <f aca="false">IFERROR(IF(ISNUMBER(F262),F262-E262,"n/a"),"n/a")</f>
        <v>0</v>
      </c>
      <c r="H262" s="56" t="n">
        <v>0.005000001</v>
      </c>
      <c r="I262" s="53" t="str">
        <f aca="false">IFERROR(IF(ISNUMBER(F262),IF(ABS(F262-E262)&lt;=H262,"PASS","FAIL"),"FAIL"),"FAIL")</f>
        <v>PASS</v>
      </c>
    </row>
    <row r="263" customFormat="false" ht="15" hidden="false" customHeight="false" outlineLevel="0" collapsed="false">
      <c r="B263" s="54" t="n">
        <v>254</v>
      </c>
      <c r="C263" s="9" t="s">
        <v>737</v>
      </c>
      <c r="D263" s="9" t="s">
        <v>772</v>
      </c>
      <c r="E263" s="18" t="n">
        <v>5687.5</v>
      </c>
      <c r="F263" s="48" t="n">
        <f aca="false">Derived!$D$40</f>
        <v>5687.5</v>
      </c>
      <c r="G263" s="39" t="n">
        <f aca="false">IFERROR(IF(ISNUMBER(F263),F263-E263,"n/a"),"n/a")</f>
        <v>0</v>
      </c>
      <c r="H263" s="56" t="n">
        <v>0.005000001</v>
      </c>
      <c r="I263" s="53" t="str">
        <f aca="false">IFERROR(IF(ISNUMBER(F263),IF(ABS(F263-E263)&lt;=H263,"PASS","FAIL"),"FAIL"),"FAIL")</f>
        <v>PASS</v>
      </c>
    </row>
    <row r="264" customFormat="false" ht="15" hidden="false" customHeight="false" outlineLevel="0" collapsed="false">
      <c r="B264" s="54" t="n">
        <v>255</v>
      </c>
      <c r="C264" s="9" t="s">
        <v>737</v>
      </c>
      <c r="D264" s="9" t="s">
        <v>773</v>
      </c>
      <c r="E264" s="35" t="n">
        <v>2000</v>
      </c>
      <c r="F264" s="27" t="n">
        <f aca="false">Derived!$D$41</f>
        <v>2000</v>
      </c>
      <c r="G264" s="39" t="n">
        <f aca="false">IFERROR(IF(ISNUMBER(F264),F264-E264,"n/a"),"n/a")</f>
        <v>0</v>
      </c>
      <c r="H264" s="56" t="n">
        <v>0.500000001</v>
      </c>
      <c r="I264" s="53" t="str">
        <f aca="false">IFERROR(IF(ISNUMBER(F264),IF(ABS(F264-E264)&lt;=H264,"PASS","FAIL"),"FAIL"),"FAIL")</f>
        <v>PASS</v>
      </c>
    </row>
    <row r="265" customFormat="false" ht="15" hidden="false" customHeight="false" outlineLevel="0" collapsed="false">
      <c r="B265" s="54" t="n">
        <v>256</v>
      </c>
      <c r="C265" s="9" t="s">
        <v>737</v>
      </c>
      <c r="D265" s="9" t="s">
        <v>774</v>
      </c>
      <c r="E265" s="35" t="n">
        <v>3750</v>
      </c>
      <c r="F265" s="27" t="n">
        <f aca="false">Derived!$D$42</f>
        <v>3750</v>
      </c>
      <c r="G265" s="39" t="n">
        <f aca="false">IFERROR(IF(ISNUMBER(F265),F265-E265,"n/a"),"n/a")</f>
        <v>0</v>
      </c>
      <c r="H265" s="56" t="n">
        <v>0.500000001</v>
      </c>
      <c r="I265" s="53" t="str">
        <f aca="false">IFERROR(IF(ISNUMBER(F265),IF(ABS(F265-E265)&lt;=H265,"PASS","FAIL"),"FAIL"),"FAIL")</f>
        <v>PASS</v>
      </c>
    </row>
    <row r="266" customFormat="false" ht="15" hidden="false" customHeight="false" outlineLevel="0" collapsed="false">
      <c r="B266" s="54" t="n">
        <v>257</v>
      </c>
      <c r="C266" s="9" t="s">
        <v>737</v>
      </c>
      <c r="D266" s="9" t="s">
        <v>775</v>
      </c>
      <c r="E266" s="35" t="n">
        <v>3125</v>
      </c>
      <c r="F266" s="27" t="n">
        <f aca="false">Derived!$D$43</f>
        <v>3125</v>
      </c>
      <c r="G266" s="39" t="n">
        <f aca="false">IFERROR(IF(ISNUMBER(F266),F266-E266,"n/a"),"n/a")</f>
        <v>0</v>
      </c>
      <c r="H266" s="56" t="n">
        <v>0.500000001</v>
      </c>
      <c r="I266" s="53" t="str">
        <f aca="false">IFERROR(IF(ISNUMBER(F266),IF(ABS(F266-E266)&lt;=H266,"PASS","FAIL"),"FAIL"),"FAIL")</f>
        <v>PASS</v>
      </c>
    </row>
    <row r="267" customFormat="false" ht="15" hidden="false" customHeight="false" outlineLevel="0" collapsed="false">
      <c r="B267" s="54" t="n">
        <v>258</v>
      </c>
      <c r="C267" s="9" t="s">
        <v>737</v>
      </c>
      <c r="D267" s="9" t="s">
        <v>776</v>
      </c>
      <c r="E267" s="18" t="n">
        <v>4.75</v>
      </c>
      <c r="F267" s="48" t="n">
        <f aca="false">Derived!$D$44</f>
        <v>4.75</v>
      </c>
      <c r="G267" s="39" t="n">
        <f aca="false">IFERROR(IF(ISNUMBER(F267),F267-E267,"n/a"),"n/a")</f>
        <v>0</v>
      </c>
      <c r="H267" s="56" t="n">
        <v>0.005000001</v>
      </c>
      <c r="I267" s="53" t="str">
        <f aca="false">IFERROR(IF(ISNUMBER(F267),IF(ABS(F267-E267)&lt;=H267,"PASS","FAIL"),"FAIL"),"FAIL")</f>
        <v>PASS</v>
      </c>
    </row>
    <row r="268" customFormat="false" ht="15" hidden="false" customHeight="false" outlineLevel="0" collapsed="false">
      <c r="B268" s="54" t="n">
        <v>259</v>
      </c>
      <c r="C268" s="9" t="s">
        <v>737</v>
      </c>
      <c r="D268" s="9" t="s">
        <v>777</v>
      </c>
      <c r="E268" s="18" t="n">
        <v>7.6</v>
      </c>
      <c r="F268" s="48" t="n">
        <f aca="false">Derived!$D$45</f>
        <v>7.6</v>
      </c>
      <c r="G268" s="39" t="n">
        <f aca="false">IFERROR(IF(ISNUMBER(F268),F268-E268,"n/a"),"n/a")</f>
        <v>0</v>
      </c>
      <c r="H268" s="56" t="n">
        <v>0.005000001</v>
      </c>
      <c r="I268" s="53" t="str">
        <f aca="false">IFERROR(IF(ISNUMBER(F268),IF(ABS(F268-E268)&lt;=H268,"PASS","FAIL"),"FAIL"),"FAIL")</f>
        <v>PASS</v>
      </c>
    </row>
    <row r="269" customFormat="false" ht="15" hidden="false" customHeight="false" outlineLevel="0" collapsed="false">
      <c r="B269" s="54" t="n">
        <v>260</v>
      </c>
      <c r="C269" s="9" t="s">
        <v>737</v>
      </c>
      <c r="D269" s="9" t="s">
        <v>778</v>
      </c>
      <c r="E269" s="63" t="n">
        <v>10</v>
      </c>
      <c r="F269" s="50" t="n">
        <f aca="false">Derived!$D$46</f>
        <v>10</v>
      </c>
      <c r="G269" s="39" t="n">
        <f aca="false">IFERROR(IF(ISNUMBER(F269),F269-E269,"n/a"),"n/a")</f>
        <v>0</v>
      </c>
      <c r="H269" s="56" t="n">
        <v>0.000500001</v>
      </c>
      <c r="I269" s="53" t="str">
        <f aca="false">IFERROR(IF(ISNUMBER(F269),IF(ABS(F269-E269)&lt;=H269,"PASS","FAIL"),"FAIL"),"FAIL")</f>
        <v>PASS</v>
      </c>
    </row>
    <row r="270" customFormat="false" ht="15" hidden="false" customHeight="false" outlineLevel="0" collapsed="false">
      <c r="B270" s="54" t="n">
        <v>261</v>
      </c>
      <c r="C270" s="9" t="s">
        <v>737</v>
      </c>
      <c r="D270" s="9" t="s">
        <v>779</v>
      </c>
      <c r="E270" s="18" t="n">
        <v>9.6</v>
      </c>
      <c r="F270" s="48" t="n">
        <f aca="false">Derived!$D$47</f>
        <v>9.6</v>
      </c>
      <c r="G270" s="39" t="n">
        <f aca="false">IFERROR(IF(ISNUMBER(F270),F270-E270,"n/a"),"n/a")</f>
        <v>0</v>
      </c>
      <c r="H270" s="56" t="n">
        <v>0.005000001</v>
      </c>
      <c r="I270" s="53" t="str">
        <f aca="false">IFERROR(IF(ISNUMBER(F270),IF(ABS(F270-E270)&lt;=H270,"PASS","FAIL"),"FAIL"),"FAIL")</f>
        <v>PASS</v>
      </c>
    </row>
    <row r="271" customFormat="false" ht="15" hidden="false" customHeight="false" outlineLevel="0" collapsed="false">
      <c r="B271" s="54" t="n">
        <v>262</v>
      </c>
      <c r="C271" s="9" t="s">
        <v>737</v>
      </c>
      <c r="D271" s="9" t="s">
        <v>780</v>
      </c>
      <c r="E271" s="18" t="n">
        <v>0.45</v>
      </c>
      <c r="F271" s="48" t="n">
        <f aca="false">Derived!$D$48</f>
        <v>0.45</v>
      </c>
      <c r="G271" s="39" t="n">
        <f aca="false">IFERROR(IF(ISNUMBER(F271),F271-E271,"n/a"),"n/a")</f>
        <v>0</v>
      </c>
      <c r="H271" s="56" t="n">
        <v>0.005000001</v>
      </c>
      <c r="I271" s="53" t="str">
        <f aca="false">IFERROR(IF(ISNUMBER(F271),IF(ABS(F271-E271)&lt;=H271,"PASS","FAIL"),"FAIL"),"FAIL")</f>
        <v>PASS</v>
      </c>
    </row>
    <row r="272" customFormat="false" ht="15" hidden="false" customHeight="false" outlineLevel="0" collapsed="false">
      <c r="B272" s="54" t="n">
        <v>263</v>
      </c>
      <c r="C272" s="9" t="s">
        <v>737</v>
      </c>
      <c r="D272" s="9" t="s">
        <v>781</v>
      </c>
      <c r="E272" s="18" t="n">
        <v>4.05</v>
      </c>
      <c r="F272" s="48" t="n">
        <f aca="false">Derived!$D$49</f>
        <v>4.05</v>
      </c>
      <c r="G272" s="39" t="n">
        <f aca="false">IFERROR(IF(ISNUMBER(F272),F272-E272,"n/a"),"n/a")</f>
        <v>0</v>
      </c>
      <c r="H272" s="56" t="n">
        <v>0.005000001</v>
      </c>
      <c r="I272" s="53" t="str">
        <f aca="false">IFERROR(IF(ISNUMBER(F272),IF(ABS(F272-E272)&lt;=H272,"PASS","FAIL"),"FAIL"),"FAIL")</f>
        <v>PASS</v>
      </c>
    </row>
    <row r="273" customFormat="false" ht="15" hidden="false" customHeight="false" outlineLevel="0" collapsed="false">
      <c r="B273" s="54" t="n">
        <v>264</v>
      </c>
      <c r="C273" s="9" t="s">
        <v>737</v>
      </c>
      <c r="D273" s="9" t="s">
        <v>782</v>
      </c>
      <c r="E273" s="35" t="n">
        <v>64</v>
      </c>
      <c r="F273" s="27" t="n">
        <f aca="false">Derived!$D$50</f>
        <v>64</v>
      </c>
      <c r="G273" s="39" t="n">
        <f aca="false">IFERROR(IF(ISNUMBER(F273),F273-E273,"n/a"),"n/a")</f>
        <v>0</v>
      </c>
      <c r="H273" s="56" t="n">
        <v>0.500000001</v>
      </c>
      <c r="I273" s="53" t="str">
        <f aca="false">IFERROR(IF(ISNUMBER(F273),IF(ABS(F273-E273)&lt;=H273,"PASS","FAIL"),"FAIL"),"FAIL")</f>
        <v>PASS</v>
      </c>
    </row>
    <row r="274" customFormat="false" ht="15" hidden="false" customHeight="false" outlineLevel="0" collapsed="false">
      <c r="B274" s="54" t="n">
        <v>265</v>
      </c>
      <c r="C274" s="9" t="s">
        <v>737</v>
      </c>
      <c r="D274" s="9" t="s">
        <v>783</v>
      </c>
      <c r="E274" s="62" t="n">
        <v>11.4</v>
      </c>
      <c r="F274" s="51" t="n">
        <f aca="false">Derived!$D$51</f>
        <v>11.4</v>
      </c>
      <c r="G274" s="39" t="n">
        <f aca="false">IFERROR(IF(ISNUMBER(F274),F274-E274,"n/a"),"n/a")</f>
        <v>0</v>
      </c>
      <c r="H274" s="56" t="n">
        <v>0.050000001</v>
      </c>
      <c r="I274" s="53" t="str">
        <f aca="false">IFERROR(IF(ISNUMBER(F274),IF(ABS(F274-E274)&lt;=H274,"PASS","FAIL"),"FAIL"),"FAIL")</f>
        <v>PASS</v>
      </c>
    </row>
    <row r="275" customFormat="false" ht="15" hidden="false" customHeight="false" outlineLevel="0" collapsed="false">
      <c r="B275" s="54" t="n">
        <v>266</v>
      </c>
      <c r="C275" s="9" t="s">
        <v>737</v>
      </c>
      <c r="D275" s="9" t="s">
        <v>784</v>
      </c>
      <c r="E275" s="18" t="n">
        <v>10.5</v>
      </c>
      <c r="F275" s="48" t="n">
        <f aca="false">Derived!$D$52</f>
        <v>10.5</v>
      </c>
      <c r="G275" s="39" t="n">
        <f aca="false">IFERROR(IF(ISNUMBER(F275),F275-E275,"n/a"),"n/a")</f>
        <v>0</v>
      </c>
      <c r="H275" s="56" t="n">
        <v>0.005000001</v>
      </c>
      <c r="I275" s="53" t="str">
        <f aca="false">IFERROR(IF(ISNUMBER(F275),IF(ABS(F275-E275)&lt;=H275,"PASS","FAIL"),"FAIL"),"FAIL")</f>
        <v>PASS</v>
      </c>
    </row>
    <row r="276" customFormat="false" ht="15" hidden="false" customHeight="false" outlineLevel="0" collapsed="false">
      <c r="B276" s="54" t="n">
        <v>267</v>
      </c>
      <c r="C276" s="9" t="s">
        <v>737</v>
      </c>
      <c r="D276" s="9" t="s">
        <v>785</v>
      </c>
      <c r="E276" s="62" t="n">
        <v>28.9</v>
      </c>
      <c r="F276" s="51" t="n">
        <f aca="false">Derived!$D$53</f>
        <v>28.8888888888889</v>
      </c>
      <c r="G276" s="39" t="n">
        <f aca="false">IFERROR(IF(ISNUMBER(F276),F276-E276,"n/a"),"n/a")</f>
        <v>-0.0111111111111128</v>
      </c>
      <c r="H276" s="56" t="n">
        <v>0.050000001</v>
      </c>
      <c r="I276" s="53" t="str">
        <f aca="false">IFERROR(IF(ISNUMBER(F276),IF(ABS(F276-E276)&lt;=H276,"PASS","FAIL"),"FAIL"),"FAIL")</f>
        <v>PASS</v>
      </c>
    </row>
    <row r="277" customFormat="false" ht="15" hidden="false" customHeight="false" outlineLevel="0" collapsed="false">
      <c r="B277" s="54" t="n">
        <v>268</v>
      </c>
      <c r="C277" s="9" t="s">
        <v>737</v>
      </c>
      <c r="D277" s="9" t="s">
        <v>786</v>
      </c>
      <c r="E277" s="62" t="n">
        <v>80</v>
      </c>
      <c r="F277" s="51" t="n">
        <f aca="false">Derived!$D$54</f>
        <v>80</v>
      </c>
      <c r="G277" s="39" t="n">
        <f aca="false">IFERROR(IF(ISNUMBER(F277),F277-E277,"n/a"),"n/a")</f>
        <v>0</v>
      </c>
      <c r="H277" s="56" t="n">
        <v>0.050000001</v>
      </c>
      <c r="I277" s="53" t="str">
        <f aca="false">IFERROR(IF(ISNUMBER(F277),IF(ABS(F277-E277)&lt;=H277,"PASS","FAIL"),"FAIL"),"FAIL")</f>
        <v>PASS</v>
      </c>
    </row>
    <row r="278" customFormat="false" ht="15" hidden="false" customHeight="false" outlineLevel="0" collapsed="false">
      <c r="B278" s="54" t="n">
        <v>269</v>
      </c>
      <c r="C278" s="9" t="s">
        <v>737</v>
      </c>
      <c r="D278" s="9" t="s">
        <v>787</v>
      </c>
      <c r="E278" s="62" t="n">
        <v>5.7</v>
      </c>
      <c r="F278" s="51" t="n">
        <f aca="false">Derived!$D$55</f>
        <v>5.7</v>
      </c>
      <c r="G278" s="39" t="n">
        <f aca="false">IFERROR(IF(ISNUMBER(F278),F278-E278,"n/a"),"n/a")</f>
        <v>0</v>
      </c>
      <c r="H278" s="56" t="n">
        <v>0.050000001</v>
      </c>
      <c r="I278" s="53" t="str">
        <f aca="false">IFERROR(IF(ISNUMBER(F278),IF(ABS(F278-E278)&lt;=H278,"PASS","FAIL"),"FAIL"),"FAIL")</f>
        <v>PASS</v>
      </c>
    </row>
    <row r="279" customFormat="false" ht="15" hidden="false" customHeight="false" outlineLevel="0" collapsed="false">
      <c r="B279" s="54" t="n">
        <v>270</v>
      </c>
      <c r="C279" s="9" t="s">
        <v>737</v>
      </c>
      <c r="D279" s="9" t="s">
        <v>788</v>
      </c>
      <c r="E279" s="18" t="n">
        <v>1.92</v>
      </c>
      <c r="F279" s="48" t="n">
        <f aca="false">Derived!$D$56</f>
        <v>1.92</v>
      </c>
      <c r="G279" s="39" t="n">
        <f aca="false">IFERROR(IF(ISNUMBER(F279),F279-E279,"n/a"),"n/a")</f>
        <v>0</v>
      </c>
      <c r="H279" s="56" t="n">
        <v>0.005000001</v>
      </c>
      <c r="I279" s="53" t="str">
        <f aca="false">IFERROR(IF(ISNUMBER(F279),IF(ABS(F279-E279)&lt;=H279,"PASS","FAIL"),"FAIL"),"FAIL")</f>
        <v>PASS</v>
      </c>
    </row>
    <row r="280" customFormat="false" ht="15" hidden="false" customHeight="false" outlineLevel="0" collapsed="false">
      <c r="B280" s="54" t="n">
        <v>271</v>
      </c>
      <c r="C280" s="9" t="s">
        <v>737</v>
      </c>
      <c r="D280" s="9" t="s">
        <v>789</v>
      </c>
      <c r="E280" s="18" t="n">
        <v>1.6</v>
      </c>
      <c r="F280" s="48" t="n">
        <f aca="false">Derived!$D$57</f>
        <v>1.6</v>
      </c>
      <c r="G280" s="39" t="n">
        <f aca="false">IFERROR(IF(ISNUMBER(F280),F280-E280,"n/a"),"n/a")</f>
        <v>0</v>
      </c>
      <c r="H280" s="56" t="n">
        <v>0.005000001</v>
      </c>
      <c r="I280" s="53" t="str">
        <f aca="false">IFERROR(IF(ISNUMBER(F280),IF(ABS(F280-E280)&lt;=H280,"PASS","FAIL"),"FAIL"),"FAIL")</f>
        <v>PASS</v>
      </c>
    </row>
    <row r="281" customFormat="false" ht="15" hidden="false" customHeight="false" outlineLevel="0" collapsed="false">
      <c r="B281" s="54" t="n">
        <v>272</v>
      </c>
      <c r="C281" s="9" t="s">
        <v>737</v>
      </c>
      <c r="D281" s="9" t="s">
        <v>790</v>
      </c>
      <c r="E281" s="18" t="n">
        <v>1.32</v>
      </c>
      <c r="F281" s="48" t="n">
        <f aca="false">Derived!$D$58</f>
        <v>1.32</v>
      </c>
      <c r="G281" s="39" t="n">
        <f aca="false">IFERROR(IF(ISNUMBER(F281),F281-E281,"n/a"),"n/a")</f>
        <v>0</v>
      </c>
      <c r="H281" s="56" t="n">
        <v>0.005000001</v>
      </c>
      <c r="I281" s="53" t="str">
        <f aca="false">IFERROR(IF(ISNUMBER(F281),IF(ABS(F281-E281)&lt;=H281,"PASS","FAIL"),"FAIL"),"FAIL")</f>
        <v>PASS</v>
      </c>
    </row>
    <row r="282" customFormat="false" ht="15" hidden="false" customHeight="false" outlineLevel="0" collapsed="false">
      <c r="B282" s="54" t="n">
        <v>273</v>
      </c>
      <c r="C282" s="9" t="s">
        <v>737</v>
      </c>
      <c r="D282" s="9" t="s">
        <v>791</v>
      </c>
      <c r="E282" s="18" t="n">
        <v>11.73</v>
      </c>
      <c r="F282" s="48" t="n">
        <f aca="false">Derived!$D$59</f>
        <v>11.7333333333333</v>
      </c>
      <c r="G282" s="39" t="n">
        <f aca="false">IFERROR(IF(ISNUMBER(F282),F282-E282,"n/a"),"n/a")</f>
        <v>0.00333333333333385</v>
      </c>
      <c r="H282" s="56" t="n">
        <v>0.005000001</v>
      </c>
      <c r="I282" s="53" t="str">
        <f aca="false">IFERROR(IF(ISNUMBER(F282),IF(ABS(F282-E282)&lt;=H282,"PASS","FAIL"),"FAIL"),"FAIL")</f>
        <v>PASS</v>
      </c>
    </row>
    <row r="283" customFormat="false" ht="15" hidden="false" customHeight="false" outlineLevel="0" collapsed="false">
      <c r="B283" s="54" t="n">
        <v>274</v>
      </c>
      <c r="C283" s="9" t="s">
        <v>737</v>
      </c>
      <c r="D283" s="9" t="s">
        <v>792</v>
      </c>
      <c r="E283" s="18" t="n">
        <v>1.65</v>
      </c>
      <c r="F283" s="48" t="n">
        <f aca="false">Derived!$D$60</f>
        <v>1.65</v>
      </c>
      <c r="G283" s="39" t="n">
        <f aca="false">IFERROR(IF(ISNUMBER(F283),F283-E283,"n/a"),"n/a")</f>
        <v>0</v>
      </c>
      <c r="H283" s="56" t="n">
        <v>0.005000001</v>
      </c>
      <c r="I283" s="53" t="str">
        <f aca="false">IFERROR(IF(ISNUMBER(F283),IF(ABS(F283-E283)&lt;=H283,"PASS","FAIL"),"FAIL"),"FAIL")</f>
        <v>PASS</v>
      </c>
    </row>
    <row r="284" customFormat="false" ht="15" hidden="false" customHeight="false" outlineLevel="0" collapsed="false">
      <c r="B284" s="54" t="n">
        <v>275</v>
      </c>
      <c r="C284" s="9" t="s">
        <v>737</v>
      </c>
      <c r="D284" s="9" t="s">
        <v>793</v>
      </c>
      <c r="E284" s="18" t="n">
        <v>6.6</v>
      </c>
      <c r="F284" s="48" t="n">
        <f aca="false">Derived!$D$61</f>
        <v>6.6</v>
      </c>
      <c r="G284" s="39" t="n">
        <f aca="false">IFERROR(IF(ISNUMBER(F284),F284-E284,"n/a"),"n/a")</f>
        <v>0</v>
      </c>
      <c r="H284" s="56" t="n">
        <v>0.005000001</v>
      </c>
      <c r="I284" s="53" t="str">
        <f aca="false">IFERROR(IF(ISNUMBER(F284),IF(ABS(F284-E284)&lt;=H284,"PASS","FAIL"),"FAIL"),"FAIL")</f>
        <v>PASS</v>
      </c>
    </row>
    <row r="285" customFormat="false" ht="15" hidden="false" customHeight="false" outlineLevel="0" collapsed="false">
      <c r="B285" s="54" t="n">
        <v>276</v>
      </c>
      <c r="C285" s="9" t="s">
        <v>737</v>
      </c>
      <c r="D285" s="9" t="s">
        <v>794</v>
      </c>
      <c r="E285" s="18" t="n">
        <v>9.18</v>
      </c>
      <c r="F285" s="48" t="n">
        <f aca="false">Derived!$D$62</f>
        <v>9.18</v>
      </c>
      <c r="G285" s="39" t="n">
        <f aca="false">IFERROR(IF(ISNUMBER(F285),F285-E285,"n/a"),"n/a")</f>
        <v>0</v>
      </c>
      <c r="H285" s="56" t="n">
        <v>0.005000001</v>
      </c>
      <c r="I285" s="53" t="str">
        <f aca="false">IFERROR(IF(ISNUMBER(F285),IF(ABS(F285-E285)&lt;=H285,"PASS","FAIL"),"FAIL"),"FAIL")</f>
        <v>PASS</v>
      </c>
    </row>
    <row r="286" customFormat="false" ht="15" hidden="false" customHeight="false" outlineLevel="0" collapsed="false">
      <c r="B286" s="54" t="n">
        <v>277</v>
      </c>
      <c r="C286" s="9" t="s">
        <v>737</v>
      </c>
      <c r="D286" s="9" t="s">
        <v>795</v>
      </c>
      <c r="E286" s="18" t="n">
        <v>4.11</v>
      </c>
      <c r="F286" s="48" t="n">
        <f aca="false">Derived!$D$63</f>
        <v>4.1125</v>
      </c>
      <c r="G286" s="39" t="n">
        <f aca="false">IFERROR(IF(ISNUMBER(F286),F286-E286,"n/a"),"n/a")</f>
        <v>0.00250000000000039</v>
      </c>
      <c r="H286" s="56" t="n">
        <v>0.005000001</v>
      </c>
      <c r="I286" s="53" t="str">
        <f aca="false">IFERROR(IF(ISNUMBER(F286),IF(ABS(F286-E286)&lt;=H286,"PASS","FAIL"),"FAIL"),"FAIL")</f>
        <v>PASS</v>
      </c>
    </row>
    <row r="287" customFormat="false" ht="15" hidden="false" customHeight="false" outlineLevel="0" collapsed="false">
      <c r="B287" s="54" t="n">
        <v>278</v>
      </c>
      <c r="C287" s="9" t="s">
        <v>737</v>
      </c>
      <c r="D287" s="9" t="s">
        <v>796</v>
      </c>
      <c r="E287" s="63" t="n">
        <v>2.025</v>
      </c>
      <c r="F287" s="50" t="n">
        <f aca="false">Derived!$D$64</f>
        <v>2.025</v>
      </c>
      <c r="G287" s="39" t="n">
        <f aca="false">IFERROR(IF(ISNUMBER(F287),F287-E287,"n/a"),"n/a")</f>
        <v>0</v>
      </c>
      <c r="H287" s="56" t="n">
        <v>0.000500001</v>
      </c>
      <c r="I287" s="53" t="str">
        <f aca="false">IFERROR(IF(ISNUMBER(F287),IF(ABS(F287-E287)&lt;=H287,"PASS","FAIL"),"FAIL"),"FAIL")</f>
        <v>PASS</v>
      </c>
    </row>
    <row r="288" customFormat="false" ht="15" hidden="false" customHeight="false" outlineLevel="0" collapsed="false">
      <c r="B288" s="54" t="n">
        <v>279</v>
      </c>
      <c r="C288" s="9" t="s">
        <v>737</v>
      </c>
      <c r="D288" s="9" t="s">
        <v>797</v>
      </c>
      <c r="E288" s="63" t="n">
        <v>0.325</v>
      </c>
      <c r="F288" s="50" t="n">
        <f aca="false">Derived!$D$65</f>
        <v>0.325</v>
      </c>
      <c r="G288" s="39" t="n">
        <f aca="false">IFERROR(IF(ISNUMBER(F288),F288-E288,"n/a"),"n/a")</f>
        <v>0</v>
      </c>
      <c r="H288" s="56" t="n">
        <v>0.000500001</v>
      </c>
      <c r="I288" s="53" t="str">
        <f aca="false">IFERROR(IF(ISNUMBER(F288),IF(ABS(F288-E288)&lt;=H288,"PASS","FAIL"),"FAIL"),"FAIL")</f>
        <v>PASS</v>
      </c>
    </row>
    <row r="289" customFormat="false" ht="15" hidden="false" customHeight="false" outlineLevel="0" collapsed="false">
      <c r="B289" s="54" t="n">
        <v>280</v>
      </c>
      <c r="C289" s="9" t="s">
        <v>737</v>
      </c>
      <c r="D289" s="9" t="s">
        <v>798</v>
      </c>
      <c r="E289" s="62" t="n">
        <v>13.8</v>
      </c>
      <c r="F289" s="51" t="n">
        <f aca="false">Derived!$D$66</f>
        <v>13.8297872340425</v>
      </c>
      <c r="G289" s="39" t="n">
        <f aca="false">IFERROR(IF(ISNUMBER(F289),F289-E289,"n/a"),"n/a")</f>
        <v>0.0297872340425425</v>
      </c>
      <c r="H289" s="56" t="n">
        <v>0.050000001</v>
      </c>
      <c r="I289" s="53" t="str">
        <f aca="false">IFERROR(IF(ISNUMBER(F289),IF(ABS(F289-E289)&lt;=H289,"PASS","FAIL"),"FAIL"),"FAIL")</f>
        <v>PASS</v>
      </c>
    </row>
    <row r="290" customFormat="false" ht="15" hidden="false" customHeight="false" outlineLevel="0" collapsed="false">
      <c r="B290" s="54" t="n">
        <v>281</v>
      </c>
      <c r="C290" s="9" t="s">
        <v>737</v>
      </c>
      <c r="D290" s="9" t="s">
        <v>799</v>
      </c>
      <c r="E290" s="18" t="n">
        <v>1.65</v>
      </c>
      <c r="F290" s="48" t="n">
        <f aca="false">Derived!$D$67</f>
        <v>1.65</v>
      </c>
      <c r="G290" s="39" t="n">
        <f aca="false">IFERROR(IF(ISNUMBER(F290),F290-E290,"n/a"),"n/a")</f>
        <v>0</v>
      </c>
      <c r="H290" s="56" t="n">
        <v>0.005000001</v>
      </c>
      <c r="I290" s="53" t="str">
        <f aca="false">IFERROR(IF(ISNUMBER(F290),IF(ABS(F290-E290)&lt;=H290,"PASS","FAIL"),"FAIL"),"FAIL")</f>
        <v>PASS</v>
      </c>
    </row>
    <row r="291" customFormat="false" ht="15" hidden="false" customHeight="false" outlineLevel="0" collapsed="false">
      <c r="B291" s="54" t="n">
        <v>282</v>
      </c>
      <c r="C291" s="9" t="s">
        <v>737</v>
      </c>
      <c r="D291" s="9" t="s">
        <v>800</v>
      </c>
      <c r="E291" s="18" t="n">
        <v>0.45</v>
      </c>
      <c r="F291" s="48" t="n">
        <f aca="false">Derived!$D$68</f>
        <v>0.45</v>
      </c>
      <c r="G291" s="39" t="n">
        <f aca="false">IFERROR(IF(ISNUMBER(F291),F291-E291,"n/a"),"n/a")</f>
        <v>0</v>
      </c>
      <c r="H291" s="56" t="n">
        <v>0.005000001</v>
      </c>
      <c r="I291" s="53" t="str">
        <f aca="false">IFERROR(IF(ISNUMBER(F291),IF(ABS(F291-E291)&lt;=H291,"PASS","FAIL"),"FAIL"),"FAIL")</f>
        <v>PASS</v>
      </c>
    </row>
    <row r="292" customFormat="false" ht="15" hidden="false" customHeight="false" outlineLevel="0" collapsed="false">
      <c r="B292" s="54" t="n">
        <v>283</v>
      </c>
      <c r="C292" s="9" t="s">
        <v>737</v>
      </c>
      <c r="D292" s="9" t="s">
        <v>801</v>
      </c>
      <c r="E292" s="62" t="n">
        <v>21.4</v>
      </c>
      <c r="F292" s="51" t="n">
        <f aca="false">Derived!$D$69</f>
        <v>21.4285714285714</v>
      </c>
      <c r="G292" s="39" t="n">
        <f aca="false">IFERROR(IF(ISNUMBER(F292),F292-E292,"n/a"),"n/a")</f>
        <v>0.0285714285714249</v>
      </c>
      <c r="H292" s="56" t="n">
        <v>0.050000001</v>
      </c>
      <c r="I292" s="53" t="str">
        <f aca="false">IFERROR(IF(ISNUMBER(F292),IF(ABS(F292-E292)&lt;=H292,"PASS","FAIL"),"FAIL"),"FAIL")</f>
        <v>PASS</v>
      </c>
    </row>
    <row r="293" customFormat="false" ht="15" hidden="false" customHeight="false" outlineLevel="0" collapsed="false">
      <c r="B293" s="54" t="n">
        <v>284</v>
      </c>
      <c r="C293" s="9" t="s">
        <v>737</v>
      </c>
      <c r="D293" s="9" t="s">
        <v>802</v>
      </c>
      <c r="E293" s="18" t="n">
        <v>1.32</v>
      </c>
      <c r="F293" s="48" t="n">
        <f aca="false">Derived!$D$70</f>
        <v>1.32</v>
      </c>
      <c r="G293" s="39" t="n">
        <f aca="false">IFERROR(IF(ISNUMBER(F293),F293-E293,"n/a"),"n/a")</f>
        <v>0</v>
      </c>
      <c r="H293" s="56" t="n">
        <v>0.005000001</v>
      </c>
      <c r="I293" s="53" t="str">
        <f aca="false">IFERROR(IF(ISNUMBER(F293),IF(ABS(F293-E293)&lt;=H293,"PASS","FAIL"),"FAIL"),"FAIL")</f>
        <v>PASS</v>
      </c>
    </row>
    <row r="294" customFormat="false" ht="15" hidden="false" customHeight="false" outlineLevel="0" collapsed="false">
      <c r="B294" s="54" t="n">
        <v>285</v>
      </c>
      <c r="C294" s="9" t="s">
        <v>737</v>
      </c>
      <c r="D294" s="9" t="s">
        <v>803</v>
      </c>
      <c r="E294" s="63" t="n">
        <v>25</v>
      </c>
      <c r="F294" s="50" t="n">
        <f aca="false">Derived!$D$71</f>
        <v>25</v>
      </c>
      <c r="G294" s="39" t="n">
        <f aca="false">IFERROR(IF(ISNUMBER(F294),F294-E294,"n/a"),"n/a")</f>
        <v>0</v>
      </c>
      <c r="H294" s="56" t="n">
        <v>0.000500001</v>
      </c>
      <c r="I294" s="53" t="str">
        <f aca="false">IFERROR(IF(ISNUMBER(F294),IF(ABS(F294-E294)&lt;=H294,"PASS","FAIL"),"FAIL"),"FAIL")</f>
        <v>PASS</v>
      </c>
    </row>
    <row r="295" customFormat="false" ht="15" hidden="false" customHeight="false" outlineLevel="0" collapsed="false">
      <c r="B295" s="54" t="n">
        <v>286</v>
      </c>
      <c r="C295" s="9" t="s">
        <v>737</v>
      </c>
      <c r="D295" s="9" t="s">
        <v>804</v>
      </c>
      <c r="E295" s="18" t="n">
        <v>6.25</v>
      </c>
      <c r="F295" s="48" t="n">
        <f aca="false">Derived!$D$72</f>
        <v>6.25</v>
      </c>
      <c r="G295" s="39" t="n">
        <f aca="false">IFERROR(IF(ISNUMBER(F295),F295-E295,"n/a"),"n/a")</f>
        <v>0</v>
      </c>
      <c r="H295" s="56" t="n">
        <v>0.005000001</v>
      </c>
      <c r="I295" s="53" t="str">
        <f aca="false">IFERROR(IF(ISNUMBER(F295),IF(ABS(F295-E295)&lt;=H295,"PASS","FAIL"),"FAIL"),"FAIL")</f>
        <v>PASS</v>
      </c>
    </row>
    <row r="296" customFormat="false" ht="15" hidden="false" customHeight="false" outlineLevel="0" collapsed="false">
      <c r="B296" s="54" t="n">
        <v>287</v>
      </c>
      <c r="C296" s="9" t="s">
        <v>737</v>
      </c>
      <c r="D296" s="9" t="s">
        <v>805</v>
      </c>
      <c r="E296" s="18" t="n">
        <v>4.11</v>
      </c>
      <c r="F296" s="48" t="n">
        <f aca="false">Derived!$D$73</f>
        <v>4.1125</v>
      </c>
      <c r="G296" s="39" t="n">
        <f aca="false">IFERROR(IF(ISNUMBER(F296),F296-E296,"n/a"),"n/a")</f>
        <v>0.00250000000000039</v>
      </c>
      <c r="H296" s="56" t="n">
        <v>0.005000001</v>
      </c>
      <c r="I296" s="53" t="str">
        <f aca="false">IFERROR(IF(ISNUMBER(F296),IF(ABS(F296-E296)&lt;=H296,"PASS","FAIL"),"FAIL"),"FAIL")</f>
        <v>PASS</v>
      </c>
    </row>
    <row r="297" customFormat="false" ht="15" hidden="false" customHeight="false" outlineLevel="0" collapsed="false">
      <c r="B297" s="54" t="n">
        <v>288</v>
      </c>
      <c r="C297" s="9" t="s">
        <v>737</v>
      </c>
      <c r="D297" s="9" t="s">
        <v>806</v>
      </c>
      <c r="E297" s="18" t="n">
        <v>7.6</v>
      </c>
      <c r="F297" s="48" t="n">
        <f aca="false">Derived!$D$74</f>
        <v>7.6</v>
      </c>
      <c r="G297" s="39" t="n">
        <f aca="false">IFERROR(IF(ISNUMBER(F297),F297-E297,"n/a"),"n/a")</f>
        <v>0</v>
      </c>
      <c r="H297" s="56" t="n">
        <v>0.005000001</v>
      </c>
      <c r="I297" s="53" t="str">
        <f aca="false">IFERROR(IF(ISNUMBER(F297),IF(ABS(F297-E297)&lt;=H297,"PASS","FAIL"),"FAIL"),"FAIL")</f>
        <v>PASS</v>
      </c>
    </row>
    <row r="298" customFormat="false" ht="15" hidden="false" customHeight="false" outlineLevel="0" collapsed="false">
      <c r="B298" s="54" t="n">
        <v>289</v>
      </c>
      <c r="C298" s="9" t="s">
        <v>737</v>
      </c>
      <c r="D298" s="9" t="s">
        <v>807</v>
      </c>
      <c r="E298" s="18" t="n">
        <v>0.16</v>
      </c>
      <c r="F298" s="48" t="n">
        <f aca="false">Derived!$D$75</f>
        <v>0.1575</v>
      </c>
      <c r="G298" s="39" t="n">
        <f aca="false">IFERROR(IF(ISNUMBER(F298),F298-E298,"n/a"),"n/a")</f>
        <v>-0.0025</v>
      </c>
      <c r="H298" s="56" t="n">
        <v>0.005000001</v>
      </c>
      <c r="I298" s="53" t="str">
        <f aca="false">IFERROR(IF(ISNUMBER(F298),IF(ABS(F298-E298)&lt;=H298,"PASS","FAIL"),"FAIL"),"FAIL")</f>
        <v>PASS</v>
      </c>
    </row>
    <row r="299" customFormat="false" ht="15" hidden="false" customHeight="false" outlineLevel="0" collapsed="false">
      <c r="B299" s="54" t="n">
        <v>290</v>
      </c>
      <c r="C299" s="9" t="s">
        <v>737</v>
      </c>
      <c r="D299" s="9" t="s">
        <v>808</v>
      </c>
      <c r="E299" s="18" t="n">
        <v>531.25</v>
      </c>
      <c r="F299" s="48" t="n">
        <f aca="false">Derived!$D$76</f>
        <v>531.25</v>
      </c>
      <c r="G299" s="39" t="n">
        <f aca="false">IFERROR(IF(ISNUMBER(F299),F299-E299,"n/a"),"n/a")</f>
        <v>0</v>
      </c>
      <c r="H299" s="56" t="n">
        <v>0.005000001</v>
      </c>
      <c r="I299" s="53" t="str">
        <f aca="false">IFERROR(IF(ISNUMBER(F299),IF(ABS(F299-E299)&lt;=H299,"PASS","FAIL"),"FAIL"),"FAIL")</f>
        <v>PASS</v>
      </c>
    </row>
    <row r="300" customFormat="false" ht="15" hidden="false" customHeight="false" outlineLevel="0" collapsed="false">
      <c r="B300" s="54" t="n">
        <v>291</v>
      </c>
      <c r="C300" s="9" t="s">
        <v>737</v>
      </c>
      <c r="D300" s="9" t="s">
        <v>809</v>
      </c>
      <c r="E300" s="35" t="n">
        <v>600</v>
      </c>
      <c r="F300" s="27" t="n">
        <f aca="false">Derived!$D$77</f>
        <v>600</v>
      </c>
      <c r="G300" s="39" t="n">
        <f aca="false">IFERROR(IF(ISNUMBER(F300),F300-E300,"n/a"),"n/a")</f>
        <v>0</v>
      </c>
      <c r="H300" s="56" t="n">
        <v>0.500000001</v>
      </c>
      <c r="I300" s="53" t="str">
        <f aca="false">IFERROR(IF(ISNUMBER(F300),IF(ABS(F300-E300)&lt;=H300,"PASS","FAIL"),"FAIL"),"FAIL")</f>
        <v>PASS</v>
      </c>
    </row>
    <row r="301" customFormat="false" ht="15" hidden="false" customHeight="false" outlineLevel="0" collapsed="false">
      <c r="B301" s="54" t="n">
        <v>292</v>
      </c>
      <c r="C301" s="9" t="s">
        <v>737</v>
      </c>
      <c r="D301" s="9" t="s">
        <v>810</v>
      </c>
      <c r="E301" s="35" t="n">
        <v>198000</v>
      </c>
      <c r="F301" s="27" t="n">
        <f aca="false">Derived!$D$78</f>
        <v>198000</v>
      </c>
      <c r="G301" s="39" t="n">
        <f aca="false">IFERROR(IF(ISNUMBER(F301),F301-E301,"n/a"),"n/a")</f>
        <v>0</v>
      </c>
      <c r="H301" s="56" t="n">
        <v>0.500000001</v>
      </c>
      <c r="I301" s="53" t="str">
        <f aca="false">IFERROR(IF(ISNUMBER(F301),IF(ABS(F301-E301)&lt;=H301,"PASS","FAIL"),"FAIL"),"FAIL")</f>
        <v>PASS</v>
      </c>
    </row>
    <row r="302" customFormat="false" ht="15" hidden="false" customHeight="false" outlineLevel="0" collapsed="false">
      <c r="B302" s="54" t="n">
        <v>293</v>
      </c>
      <c r="C302" s="9" t="s">
        <v>737</v>
      </c>
      <c r="D302" s="9" t="s">
        <v>811</v>
      </c>
      <c r="E302" s="18" t="n">
        <v>1.74</v>
      </c>
      <c r="F302" s="48" t="n">
        <f aca="false">Derived!$D$79</f>
        <v>1.74074074074074</v>
      </c>
      <c r="G302" s="39" t="n">
        <f aca="false">IFERROR(IF(ISNUMBER(F302),F302-E302,"n/a"),"n/a")</f>
        <v>0.000740740740740709</v>
      </c>
      <c r="H302" s="56" t="n">
        <v>0.005000001</v>
      </c>
      <c r="I302" s="53" t="str">
        <f aca="false">IFERROR(IF(ISNUMBER(F302),IF(ABS(F302-E302)&lt;=H302,"PASS","FAIL"),"FAIL"),"FAIL")</f>
        <v>PASS</v>
      </c>
    </row>
    <row r="303" customFormat="false" ht="15" hidden="false" customHeight="false" outlineLevel="0" collapsed="false">
      <c r="B303" s="54" t="n">
        <v>294</v>
      </c>
      <c r="C303" s="9" t="s">
        <v>737</v>
      </c>
      <c r="D303" s="9" t="s">
        <v>812</v>
      </c>
      <c r="E303" s="18" t="n">
        <v>4.11</v>
      </c>
      <c r="F303" s="48" t="n">
        <f aca="false">Derived!$D$80</f>
        <v>4.1125</v>
      </c>
      <c r="G303" s="39" t="n">
        <f aca="false">IFERROR(IF(ISNUMBER(F303),F303-E303,"n/a"),"n/a")</f>
        <v>0.00250000000000039</v>
      </c>
      <c r="H303" s="56" t="n">
        <v>0.005000001</v>
      </c>
      <c r="I303" s="53" t="str">
        <f aca="false">IFERROR(IF(ISNUMBER(F303),IF(ABS(F303-E303)&lt;=H303,"PASS","FAIL"),"FAIL"),"FAIL")</f>
        <v>PASS</v>
      </c>
    </row>
    <row r="304" customFormat="false" ht="15" hidden="false" customHeight="false" outlineLevel="0" collapsed="false">
      <c r="B304" s="54" t="n">
        <v>295</v>
      </c>
      <c r="C304" s="9" t="s">
        <v>737</v>
      </c>
      <c r="D304" s="9" t="s">
        <v>813</v>
      </c>
      <c r="E304" s="18" t="n">
        <v>2.25</v>
      </c>
      <c r="F304" s="48" t="n">
        <f aca="false">Derived!$D$81</f>
        <v>2.25</v>
      </c>
      <c r="G304" s="39" t="n">
        <f aca="false">IFERROR(IF(ISNUMBER(F304),F304-E304,"n/a"),"n/a")</f>
        <v>0</v>
      </c>
      <c r="H304" s="56" t="n">
        <v>0.005000001</v>
      </c>
      <c r="I304" s="53" t="str">
        <f aca="false">IFERROR(IF(ISNUMBER(F304),IF(ABS(F304-E304)&lt;=H304,"PASS","FAIL"),"FAIL"),"FAIL")</f>
        <v>PASS</v>
      </c>
    </row>
    <row r="305" customFormat="false" ht="15" hidden="false" customHeight="false" outlineLevel="0" collapsed="false">
      <c r="B305" s="54" t="n">
        <v>296</v>
      </c>
      <c r="C305" s="9" t="s">
        <v>737</v>
      </c>
      <c r="D305" s="9" t="s">
        <v>814</v>
      </c>
      <c r="E305" s="18" t="n">
        <v>0.85</v>
      </c>
      <c r="F305" s="48" t="n">
        <f aca="false">Derived!$D$82</f>
        <v>0.85</v>
      </c>
      <c r="G305" s="39" t="n">
        <f aca="false">IFERROR(IF(ISNUMBER(F305),F305-E305,"n/a"),"n/a")</f>
        <v>0</v>
      </c>
      <c r="H305" s="56" t="n">
        <v>0.005000001</v>
      </c>
      <c r="I305" s="53" t="str">
        <f aca="false">IFERROR(IF(ISNUMBER(F305),IF(ABS(F305-E305)&lt;=H305,"PASS","FAIL"),"FAIL"),"FAIL")</f>
        <v>PASS</v>
      </c>
    </row>
    <row r="306" customFormat="false" ht="15" hidden="false" customHeight="false" outlineLevel="0" collapsed="false">
      <c r="B306" s="54" t="n">
        <v>297</v>
      </c>
      <c r="C306" s="9" t="s">
        <v>737</v>
      </c>
      <c r="D306" s="9" t="s">
        <v>815</v>
      </c>
      <c r="E306" s="18" t="n">
        <v>10.12</v>
      </c>
      <c r="F306" s="48" t="n">
        <f aca="false">Derived!$D$83</f>
        <v>10.12</v>
      </c>
      <c r="G306" s="39" t="n">
        <f aca="false">IFERROR(IF(ISNUMBER(F306),F306-E306,"n/a"),"n/a")</f>
        <v>0</v>
      </c>
      <c r="H306" s="56" t="n">
        <v>0.005000001</v>
      </c>
      <c r="I306" s="53" t="str">
        <f aca="false">IFERROR(IF(ISNUMBER(F306),IF(ABS(F306-E306)&lt;=H306,"PASS","FAIL"),"FAIL"),"FAIL")</f>
        <v>PASS</v>
      </c>
    </row>
    <row r="307" customFormat="false" ht="15" hidden="false" customHeight="false" outlineLevel="0" collapsed="false">
      <c r="B307" s="54" t="n">
        <v>298</v>
      </c>
      <c r="C307" s="9" t="s">
        <v>737</v>
      </c>
      <c r="D307" s="9" t="s">
        <v>816</v>
      </c>
      <c r="E307" s="18" t="n">
        <v>-10.12</v>
      </c>
      <c r="F307" s="48" t="n">
        <f aca="false">Derived!$D$84</f>
        <v>-10.12</v>
      </c>
      <c r="G307" s="39" t="n">
        <f aca="false">IFERROR(IF(ISNUMBER(F307),F307-E307,"n/a"),"n/a")</f>
        <v>0</v>
      </c>
      <c r="H307" s="56" t="n">
        <v>0.005000001</v>
      </c>
      <c r="I307" s="53" t="str">
        <f aca="false">IFERROR(IF(ISNUMBER(F307),IF(ABS(F307-E307)&lt;=H307,"PASS","FAIL"),"FAIL"),"FAIL")</f>
        <v>PASS</v>
      </c>
    </row>
    <row r="308" customFormat="false" ht="15" hidden="false" customHeight="false" outlineLevel="0" collapsed="false">
      <c r="B308" s="54" t="n">
        <v>299</v>
      </c>
      <c r="C308" s="9" t="s">
        <v>737</v>
      </c>
      <c r="D308" s="9" t="s">
        <v>817</v>
      </c>
      <c r="E308" s="18" t="n">
        <v>5.15</v>
      </c>
      <c r="F308" s="48" t="n">
        <f aca="false">Derived!$D$85</f>
        <v>5.15</v>
      </c>
      <c r="G308" s="39" t="n">
        <f aca="false">IFERROR(IF(ISNUMBER(F308),F308-E308,"n/a"),"n/a")</f>
        <v>0</v>
      </c>
      <c r="H308" s="56" t="n">
        <v>0.005000001</v>
      </c>
      <c r="I308" s="53" t="str">
        <f aca="false">IFERROR(IF(ISNUMBER(F308),IF(ABS(F308-E308)&lt;=H308,"PASS","FAIL"),"FAIL"),"FAIL")</f>
        <v>PASS</v>
      </c>
    </row>
    <row r="309" customFormat="false" ht="15" hidden="false" customHeight="false" outlineLevel="0" collapsed="false">
      <c r="B309" s="54" t="n">
        <v>300</v>
      </c>
      <c r="C309" s="9" t="s">
        <v>737</v>
      </c>
      <c r="D309" s="9" t="s">
        <v>818</v>
      </c>
      <c r="E309" s="18" t="n">
        <v>7.45</v>
      </c>
      <c r="F309" s="48" t="n">
        <f aca="false">Derived!$D$86</f>
        <v>7.45</v>
      </c>
      <c r="G309" s="39" t="n">
        <f aca="false">IFERROR(IF(ISNUMBER(F309),F309-E309,"n/a"),"n/a")</f>
        <v>0</v>
      </c>
      <c r="H309" s="56" t="n">
        <v>0.005000001</v>
      </c>
      <c r="I309" s="53" t="str">
        <f aca="false">IFERROR(IF(ISNUMBER(F309),IF(ABS(F309-E309)&lt;=H309,"PASS","FAIL"),"FAIL"),"FAIL")</f>
        <v>PASS</v>
      </c>
    </row>
    <row r="310" customFormat="false" ht="15" hidden="false" customHeight="false" outlineLevel="0" collapsed="false">
      <c r="B310" s="54" t="n">
        <v>301</v>
      </c>
      <c r="C310" s="9" t="s">
        <v>737</v>
      </c>
      <c r="D310" s="9" t="s">
        <v>819</v>
      </c>
      <c r="E310" s="18" t="n">
        <v>5.15</v>
      </c>
      <c r="F310" s="48" t="n">
        <f aca="false">Derived!$D$87</f>
        <v>5.15</v>
      </c>
      <c r="G310" s="39" t="n">
        <f aca="false">IFERROR(IF(ISNUMBER(F310),F310-E310,"n/a"),"n/a")</f>
        <v>0</v>
      </c>
      <c r="H310" s="56" t="n">
        <v>0.005000001</v>
      </c>
      <c r="I310" s="53" t="str">
        <f aca="false">IFERROR(IF(ISNUMBER(F310),IF(ABS(F310-E310)&lt;=H310,"PASS","FAIL"),"FAIL"),"FAIL")</f>
        <v>PASS</v>
      </c>
    </row>
    <row r="311" customFormat="false" ht="15" hidden="false" customHeight="false" outlineLevel="0" collapsed="false">
      <c r="B311" s="54" t="n">
        <v>302</v>
      </c>
      <c r="C311" s="9" t="s">
        <v>737</v>
      </c>
      <c r="D311" s="9" t="s">
        <v>820</v>
      </c>
      <c r="E311" s="18" t="n">
        <v>1</v>
      </c>
      <c r="F311" s="48" t="n">
        <f aca="false">Derived!$D$88</f>
        <v>1</v>
      </c>
      <c r="G311" s="39" t="n">
        <f aca="false">IFERROR(IF(ISNUMBER(F311),F311-E311,"n/a"),"n/a")</f>
        <v>0</v>
      </c>
      <c r="H311" s="56" t="n">
        <v>0.005000001</v>
      </c>
      <c r="I311" s="53" t="str">
        <f aca="false">IFERROR(IF(ISNUMBER(F311),IF(ABS(F311-E311)&lt;=H311,"PASS","FAIL"),"FAIL"),"FAIL")</f>
        <v>PASS</v>
      </c>
    </row>
    <row r="312" customFormat="false" ht="15" hidden="false" customHeight="false" outlineLevel="0" collapsed="false">
      <c r="B312" s="54" t="n">
        <v>303</v>
      </c>
      <c r="C312" s="9" t="s">
        <v>737</v>
      </c>
      <c r="D312" s="9" t="s">
        <v>821</v>
      </c>
      <c r="E312" s="18" t="n">
        <v>2.25</v>
      </c>
      <c r="F312" s="48" t="n">
        <f aca="false">Derived!$D$89</f>
        <v>2.25</v>
      </c>
      <c r="G312" s="39" t="n">
        <f aca="false">IFERROR(IF(ISNUMBER(F312),F312-E312,"n/a"),"n/a")</f>
        <v>0</v>
      </c>
      <c r="H312" s="56" t="n">
        <v>0.005000001</v>
      </c>
      <c r="I312" s="53" t="str">
        <f aca="false">IFERROR(IF(ISNUMBER(F312),IF(ABS(F312-E312)&lt;=H312,"PASS","FAIL"),"FAIL"),"FAIL")</f>
        <v>PASS</v>
      </c>
    </row>
    <row r="313" customFormat="false" ht="15" hidden="false" customHeight="false" outlineLevel="0" collapsed="false">
      <c r="B313" s="54" t="n">
        <v>304</v>
      </c>
      <c r="C313" s="9" t="s">
        <v>737</v>
      </c>
      <c r="D313" s="9" t="s">
        <v>822</v>
      </c>
      <c r="E313" s="18" t="n">
        <v>1</v>
      </c>
      <c r="F313" s="48" t="n">
        <f aca="false">Derived!$D$90</f>
        <v>1</v>
      </c>
      <c r="G313" s="39" t="n">
        <f aca="false">IFERROR(IF(ISNUMBER(F313),F313-E313,"n/a"),"n/a")</f>
        <v>0</v>
      </c>
      <c r="H313" s="56" t="n">
        <v>0.005000001</v>
      </c>
      <c r="I313" s="53" t="str">
        <f aca="false">IFERROR(IF(ISNUMBER(F313),IF(ABS(F313-E313)&lt;=H313,"PASS","FAIL"),"FAIL"),"FAIL")</f>
        <v>PASS</v>
      </c>
    </row>
    <row r="314" customFormat="false" ht="15" hidden="false" customHeight="false" outlineLevel="0" collapsed="false">
      <c r="B314" s="54" t="n">
        <v>305</v>
      </c>
      <c r="C314" s="9" t="s">
        <v>737</v>
      </c>
      <c r="D314" s="9" t="s">
        <v>823</v>
      </c>
      <c r="E314" s="18" t="n">
        <v>2.1</v>
      </c>
      <c r="F314" s="48" t="n">
        <f aca="false">Derived!$D$91</f>
        <v>2.1</v>
      </c>
      <c r="G314" s="39" t="n">
        <f aca="false">IFERROR(IF(ISNUMBER(F314),F314-E314,"n/a"),"n/a")</f>
        <v>0</v>
      </c>
      <c r="H314" s="56" t="n">
        <v>0.005000001</v>
      </c>
      <c r="I314" s="53" t="str">
        <f aca="false">IFERROR(IF(ISNUMBER(F314),IF(ABS(F314-E314)&lt;=H314,"PASS","FAIL"),"FAIL"),"FAIL")</f>
        <v>PASS</v>
      </c>
    </row>
    <row r="315" customFormat="false" ht="15" hidden="false" customHeight="false" outlineLevel="0" collapsed="false">
      <c r="B315" s="54" t="n">
        <v>306</v>
      </c>
      <c r="C315" s="9" t="s">
        <v>737</v>
      </c>
      <c r="D315" s="9" t="s">
        <v>824</v>
      </c>
      <c r="E315" s="18" t="n">
        <v>2.35</v>
      </c>
      <c r="F315" s="48" t="n">
        <f aca="false">Derived!$D$92</f>
        <v>2.35</v>
      </c>
      <c r="G315" s="39" t="n">
        <f aca="false">IFERROR(IF(ISNUMBER(F315),F315-E315,"n/a"),"n/a")</f>
        <v>0</v>
      </c>
      <c r="H315" s="56" t="n">
        <v>0.005000001</v>
      </c>
      <c r="I315" s="53" t="str">
        <f aca="false">IFERROR(IF(ISNUMBER(F315),IF(ABS(F315-E315)&lt;=H315,"PASS","FAIL"),"FAIL"),"FAIL")</f>
        <v>PASS</v>
      </c>
    </row>
    <row r="316" customFormat="false" ht="15" hidden="false" customHeight="false" outlineLevel="0" collapsed="false">
      <c r="B316" s="54" t="n">
        <v>307</v>
      </c>
      <c r="C316" s="9" t="s">
        <v>737</v>
      </c>
      <c r="D316" s="9" t="s">
        <v>825</v>
      </c>
      <c r="E316" s="18" t="n">
        <v>2</v>
      </c>
      <c r="F316" s="48" t="n">
        <f aca="false">Derived!$D$93</f>
        <v>2</v>
      </c>
      <c r="G316" s="39" t="n">
        <f aca="false">IFERROR(IF(ISNUMBER(F316),F316-E316,"n/a"),"n/a")</f>
        <v>0</v>
      </c>
      <c r="H316" s="56" t="n">
        <v>0.005000001</v>
      </c>
      <c r="I316" s="53" t="str">
        <f aca="false">IFERROR(IF(ISNUMBER(F316),IF(ABS(F316-E316)&lt;=H316,"PASS","FAIL"),"FAIL"),"FAIL")</f>
        <v>PASS</v>
      </c>
    </row>
    <row r="317" customFormat="false" ht="15" hidden="false" customHeight="false" outlineLevel="0" collapsed="false">
      <c r="B317" s="54" t="n">
        <v>308</v>
      </c>
      <c r="C317" s="9" t="s">
        <v>737</v>
      </c>
      <c r="D317" s="9" t="s">
        <v>826</v>
      </c>
      <c r="E317" s="18" t="n">
        <v>2.25</v>
      </c>
      <c r="F317" s="48" t="n">
        <f aca="false">Derived!$D$94</f>
        <v>2.25</v>
      </c>
      <c r="G317" s="39" t="n">
        <f aca="false">IFERROR(IF(ISNUMBER(F317),F317-E317,"n/a"),"n/a")</f>
        <v>0</v>
      </c>
      <c r="H317" s="56" t="n">
        <v>0.005000001</v>
      </c>
      <c r="I317" s="53" t="str">
        <f aca="false">IFERROR(IF(ISNUMBER(F317),IF(ABS(F317-E317)&lt;=H317,"PASS","FAIL"),"FAIL"),"FAIL")</f>
        <v>PASS</v>
      </c>
    </row>
    <row r="318" customFormat="false" ht="15" hidden="false" customHeight="false" outlineLevel="0" collapsed="false">
      <c r="B318" s="54" t="n">
        <v>309</v>
      </c>
      <c r="C318" s="9" t="s">
        <v>737</v>
      </c>
      <c r="D318" s="9" t="s">
        <v>827</v>
      </c>
      <c r="E318" s="18" t="n">
        <v>6.75</v>
      </c>
      <c r="F318" s="48" t="n">
        <f aca="false">Derived!$D$95</f>
        <v>6.75</v>
      </c>
      <c r="G318" s="39" t="n">
        <f aca="false">IFERROR(IF(ISNUMBER(F318),F318-E318,"n/a"),"n/a")</f>
        <v>0</v>
      </c>
      <c r="H318" s="56" t="n">
        <v>0.005000001</v>
      </c>
      <c r="I318" s="53" t="str">
        <f aca="false">IFERROR(IF(ISNUMBER(F318),IF(ABS(F318-E318)&lt;=H318,"PASS","FAIL"),"FAIL"),"FAIL")</f>
        <v>PASS</v>
      </c>
    </row>
  </sheetData>
  <mergeCells count="1">
    <mergeCell ref="C7:D7"/>
  </mergeCells>
  <conditionalFormatting sqref="I10:I318">
    <cfRule type="cellIs" priority="2" operator="equal" aboveAverage="0" equalAverage="0" bottom="0" percent="0" rank="0" text="" dxfId="0">
      <formula>"FAIL"</formula>
    </cfRule>
  </conditionalFormatting>
  <conditionalFormatting sqref="E6">
    <cfRule type="cellIs" priority="3" operator="greaterThan" aboveAverage="0" equalAverage="0" bottom="0" percent="0" rank="0" text="" dxfId="0">
      <formula>0</formula>
    </cfRule>
  </conditionalFormatting>
  <conditionalFormatting sqref="E7">
    <cfRule type="cellIs" priority="4" operator="equal" aboveAverage="0" equalAverage="0" bottom="0" percent="0" rank="0" text="" dxfId="0">
      <formula>"FAIL"</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2026-09-25T09:05:50Z</dcterms:created>
  <dc:creator>openpyxl</dc:creator>
  <dc:description/>
  <dc:language>en-US</dc:language>
  <cp:lastModifiedBy/>
  <dcterms:modified xsi:type="dcterms:W3CDTF">2026-09-25T09:05:51Z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