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1. The Scheme" sheetId="2" state="visible" r:id="rId4"/>
    <sheet name="2. The Concession" sheetId="3" state="visible" r:id="rId5"/>
    <sheet name="3. The Void" sheetId="4" state="visible" r:id="rId6"/>
    <sheet name="4. The Comparison" sheetId="5" state="visible" r:id="rId7"/>
    <sheet name="5. How Much Can You Concede" sheetId="6" state="visible" r:id="rId8"/>
    <sheet name="6. Checks"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<sst xmlns="http://schemas.openxmlformats.org/spreadsheetml/2006/main" count="240" uniqueCount="210">
  <si>
    <t xml:space="preserve">The Pre-Letting Decision</t>
  </si>
  <si>
    <t xml:space="preserve">A companion to Appendix H, and to Chapter 14</t>
  </si>
  <si>
    <t xml:space="preserve">Chapter 14 tells you exactly what to do and does not do it. It says the judgement is "a probability-weighted comparison: the certain outcome of the pre-let against the distribution of outcomes without it", and then: "Write that comparison down." It never writes it down. It says the rent discount "costs a stated amount per year" and states no amount. It says the funding benefit is "substantial" and gives no figure.</t>
  </si>
  <si>
    <t xml:space="preserve">This file writes the comparison down, on the chapter's own scheme: four floors, an occupier offering to pre-let two of them at eight per cent below expected market rent on a fifteen-year term, conditional on a dedicated entrance.</t>
  </si>
  <si>
    <t xml:space="preserve">Four things it finds</t>
  </si>
  <si>
    <t xml:space="preserve">The rent concession costs 1.91 times its own net present value. Most developers price a discount as "16,000 a year for fifteen years" — 145,727 discounted. A buyer capitalises it in perpetuity, so at exit it is worth 278,261. The concession is nearly twice what the appraisal shows, and the gap is structural, not an error.</t>
  </si>
  <si>
    <t xml:space="preserve">The void of the whole building costs 682,000, two and a half times the concession: rolled-up interest, empty rates, the rent-free incentive a completed empty building needs, and letting fees. But the occupier takes two floors of four, and what a two-floor pre-let removes is the holding cost, rent-free and fees on those two: 206,000 over a twelve-month void. The interest runs until the other two let.</t>
  </si>
  <si>
    <t xml:space="preserve">The comparison still needs no probabilities, for a corrected reason. The first version set a "certain" 1,332,661 against a best speculative 885,667; but it let the other two floors on completion day and charged the speculative void interest on 60 per cent of the loan. Corrected, the pre-let earns 316,422 to 1,092,661 and speculation -801,333 to 831,667: the pre-let wins in every outcome, by at least 260,994. It keeps winning in every outcome up to a 15.3 per cent discount, and beats the expected case up to 21.5 (the first version: 21 and 31). The occupier asked for eight.</t>
  </si>
  <si>
    <t xml:space="preserve">And the concession nobody priced is the larger one relative to its size. The dedicated entrance removes three per cent of the building and is worth the same as a six per cent rent discount — permanently, not for fifteen years. The occupier asked for eight per cent on rent and six per cent in configuration, and the negotiation was about the eight.</t>
  </si>
  <si>
    <t xml:space="preserve">The sheets</t>
  </si>
  <si>
    <t xml:space="preserve">1. The Scheme — four floors, the offer, the finance. Every input is here.</t>
  </si>
  <si>
    <t xml:space="preserve">2. The Concession — what the rent discount costs, three ways, and why they differ</t>
  </si>
  <si>
    <t xml:space="preserve">3. The Void — what the pre-let removes, line by line</t>
  </si>
  <si>
    <t xml:space="preserve">4. The Comparison — the pre-let against the distribution, outcome by outcome</t>
  </si>
  <si>
    <t xml:space="preserve">5. How Much Can You Concede — the break-even discount, and the entrance priced</t>
  </si>
  <si>
    <t xml:space="preserve">6. Checks — every figure in Appendix H, recomputed and compared</t>
  </si>
  <si>
    <t xml:space="preserve">A note on units, which this book is strict about</t>
  </si>
  <si>
    <t xml:space="preserve">The front matter says figures "are used to demonstrate arithmetic, not to assert market levels" and that the book "will not give you cost rates". This file keeps that discipline: everything is in notional units, internally consistent, exactly as Chapter 16's worked scheme is. Nothing here asserts a rent, a yield or a build cost for any real market. Put your own in.</t>
  </si>
  <si>
    <t xml:space="preserve">Blue on a pale fill is an input. Black on grey is a formula — do not overtype it.</t>
  </si>
  <si>
    <t xml:space="preserve">Revised 23 September 2026: sheets 3, 4 and 5 and the checks (see sheet 4, row 35). The rent concession, the void of the whole building and the entrance are unchanged.</t>
  </si>
  <si>
    <t xml:space="preserve">The scheme, the offer, and the finance</t>
  </si>
  <si>
    <t xml:space="preserve">Chapter 14's example. All notional units — the book does not assert market levels and neither does this.</t>
  </si>
  <si>
    <t xml:space="preserve">The building</t>
  </si>
  <si>
    <t xml:space="preserve">Floors</t>
  </si>
  <si>
    <t xml:space="preserve">Lettable area per floor</t>
  </si>
  <si>
    <t xml:space="preserve">Total lettable area</t>
  </si>
  <si>
    <t xml:space="preserve">Expected open market rent, per unit area</t>
  </si>
  <si>
    <t xml:space="preserve">Expected rental value, whole building</t>
  </si>
  <si>
    <t xml:space="preserve">The occupier's offer</t>
  </si>
  <si>
    <t xml:space="preserve">Floors offered to pre-let</t>
  </si>
  <si>
    <t xml:space="preserve">Discount to expected market rent</t>
  </si>
  <si>
    <t xml:space="preserve">the chapter's 'eight per cent below'</t>
  </si>
  <si>
    <t xml:space="preserve">Lease term (years)</t>
  </si>
  <si>
    <t xml:space="preserve">the chapter's fifteen-year term</t>
  </si>
  <si>
    <t xml:space="preserve">Ground-floor area given to a dedicated entrance</t>
  </si>
  <si>
    <t xml:space="preserve">the chapter's condition</t>
  </si>
  <si>
    <t xml:space="preserve">Pre-let area</t>
  </si>
  <si>
    <t xml:space="preserve">Pre-let rent</t>
  </si>
  <si>
    <t xml:space="preserve">Value and cost</t>
  </si>
  <si>
    <t xml:space="preserve">Total development cost</t>
  </si>
  <si>
    <t xml:space="preserve">Exit yield — 50% pre-let to a strong covenant</t>
  </si>
  <si>
    <t xml:space="preserve">contracted income hardens the yield</t>
  </si>
  <si>
    <t xml:space="preserve">Exit yield — let speculatively after completion</t>
  </si>
  <si>
    <t xml:space="preserve">Exit yield — practically complete and empty</t>
  </si>
  <si>
    <t xml:space="preserve">not used by any formula</t>
  </si>
  <si>
    <t xml:space="preserve">Discount rate for the rent NPV</t>
  </si>
  <si>
    <t xml:space="preserve">The finance</t>
  </si>
  <si>
    <t xml:space="preserve">Reference rate</t>
  </si>
  <si>
    <t xml:space="preserve">Build programme (months)</t>
  </si>
  <si>
    <t xml:space="preserve">Speculative: loan to cost</t>
  </si>
  <si>
    <t xml:space="preserve">Speculative: margin</t>
  </si>
  <si>
    <t xml:space="preserve">With the pre-let: loan to cost</t>
  </si>
  <si>
    <t xml:space="preserve">the chapter: 'improves in amount and price'</t>
  </si>
  <si>
    <t xml:space="preserve">With the pre-let: margin</t>
  </si>
  <si>
    <t xml:space="preserve">Average drawn over the programme</t>
  </si>
  <si>
    <t xml:space="preserve">The void, if you let speculatively</t>
  </si>
  <si>
    <t xml:space="preserve">Post-completion void (months)</t>
  </si>
  <si>
    <t xml:space="preserve">Holding cost per unit area, a year</t>
  </si>
  <si>
    <t xml:space="preserve">empty rates, service charge, security, marketing</t>
  </si>
  <si>
    <t xml:space="preserve">Rent-free incentive (months)</t>
  </si>
  <si>
    <t xml:space="preserve">what a completed empty building needs</t>
  </si>
  <si>
    <t xml:space="preserve">Letting fees, as a share of first year's rent</t>
  </si>
  <si>
    <t xml:space="preserve">Rent-free on the pre-let from completion (months)</t>
  </si>
  <si>
    <t xml:space="preserve">the book states none; the pre-let rent is received while the other floors are let</t>
  </si>
  <si>
    <t xml:space="preserve">What the rent discount actually costs</t>
  </si>
  <si>
    <t xml:space="preserve">Chapter 14: 'The rent discount costs a stated amount per year over fifteen years, which is real.' Here is the amount, three ways.</t>
  </si>
  <si>
    <t xml:space="preserve">Amount</t>
  </si>
  <si>
    <t xml:space="preserve">What it is</t>
  </si>
  <si>
    <t xml:space="preserve">Two floors at full expected rent</t>
  </si>
  <si>
    <t xml:space="preserve">Two floors at the discounted rent</t>
  </si>
  <si>
    <t xml:space="preserve">Rent foregone, a year</t>
  </si>
  <si>
    <t xml:space="preserve">NPV over the lease term, discounted</t>
  </si>
  <si>
    <t xml:space="preserve">what the appraisal shows</t>
  </si>
  <si>
    <t xml:space="preserve">CAPITALISED at the exit yield</t>
  </si>
  <si>
    <t xml:space="preserve">what a buyer actually deducts at exit</t>
  </si>
  <si>
    <t xml:space="preserve">The ratio between them</t>
  </si>
  <si>
    <t xml:space="preserve">times — and this gap is structural, not an error</t>
  </si>
  <si>
    <t xml:space="preserve">A developer conceding eight per cent thinks of it as a rent line: so much a year, for fifteen years, discounted. A buyer does not. A buyer capitalises the passing rent in perpetuity, because the lease is a floor and not a ceiling on the income the asset produces. So the concession that costs 145,727 in the appraisal costs 278,261 at exit — nearly twice as much.</t>
  </si>
  <si>
    <t xml:space="preserve">This is worth knowing before the negotiation rather than after the sale, and it applies to every rent concession in this book, not only to pre-lets. The rule of thumb: divide the annual rent foregone by your exit yield, not by your discount rate. The second number is the one that appears in the price.</t>
  </si>
  <si>
    <t xml:space="preserve">What the pre-let removes</t>
  </si>
  <si>
    <t xml:space="preserve">Chapter 14: 'the letting period after practical completion — the most dangerous phase of a development — disappears or shortens.'</t>
  </si>
  <si>
    <t xml:space="preserve">Peak debt at practical completion</t>
  </si>
  <si>
    <t xml:space="preserve">speculative case</t>
  </si>
  <si>
    <t xml:space="preserve">Interest rate on it</t>
  </si>
  <si>
    <t xml:space="preserve">Rolled-up interest over the void</t>
  </si>
  <si>
    <t xml:space="preserve">Empty rates, service charge, security, marketing</t>
  </si>
  <si>
    <t xml:space="preserve">Rent-free incentive on letting</t>
  </si>
  <si>
    <t xml:space="preserve">a completed empty building needs one</t>
  </si>
  <si>
    <t xml:space="preserve">Letting fees</t>
  </si>
  <si>
    <t xml:space="preserve">TOTAL COST OF THE VOID</t>
  </si>
  <si>
    <t xml:space="preserve">Per month of void</t>
  </si>
  <si>
    <t xml:space="preserve">As a multiple of the rent concession</t>
  </si>
  <si>
    <t xml:space="preserve">times — this is the trade, in one line</t>
  </si>
  <si>
    <t xml:space="preserve">Two and a half times. That is the whole economic case for a pre-let, and the chapter states it as a direction rather than a magnitude. Note also which line dominates: the rent-free incentive is the single largest item, larger than the interest, and it is the one most often left out of a speculative appraisal altogether because it does not feel like a cost — it feels like a rent that arrives later.</t>
  </si>
  <si>
    <t xml:space="preserve">OF WHICH THE TWO FLOORS THE PRE-LET TAKES (added 23 September 2026)</t>
  </si>
  <si>
    <t xml:space="preserve">Holding cost on the two floors pre-let</t>
  </si>
  <si>
    <t xml:space="preserve">Rent-free on the two floors pre-let</t>
  </si>
  <si>
    <t xml:space="preserve">Letting fees on the two floors pre-let</t>
  </si>
  <si>
    <t xml:space="preserve">WHAT A TWO-FLOOR PRE-LET REMOVES</t>
  </si>
  <si>
    <t xml:space="preserve">The 682,000 is the void of the whole building. The occupier takes two floors of four: the pre-let removes the holding cost, the rent-free and the letting fees on those two, 206,000 over a twelve-month void, about three quarters of the capitalised concession. The interest does not stop: the loan is outstanding until the other two floors are let. What the pre-let buys is on sheet 4, outcome by outcome.</t>
  </si>
  <si>
    <t xml:space="preserve">The comparison Chapter 14 tells you to write down</t>
  </si>
  <si>
    <t xml:space="preserve">'The judgement is a probability-weighted comparison: the certain outcome of the pre-let against the distribution of outcomes without it. Write that comparison down.'</t>
  </si>
  <si>
    <t xml:space="preserve">The pre-let, if the other two floors let the day the building completes</t>
  </si>
  <si>
    <t xml:space="preserve">Pre-let rent on two floors</t>
  </si>
  <si>
    <t xml:space="preserve">Market rent on the other two</t>
  </si>
  <si>
    <t xml:space="preserve">Total contracted and expected rent</t>
  </si>
  <si>
    <t xml:space="preserve">Gross development value</t>
  </si>
  <si>
    <t xml:space="preserve">less total development cost</t>
  </si>
  <si>
    <t xml:space="preserve">less finance cost</t>
  </si>
  <si>
    <t xml:space="preserve">PROFIT</t>
  </si>
  <si>
    <t xml:space="preserve">Profit on cost</t>
  </si>
  <si>
    <t xml:space="preserve">Revised 23 September 2026: this is not certain. The other two floors face the same void as the speculative building: rows 38 to 50.</t>
  </si>
  <si>
    <t xml:space="preserve">Speculative: the distribution (finance: construction at the average drawn, the void on the full loan, as sheet 3)</t>
  </si>
  <si>
    <t xml:space="preserve">Outcome</t>
  </si>
  <si>
    <t xml:space="preserve">Probability</t>
  </si>
  <si>
    <t xml:space="preserve">Void (months)</t>
  </si>
  <si>
    <t xml:space="preserve">Rent achieved</t>
  </si>
  <si>
    <t xml:space="preserve">GDV</t>
  </si>
  <si>
    <t xml:space="preserve">Finance cost</t>
  </si>
  <si>
    <t xml:space="preserve">Void costs</t>
  </si>
  <si>
    <t xml:space="preserve">Profit</t>
  </si>
  <si>
    <t xml:space="preserve">On cost</t>
  </si>
  <si>
    <t xml:space="preserve">Let at expected rent within 6 months</t>
  </si>
  <si>
    <t xml:space="preserve">Let at expected rent within 12 months</t>
  </si>
  <si>
    <t xml:space="preserve">Let at a 6% discount, 24 months</t>
  </si>
  <si>
    <t xml:space="preserve">Part-let at maturity</t>
  </si>
  <si>
    <t xml:space="preserve">Probabilities</t>
  </si>
  <si>
    <t xml:space="preserve">EXPECTED PROFIT</t>
  </si>
  <si>
    <t xml:space="preserve">The two side by side</t>
  </si>
  <si>
    <t xml:space="preserve">Value</t>
  </si>
  <si>
    <t xml:space="preserve">Reading</t>
  </si>
  <si>
    <t xml:space="preserve">Pre-let, expected (row 43)</t>
  </si>
  <si>
    <t xml:space="preserve">Speculative, expected</t>
  </si>
  <si>
    <t xml:space="preserve">Difference</t>
  </si>
  <si>
    <t xml:space="preserve">Best speculative outcome</t>
  </si>
  <si>
    <t xml:space="preserve">Worst speculative outcome</t>
  </si>
  <si>
    <t xml:space="preserve">Does the pre-let win in every outcome?</t>
  </si>
  <si>
    <t xml:space="preserve">Pre-let, worst outcome</t>
  </si>
  <si>
    <t xml:space="preserve">The first version's 'certain' pre-let (row 11)</t>
  </si>
  <si>
    <t xml:space="preserve">Revised 23 September 2026. The first version set a pre-let it called certain against the speculative distribution. It was not certain: it let the other two floors the day the building completed, with no void, no rent-free and no letting fees, costs the speculative case charges on every floor. And the speculative void carried interest on 60 per cent of the loan, the construction average, where sheet 3 charges the whole loan. Corrected, the pre-let ranges from 316,422 to 1,092,661 and speculation from -801,333 to 831,667. The pre-let still wins in every outcome, so the comparison still needs no probabilities; but it no longer "beats even the best case" by being certain, and the room to concede is smaller (sheet 5).</t>
  </si>
  <si>
    <t xml:space="preserve">The pre-let, with the other two floors let as the speculative case lets them (added 23 September 2026)</t>
  </si>
  <si>
    <t xml:space="preserve">Rent on the other two</t>
  </si>
  <si>
    <t xml:space="preserve">Void costs, two floors</t>
  </si>
  <si>
    <t xml:space="preserve">Pre-let rent received</t>
  </si>
  <si>
    <t xml:space="preserve">Against speculating</t>
  </si>
  <si>
    <t xml:space="preserve">Lost per unit of discount</t>
  </si>
  <si>
    <t xml:space="preserve">EXPECTED</t>
  </si>
  <si>
    <t xml:space="preserve">Smallest margin over speculating</t>
  </si>
  <si>
    <t xml:space="preserve">Discount at which it stops winning in every outcome</t>
  </si>
  <si>
    <t xml:space="preserve">Discount at which it falls behind the expected speculative outcome</t>
  </si>
  <si>
    <t xml:space="preserve">Smallest margin once the entrance is priced (sheet 5)</t>
  </si>
  <si>
    <t xml:space="preserve">Pre-let: best and worst outcomes</t>
  </si>
  <si>
    <t xml:space="preserve">The break-even concession, and the one nobody priced</t>
  </si>
  <si>
    <t xml:space="preserve">Chapter 14: 'A pre-let at a substantial discount to expected market rent transfers most of the value to the occupier.' True — but where is substantial?</t>
  </si>
  <si>
    <t xml:space="preserve">Rent discount</t>
  </si>
  <si>
    <t xml:space="preserve">Pre-let profit, expected</t>
  </si>
  <si>
    <t xml:space="preserve">vs expected speculative</t>
  </si>
  <si>
    <t xml:space="preserve">Smallest margin, four outcomes</t>
  </si>
  <si>
    <t xml:space="preserve">Verdict</t>
  </si>
  <si>
    <t xml:space="preserve">The occupier asked for</t>
  </si>
  <si>
    <t xml:space="preserve">Wins in every outcome up to</t>
  </si>
  <si>
    <t xml:space="preserve">Falls behind the expected speculative outcome at</t>
  </si>
  <si>
    <t xml:space="preserve">So the threshold the chapter warns about is real, and nearer than the first version said. The pre-let wins in every outcome up to a discount of about 15 per cent, and beats the expected speculative outcome up to about 21 and a half (the first version: 21 and 31, against a pre-let it treated as certain). The occupier asked for eight, and the entrance adds six: fourteen. On these figures the answer is still to sign, with about a point to spare, and it is the entrance, not the rent, that uses up the room.</t>
  </si>
  <si>
    <t xml:space="preserve">And the concession that was never priced</t>
  </si>
  <si>
    <t xml:space="preserve">Chapter 14: 'the rent is quantified in the appraisal and the configuration is not.' Quite so. Here it is quantified.</t>
  </si>
  <si>
    <t xml:space="preserve">Ground-floor area given to the entrance</t>
  </si>
  <si>
    <t xml:space="preserve">As a share of the building</t>
  </si>
  <si>
    <t xml:space="preserve">Capitalised at the exit yield</t>
  </si>
  <si>
    <t xml:space="preserve">PERMANENT — not for the lease term</t>
  </si>
  <si>
    <t xml:space="preserve">The rent concession, capitalised</t>
  </si>
  <si>
    <t xml:space="preserve">for the lease term only</t>
  </si>
  <si>
    <t xml:space="preserve">The entrance, as a multiple of it</t>
  </si>
  <si>
    <t xml:space="preserve">The entrance is worth a rent discount of</t>
  </si>
  <si>
    <t xml:space="preserve">So the occupier asked for, in total</t>
  </si>
  <si>
    <t xml:space="preserve">and the negotiation was about the first half of it</t>
  </si>
  <si>
    <t xml:space="preserve">Three per cent of the building, and it is worth the same as a six per cent rent discount. The occupier asked for eight per cent on rent and, in substance, six per cent more in configuration — and everyone argued about the eight, because the eight had a number attached. Set against sheet 4, it takes the smallest margin over speculating from about 261,000 to about 52,000. Worse, the entrance is permanent while the rent discount lasts fifteen years, so the smaller-looking concession is the more durable one.</t>
  </si>
  <si>
    <t xml:space="preserve">The chapter's key takeaway is to concede on rent and resist on configuration. This sheet says the instinct is right and gives the reason it is right, which is not the one the chapter offers. It is not that configuration matters more in principle. It is that a concession nobody prices is the one that gets given away, and the way to stop that is to price it — which takes one line and the exit yield you already have.</t>
  </si>
  <si>
    <t xml:space="preserve">Every figure in Appendix H, recomputed here</t>
  </si>
  <si>
    <t xml:space="preserve">Figure</t>
  </si>
  <si>
    <t xml:space="preserve">Appendix H</t>
  </si>
  <si>
    <t xml:space="preserve">This file</t>
  </si>
  <si>
    <t xml:space="preserve">Status</t>
  </si>
  <si>
    <t xml:space="preserve">Note</t>
  </si>
  <si>
    <t xml:space="preserve">tol 1</t>
  </si>
  <si>
    <t xml:space="preserve">NPV over fifteen years</t>
  </si>
  <si>
    <t xml:space="preserve">tol 5</t>
  </si>
  <si>
    <t xml:space="preserve">  the ratio between them</t>
  </si>
  <si>
    <t xml:space="preserve">tol 0.01</t>
  </si>
  <si>
    <t xml:space="preserve">Total cost of the void</t>
  </si>
  <si>
    <t xml:space="preserve">  per month</t>
  </si>
  <si>
    <t xml:space="preserve">  as a multiple of the concession</t>
  </si>
  <si>
    <t xml:space="preserve">tol 0.02</t>
  </si>
  <si>
    <t xml:space="preserve">Pre-let if the other two floors let on completion (first version's 'certain')</t>
  </si>
  <si>
    <t xml:space="preserve">  profit on cost</t>
  </si>
  <si>
    <t xml:space="preserve">tol 0.002</t>
  </si>
  <si>
    <t xml:space="preserve">Speculative, expected profit</t>
  </si>
  <si>
    <t xml:space="preserve">tol 5; revised, the first edition printed 520,367 with the void interest on 60% of the loan</t>
  </si>
  <si>
    <t xml:space="preserve">tol 5; revised, the first edition printed 885,667</t>
  </si>
  <si>
    <t xml:space="preserve">tol 5; revised, the first edition printed -531,333</t>
  </si>
  <si>
    <t xml:space="preserve">Entrance: rent foregone a year</t>
  </si>
  <si>
    <t xml:space="preserve">Entrance: capitalised</t>
  </si>
  <si>
    <t xml:space="preserve">Entrance as a rent discount</t>
  </si>
  <si>
    <t xml:space="preserve">Pre-let, expected, other floors let as the speculative case lets them</t>
  </si>
  <si>
    <t xml:space="preserve">Pre-let, smallest margin over speculating (wins in every outcome)</t>
  </si>
  <si>
    <t xml:space="preserve">tol 0.0005</t>
  </si>
  <si>
    <t xml:space="preserve">Discount at which it falls behind the expected case</t>
  </si>
  <si>
    <t xml:space="preserve">What a two-floor pre-let removes from a twelve-month void</t>
  </si>
  <si>
    <t xml:space="preserve">Speculative void interest, 12 months, sheet 4 = sheet 3 (must be zero)</t>
  </si>
  <si>
    <t xml:space="preserve">tol 1e-06</t>
  </si>
  <si>
    <t xml:space="preserve">Checks passing</t>
  </si>
</sst>
</file>

<file path=xl/styles.xml><?xml version="1.0" encoding="utf-8"?>
<styleSheet xmlns="http://schemas.openxmlformats.org/spreadsheetml/2006/main">
  <numFmts count="7">
    <numFmt numFmtId="164" formatCode="General"/>
    <numFmt numFmtId="165" formatCode="0"/>
    <numFmt numFmtId="166" formatCode="#,##0"/>
    <numFmt numFmtId="167" formatCode="#,##0.00"/>
    <numFmt numFmtId="168" formatCode="0.0%"/>
    <numFmt numFmtId="169" formatCode="0.00%"/>
    <numFmt numFmtId="170" formatCode="0.00\x"/>
  </numFmts>
  <fonts count="14">
    <font>
      <sz val="11"/>
      <color theme="1"/>
      <name val="Calibri"/>
      <family val="2"/>
      <charset val="1"/>
    </font>
    <font>
      <sz val="10"/>
      <name val="Arial"/>
      <family val="0"/>
    </font>
    <font>
      <sz val="10"/>
      <name val="Arial"/>
      <family val="0"/>
    </font>
    <font>
      <sz val="10"/>
      <name val="Arial"/>
      <family val="0"/>
    </font>
    <font>
      <b val="true"/>
      <sz val="15"/>
      <color rgb="FF1F2733"/>
      <name val="Cambria"/>
      <family val="0"/>
      <charset val="1"/>
    </font>
    <font>
      <i val="true"/>
      <sz val="10"/>
      <color rgb="FF5A6470"/>
      <name val="Cambria"/>
      <family val="0"/>
      <charset val="1"/>
    </font>
    <font>
      <sz val="10.5"/>
      <color rgb="FF1F2733"/>
      <name val="Cambria"/>
      <family val="0"/>
      <charset val="1"/>
    </font>
    <font>
      <b val="true"/>
      <sz val="11.5"/>
      <color rgb="FF1F2733"/>
      <name val="Cambria"/>
      <family val="0"/>
      <charset val="1"/>
    </font>
    <font>
      <b val="true"/>
      <sz val="14"/>
      <color rgb="FF1F2733"/>
      <name val="Cambria"/>
      <family val="0"/>
      <charset val="1"/>
    </font>
    <font>
      <b val="true"/>
      <sz val="11"/>
      <color rgb="FF1B4E8C"/>
      <name val="Cambria"/>
      <family val="0"/>
      <charset val="1"/>
    </font>
    <font>
      <sz val="11"/>
      <color rgb="FF1F2733"/>
      <name val="Cambria"/>
      <family val="0"/>
      <charset val="1"/>
    </font>
    <font>
      <b val="true"/>
      <sz val="10"/>
      <color rgb="FFFFFFFF"/>
      <name val="Cambria"/>
      <family val="0"/>
      <charset val="1"/>
    </font>
    <font>
      <b val="true"/>
      <sz val="10.5"/>
      <color rgb="FF1F2733"/>
      <name val="Cambria"/>
      <family val="0"/>
      <charset val="1"/>
    </font>
    <font>
      <b val="true"/>
      <sz val="11"/>
      <color rgb="FF1F2733"/>
      <name val="Cambria"/>
      <family val="0"/>
      <charset val="1"/>
    </font>
  </fonts>
  <fills count="7">
    <fill>
      <patternFill patternType="none"/>
    </fill>
    <fill>
      <patternFill patternType="gray125"/>
    </fill>
    <fill>
      <patternFill patternType="solid">
        <fgColor rgb="FFFDF3DC"/>
        <bgColor rgb="FFFBF0E4"/>
      </patternFill>
    </fill>
    <fill>
      <patternFill patternType="solid">
        <fgColor rgb="FFF1F3F5"/>
        <bgColor rgb="FFFBF0E4"/>
      </patternFill>
    </fill>
    <fill>
      <patternFill patternType="solid">
        <fgColor rgb="FF1F2733"/>
        <bgColor rgb="FF333300"/>
      </patternFill>
    </fill>
    <fill>
      <patternFill patternType="solid">
        <fgColor rgb="FFFBF0E4"/>
        <bgColor rgb="FFFDF3DC"/>
      </patternFill>
    </fill>
    <fill>
      <patternFill patternType="solid">
        <fgColor rgb="FFE4F1E4"/>
        <bgColor rgb="FFF1F3F5"/>
      </patternFill>
    </fill>
  </fills>
  <borders count="2">
    <border diagonalUp="false" diagonalDown="false">
      <left/>
      <right/>
      <top/>
      <bottom/>
      <diagonal/>
    </border>
    <border diagonalUp="false" diagonalDown="false">
      <left style="thin">
        <color rgb="FFC9CFD6"/>
      </left>
      <right style="thin">
        <color rgb="FFC9CFD6"/>
      </right>
      <top style="thin">
        <color rgb="FFC9CFD6"/>
      </top>
      <bottom style="thin">
        <color rgb="FFC9CF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9" fillId="2" borderId="1" xfId="0" applyFont="true" applyBorder="true" applyAlignment="false" applyProtection="false">
      <alignment horizontal="general" vertical="bottom" textRotation="0" wrapText="false" indent="0" shrinkToFit="false"/>
      <protection locked="true" hidden="false"/>
    </xf>
    <xf numFmtId="164" fontId="10" fillId="3" borderId="1" xfId="0" applyFont="true" applyBorder="true" applyAlignment="false" applyProtection="false">
      <alignment horizontal="general" vertical="bottom" textRotation="0" wrapText="false" indent="0" shrinkToFit="false"/>
      <protection locked="true" hidden="false"/>
    </xf>
    <xf numFmtId="166" fontId="9" fillId="2" borderId="1" xfId="0" applyFont="true" applyBorder="true" applyAlignment="false" applyProtection="false">
      <alignment horizontal="general" vertical="bottom" textRotation="0" wrapText="false" indent="0" shrinkToFit="false"/>
      <protection locked="true" hidden="false"/>
    </xf>
    <xf numFmtId="166" fontId="10" fillId="3" borderId="1" xfId="0" applyFont="true" applyBorder="true" applyAlignment="false" applyProtection="false">
      <alignment horizontal="general" vertical="bottom" textRotation="0" wrapText="false" indent="0" shrinkToFit="false"/>
      <protection locked="true" hidden="false"/>
    </xf>
    <xf numFmtId="167" fontId="9" fillId="2" borderId="1" xfId="0" applyFont="true" applyBorder="true" applyAlignment="false" applyProtection="false">
      <alignment horizontal="general" vertical="bottom" textRotation="0" wrapText="false" indent="0" shrinkToFit="false"/>
      <protection locked="true" hidden="false"/>
    </xf>
    <xf numFmtId="168" fontId="9" fillId="2" borderId="1" xfId="0" applyFont="true" applyBorder="true" applyAlignment="false" applyProtection="false">
      <alignment horizontal="general" vertical="bottom" textRotation="0" wrapText="false" indent="0" shrinkToFit="false"/>
      <protection locked="true" hidden="false"/>
    </xf>
    <xf numFmtId="169" fontId="9" fillId="2" borderId="1" xfId="0" applyFont="true" applyBorder="true" applyAlignment="false" applyProtection="false">
      <alignment horizontal="general" vertical="bottom" textRotation="0" wrapText="false" indent="0" shrinkToFit="false"/>
      <protection locked="true" hidden="false"/>
    </xf>
    <xf numFmtId="164" fontId="11" fillId="4" borderId="1" xfId="0" applyFont="true" applyBorder="true" applyAlignment="true" applyProtection="false">
      <alignment horizontal="center" vertical="center"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6" fontId="13" fillId="3" borderId="1" xfId="0" applyFont="true" applyBorder="true" applyAlignment="false" applyProtection="false">
      <alignment horizontal="general" vertical="bottom" textRotation="0" wrapText="false" indent="0" shrinkToFit="false"/>
      <protection locked="true" hidden="false"/>
    </xf>
    <xf numFmtId="166" fontId="13" fillId="5" borderId="1" xfId="0" applyFont="true" applyBorder="true" applyAlignment="false" applyProtection="false">
      <alignment horizontal="general" vertical="bottom" textRotation="0" wrapText="false" indent="0" shrinkToFit="false"/>
      <protection locked="true" hidden="false"/>
    </xf>
    <xf numFmtId="170" fontId="13" fillId="5" borderId="1"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9" fontId="10" fillId="3" borderId="1" xfId="0" applyFont="true" applyBorder="true" applyAlignment="false" applyProtection="false">
      <alignment horizontal="general" vertical="bottom" textRotation="0" wrapText="false" indent="0" shrinkToFit="false"/>
      <protection locked="true" hidden="false"/>
    </xf>
    <xf numFmtId="170" fontId="13" fillId="3" borderId="1" xfId="0" applyFont="true" applyBorder="true" applyAlignment="false" applyProtection="false">
      <alignment horizontal="general" vertical="bottom" textRotation="0" wrapText="false" indent="0" shrinkToFit="false"/>
      <protection locked="true" hidden="false"/>
    </xf>
    <xf numFmtId="168" fontId="13" fillId="5" borderId="1" xfId="0" applyFont="true" applyBorder="true" applyAlignment="false" applyProtection="false">
      <alignment horizontal="general" vertical="bottom" textRotation="0" wrapText="false" indent="0" shrinkToFit="false"/>
      <protection locked="true" hidden="false"/>
    </xf>
    <xf numFmtId="168" fontId="10" fillId="3" borderId="1" xfId="0" applyFont="true" applyBorder="true" applyAlignment="false" applyProtection="false">
      <alignment horizontal="general" vertical="bottom" textRotation="0" wrapText="false" indent="0" shrinkToFit="false"/>
      <protection locked="true" hidden="false"/>
    </xf>
    <xf numFmtId="168" fontId="13" fillId="3" borderId="1" xfId="0" applyFont="true" applyBorder="true" applyAlignment="false" applyProtection="false">
      <alignment horizontal="general" vertical="bottom" textRotation="0" wrapText="false" indent="0" shrinkToFit="false"/>
      <protection locked="true" hidden="false"/>
    </xf>
    <xf numFmtId="164" fontId="13" fillId="5" borderId="1" xfId="0" applyFont="true" applyBorder="true" applyAlignment="false" applyProtection="false">
      <alignment horizontal="general" vertical="bottom" textRotation="0" wrapText="false" indent="0" shrinkToFit="false"/>
      <protection locked="true" hidden="false"/>
    </xf>
    <xf numFmtId="165" fontId="10" fillId="3" borderId="1" xfId="0" applyFont="true" applyBorder="true" applyAlignment="false" applyProtection="false">
      <alignment horizontal="general" vertical="bottom" textRotation="0" wrapText="false" indent="0" shrinkToFit="false"/>
      <protection locked="true" hidden="false"/>
    </xf>
    <xf numFmtId="164" fontId="10" fillId="3" borderId="1" xfId="0" applyFont="true" applyBorder="true" applyAlignment="true" applyProtection="false">
      <alignment horizontal="center" vertical="bottom" textRotation="0" wrapText="false" indent="0" shrinkToFit="false"/>
      <protection locked="true" hidden="false"/>
    </xf>
    <xf numFmtId="170" fontId="10" fillId="3" borderId="1" xfId="0" applyFont="true" applyBorder="true" applyAlignment="false" applyProtection="false">
      <alignment horizontal="general" vertical="bottom" textRotation="0" wrapText="false" indent="0" shrinkToFit="false"/>
      <protection locked="true" hidden="false"/>
    </xf>
    <xf numFmtId="165" fontId="13" fillId="3" borderId="1" xfId="0" applyFont="true" applyBorder="true" applyAlignment="false" applyProtection="false">
      <alignment horizontal="general" vertical="bottom" textRotation="0" wrapText="false" indent="0" shrinkToFit="false"/>
      <protection locked="true" hidden="false"/>
    </xf>
    <xf numFmtId="164" fontId="10" fillId="6"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DF3DC"/>
      <rgbColor rgb="FFF1F3F5"/>
      <rgbColor rgb="FF660066"/>
      <rgbColor rgb="FFFF8080"/>
      <rgbColor rgb="FF0066CC"/>
      <rgbColor rgb="FFC9CFD6"/>
      <rgbColor rgb="FF000080"/>
      <rgbColor rgb="FFFF00FF"/>
      <rgbColor rgb="FFFFFF00"/>
      <rgbColor rgb="FF00FFFF"/>
      <rgbColor rgb="FF800080"/>
      <rgbColor rgb="FF800000"/>
      <rgbColor rgb="FF008080"/>
      <rgbColor rgb="FF0000FF"/>
      <rgbColor rgb="FF00CCFF"/>
      <rgbColor rgb="FFCCFFFF"/>
      <rgbColor rgb="FFE4F1E4"/>
      <rgbColor rgb="FFFBF0E4"/>
      <rgbColor rgb="FF99CCFF"/>
      <rgbColor rgb="FFFF99CC"/>
      <rgbColor rgb="FFCC99FF"/>
      <rgbColor rgb="FFFFCC99"/>
      <rgbColor rgb="FF3366FF"/>
      <rgbColor rgb="FF33CCCC"/>
      <rgbColor rgb="FF99CC00"/>
      <rgbColor rgb="FFFFCC00"/>
      <rgbColor rgb="FFFF9900"/>
      <rgbColor rgb="FFFF6600"/>
      <rgbColor rgb="FF5A6470"/>
      <rgbColor rgb="FF969696"/>
      <rgbColor rgb="FF003366"/>
      <rgbColor rgb="FF339966"/>
      <rgbColor rgb="FF003300"/>
      <rgbColor rgb="FF333300"/>
      <rgbColor rgb="FF993300"/>
      <rgbColor rgb="FF993366"/>
      <rgbColor rgb="FF1B4E8C"/>
      <rgbColor rgb="FF1F27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4"/>
  </cols>
  <sheetData>
    <row r="1" customFormat="false" ht="18.55" hidden="false" customHeight="false" outlineLevel="0" collapsed="false">
      <c r="A1" s="1" t="s">
        <v>0</v>
      </c>
    </row>
    <row r="2" customFormat="false" ht="15" hidden="false" customHeight="false" outlineLevel="0" collapsed="false">
      <c r="A2" s="2" t="s">
        <v>1</v>
      </c>
    </row>
    <row r="4" customFormat="false" ht="75" hidden="false" customHeight="true" outlineLevel="0" collapsed="false">
      <c r="A4" s="3" t="s">
        <v>2</v>
      </c>
    </row>
    <row r="6" customFormat="false" ht="45" hidden="false" customHeight="true" outlineLevel="0" collapsed="false">
      <c r="A6" s="3" t="s">
        <v>3</v>
      </c>
    </row>
    <row r="8" customFormat="false" ht="15" hidden="false" customHeight="false" outlineLevel="0" collapsed="false">
      <c r="A8" s="4" t="s">
        <v>4</v>
      </c>
    </row>
    <row r="9" customFormat="false" ht="60" hidden="false" customHeight="true" outlineLevel="0" collapsed="false">
      <c r="A9" s="3" t="s">
        <v>5</v>
      </c>
    </row>
    <row r="10" customFormat="false" ht="45" hidden="false" customHeight="true" outlineLevel="0" collapsed="false">
      <c r="A10" s="3" t="s">
        <v>6</v>
      </c>
    </row>
    <row r="11" customFormat="false" ht="75" hidden="false" customHeight="true" outlineLevel="0" collapsed="false">
      <c r="A11" s="3" t="s">
        <v>7</v>
      </c>
    </row>
    <row r="12" customFormat="false" ht="60" hidden="false" customHeight="true" outlineLevel="0" collapsed="false">
      <c r="A12" s="3" t="s">
        <v>8</v>
      </c>
    </row>
    <row r="14" customFormat="false" ht="15" hidden="false" customHeight="false" outlineLevel="0" collapsed="false">
      <c r="A14" s="4" t="s">
        <v>9</v>
      </c>
    </row>
    <row r="15" customFormat="false" ht="15" hidden="false" customHeight="true" outlineLevel="0" collapsed="false">
      <c r="A15" s="3" t="s">
        <v>10</v>
      </c>
    </row>
    <row r="16" customFormat="false" ht="15" hidden="false" customHeight="true" outlineLevel="0" collapsed="false">
      <c r="A16" s="3" t="s">
        <v>11</v>
      </c>
    </row>
    <row r="17" customFormat="false" ht="15" hidden="false" customHeight="true" outlineLevel="0" collapsed="false">
      <c r="A17" s="3" t="s">
        <v>12</v>
      </c>
    </row>
    <row r="18" customFormat="false" ht="15" hidden="false" customHeight="true" outlineLevel="0" collapsed="false">
      <c r="A18" s="3" t="s">
        <v>13</v>
      </c>
    </row>
    <row r="19" customFormat="false" ht="15" hidden="false" customHeight="true" outlineLevel="0" collapsed="false">
      <c r="A19" s="3" t="s">
        <v>14</v>
      </c>
    </row>
    <row r="20" customFormat="false" ht="15" hidden="false" customHeight="true" outlineLevel="0" collapsed="false">
      <c r="A20" s="3" t="s">
        <v>15</v>
      </c>
    </row>
    <row r="22" customFormat="false" ht="15" hidden="false" customHeight="false" outlineLevel="0" collapsed="false">
      <c r="A22" s="4" t="s">
        <v>16</v>
      </c>
    </row>
    <row r="23" customFormat="false" ht="60" hidden="false" customHeight="true" outlineLevel="0" collapsed="false">
      <c r="A23" s="3" t="s">
        <v>17</v>
      </c>
    </row>
    <row r="25" customFormat="false" ht="15" hidden="false" customHeight="false" outlineLevel="0" collapsed="false">
      <c r="A25" s="2" t="s">
        <v>18</v>
      </c>
    </row>
    <row r="26" customFormat="false" ht="15" hidden="false" customHeight="false" outlineLevel="0" collapsed="false">
      <c r="A26" s="2" t="s">
        <v>19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4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0"/>
    <col collapsed="false" customWidth="true" hidden="false" outlineLevel="0" max="4" min="2" style="0" width="16"/>
    <col collapsed="false" customWidth="true" hidden="false" outlineLevel="0" max="5" min="5" style="0" width="46"/>
  </cols>
  <sheetData>
    <row r="1" customFormat="false" ht="17.35" hidden="false" customHeight="false" outlineLevel="0" collapsed="false">
      <c r="A1" s="5" t="s">
        <v>20</v>
      </c>
    </row>
    <row r="2" customFormat="false" ht="15" hidden="false" customHeight="false" outlineLevel="0" collapsed="false">
      <c r="A2" s="2" t="s">
        <v>21</v>
      </c>
    </row>
    <row r="4" customFormat="false" ht="15" hidden="false" customHeight="false" outlineLevel="0" collapsed="false">
      <c r="A4" s="4" t="s">
        <v>22</v>
      </c>
    </row>
    <row r="5" customFormat="false" ht="15" hidden="false" customHeight="false" outlineLevel="0" collapsed="false">
      <c r="A5" s="6" t="s">
        <v>23</v>
      </c>
      <c r="B5" s="7" t="n">
        <v>4</v>
      </c>
      <c r="E5" s="8"/>
    </row>
    <row r="6" customFormat="false" ht="15" hidden="false" customHeight="false" outlineLevel="0" collapsed="false">
      <c r="A6" s="6" t="s">
        <v>24</v>
      </c>
      <c r="B6" s="9" t="n">
        <v>1000</v>
      </c>
      <c r="E6" s="8"/>
    </row>
    <row r="7" customFormat="false" ht="15" hidden="false" customHeight="false" outlineLevel="0" collapsed="false">
      <c r="A7" s="6" t="s">
        <v>25</v>
      </c>
      <c r="B7" s="10" t="n">
        <f aca="false">B5*B6</f>
        <v>4000</v>
      </c>
      <c r="E7" s="8"/>
    </row>
    <row r="8" customFormat="false" ht="15" hidden="false" customHeight="false" outlineLevel="0" collapsed="false">
      <c r="A8" s="6" t="s">
        <v>26</v>
      </c>
      <c r="B8" s="11" t="n">
        <v>100</v>
      </c>
      <c r="E8" s="8"/>
    </row>
    <row r="9" customFormat="false" ht="15" hidden="false" customHeight="false" outlineLevel="0" collapsed="false">
      <c r="A9" s="6" t="s">
        <v>27</v>
      </c>
      <c r="B9" s="10" t="n">
        <f aca="false">B7*B8</f>
        <v>400000</v>
      </c>
      <c r="E9" s="8"/>
    </row>
    <row r="11" customFormat="false" ht="15" hidden="false" customHeight="false" outlineLevel="0" collapsed="false">
      <c r="A11" s="4" t="s">
        <v>28</v>
      </c>
    </row>
    <row r="12" customFormat="false" ht="15" hidden="false" customHeight="false" outlineLevel="0" collapsed="false">
      <c r="A12" s="6" t="s">
        <v>29</v>
      </c>
      <c r="B12" s="7" t="n">
        <v>2</v>
      </c>
      <c r="E12" s="8"/>
    </row>
    <row r="13" customFormat="false" ht="15" hidden="false" customHeight="false" outlineLevel="0" collapsed="false">
      <c r="A13" s="6" t="s">
        <v>30</v>
      </c>
      <c r="B13" s="12" t="n">
        <v>0.08</v>
      </c>
      <c r="E13" s="8" t="s">
        <v>31</v>
      </c>
    </row>
    <row r="14" customFormat="false" ht="15" hidden="false" customHeight="false" outlineLevel="0" collapsed="false">
      <c r="A14" s="6" t="s">
        <v>32</v>
      </c>
      <c r="B14" s="7" t="n">
        <v>15</v>
      </c>
      <c r="E14" s="8" t="s">
        <v>33</v>
      </c>
    </row>
    <row r="15" customFormat="false" ht="15" hidden="false" customHeight="false" outlineLevel="0" collapsed="false">
      <c r="A15" s="6" t="s">
        <v>34</v>
      </c>
      <c r="B15" s="9" t="n">
        <v>120</v>
      </c>
      <c r="E15" s="8" t="s">
        <v>35</v>
      </c>
    </row>
    <row r="16" customFormat="false" ht="15" hidden="false" customHeight="false" outlineLevel="0" collapsed="false">
      <c r="A16" s="6" t="s">
        <v>36</v>
      </c>
      <c r="B16" s="10" t="n">
        <f aca="false">B12*B6</f>
        <v>2000</v>
      </c>
      <c r="E16" s="8"/>
    </row>
    <row r="17" customFormat="false" ht="15" hidden="false" customHeight="false" outlineLevel="0" collapsed="false">
      <c r="A17" s="6" t="s">
        <v>37</v>
      </c>
      <c r="B17" s="10" t="n">
        <f aca="false">B16*B8*(1-B13)</f>
        <v>184000</v>
      </c>
      <c r="E17" s="8"/>
    </row>
    <row r="19" customFormat="false" ht="15" hidden="false" customHeight="false" outlineLevel="0" collapsed="false">
      <c r="A19" s="4" t="s">
        <v>38</v>
      </c>
    </row>
    <row r="20" customFormat="false" ht="15" hidden="false" customHeight="false" outlineLevel="0" collapsed="false">
      <c r="A20" s="6" t="s">
        <v>39</v>
      </c>
      <c r="B20" s="9" t="n">
        <v>5000000</v>
      </c>
      <c r="E20" s="8"/>
    </row>
    <row r="21" customFormat="false" ht="15" hidden="false" customHeight="false" outlineLevel="0" collapsed="false">
      <c r="A21" s="6" t="s">
        <v>40</v>
      </c>
      <c r="B21" s="13" t="n">
        <v>0.0575</v>
      </c>
      <c r="E21" s="8" t="s">
        <v>41</v>
      </c>
    </row>
    <row r="22" customFormat="false" ht="15" hidden="false" customHeight="false" outlineLevel="0" collapsed="false">
      <c r="A22" s="6" t="s">
        <v>42</v>
      </c>
      <c r="B22" s="13" t="n">
        <v>0.06</v>
      </c>
      <c r="E22" s="8"/>
    </row>
    <row r="23" customFormat="false" ht="15" hidden="false" customHeight="false" outlineLevel="0" collapsed="false">
      <c r="A23" s="6" t="s">
        <v>43</v>
      </c>
      <c r="B23" s="13" t="n">
        <v>0.065</v>
      </c>
      <c r="E23" s="8" t="s">
        <v>44</v>
      </c>
    </row>
    <row r="24" customFormat="false" ht="15" hidden="false" customHeight="false" outlineLevel="0" collapsed="false">
      <c r="A24" s="6" t="s">
        <v>45</v>
      </c>
      <c r="B24" s="13" t="n">
        <v>0.07</v>
      </c>
      <c r="E24" s="8"/>
    </row>
    <row r="26" customFormat="false" ht="15" hidden="false" customHeight="false" outlineLevel="0" collapsed="false">
      <c r="A26" s="4" t="s">
        <v>46</v>
      </c>
    </row>
    <row r="27" customFormat="false" ht="15" hidden="false" customHeight="false" outlineLevel="0" collapsed="false">
      <c r="A27" s="6" t="s">
        <v>47</v>
      </c>
      <c r="B27" s="13" t="n">
        <v>0.045</v>
      </c>
      <c r="E27" s="8"/>
    </row>
    <row r="28" customFormat="false" ht="15" hidden="false" customHeight="false" outlineLevel="0" collapsed="false">
      <c r="A28" s="6" t="s">
        <v>48</v>
      </c>
      <c r="B28" s="7" t="n">
        <v>24</v>
      </c>
      <c r="E28" s="8"/>
    </row>
    <row r="29" customFormat="false" ht="15" hidden="false" customHeight="false" outlineLevel="0" collapsed="false">
      <c r="A29" s="6" t="s">
        <v>49</v>
      </c>
      <c r="B29" s="12" t="n">
        <v>0.6</v>
      </c>
      <c r="E29" s="8"/>
    </row>
    <row r="30" customFormat="false" ht="15" hidden="false" customHeight="false" outlineLevel="0" collapsed="false">
      <c r="A30" s="6" t="s">
        <v>50</v>
      </c>
      <c r="B30" s="13" t="n">
        <v>0.045</v>
      </c>
      <c r="E30" s="8"/>
    </row>
    <row r="31" customFormat="false" ht="15" hidden="false" customHeight="false" outlineLevel="0" collapsed="false">
      <c r="A31" s="6" t="s">
        <v>51</v>
      </c>
      <c r="B31" s="12" t="n">
        <v>0.72</v>
      </c>
      <c r="E31" s="8" t="s">
        <v>52</v>
      </c>
    </row>
    <row r="32" customFormat="false" ht="15" hidden="false" customHeight="false" outlineLevel="0" collapsed="false">
      <c r="A32" s="6" t="s">
        <v>53</v>
      </c>
      <c r="B32" s="13" t="n">
        <v>0.035</v>
      </c>
      <c r="E32" s="8"/>
    </row>
    <row r="33" customFormat="false" ht="15" hidden="false" customHeight="false" outlineLevel="0" collapsed="false">
      <c r="A33" s="6" t="s">
        <v>54</v>
      </c>
      <c r="B33" s="12" t="n">
        <v>0.6</v>
      </c>
      <c r="E33" s="8"/>
    </row>
    <row r="35" customFormat="false" ht="15" hidden="false" customHeight="false" outlineLevel="0" collapsed="false">
      <c r="A35" s="4" t="s">
        <v>55</v>
      </c>
    </row>
    <row r="36" customFormat="false" ht="15" hidden="false" customHeight="false" outlineLevel="0" collapsed="false">
      <c r="A36" s="6" t="s">
        <v>56</v>
      </c>
      <c r="B36" s="7" t="n">
        <v>12</v>
      </c>
      <c r="E36" s="8"/>
    </row>
    <row r="37" customFormat="false" ht="15" hidden="false" customHeight="false" outlineLevel="0" collapsed="false">
      <c r="A37" s="6" t="s">
        <v>57</v>
      </c>
      <c r="B37" s="11" t="n">
        <v>18</v>
      </c>
      <c r="E37" s="8" t="s">
        <v>58</v>
      </c>
    </row>
    <row r="38" customFormat="false" ht="15" hidden="false" customHeight="false" outlineLevel="0" collapsed="false">
      <c r="A38" s="6" t="s">
        <v>59</v>
      </c>
      <c r="B38" s="7" t="n">
        <v>9</v>
      </c>
      <c r="E38" s="8" t="s">
        <v>60</v>
      </c>
    </row>
    <row r="39" customFormat="false" ht="15" hidden="false" customHeight="false" outlineLevel="0" collapsed="false">
      <c r="A39" s="6" t="s">
        <v>61</v>
      </c>
      <c r="B39" s="12" t="n">
        <v>0.1</v>
      </c>
      <c r="E39" s="8"/>
    </row>
    <row r="40" customFormat="false" ht="15" hidden="false" customHeight="false" outlineLevel="0" collapsed="false">
      <c r="A40" s="6" t="s">
        <v>62</v>
      </c>
      <c r="B40" s="7" t="n">
        <v>0</v>
      </c>
      <c r="E40" s="8" t="s">
        <v>63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4" min="2" style="0" width="17"/>
    <col collapsed="false" customWidth="true" hidden="false" outlineLevel="0" max="5" min="5" style="0" width="46"/>
  </cols>
  <sheetData>
    <row r="1" customFormat="false" ht="17.35" hidden="false" customHeight="false" outlineLevel="0" collapsed="false">
      <c r="A1" s="5" t="s">
        <v>64</v>
      </c>
    </row>
    <row r="2" customFormat="false" ht="15" hidden="false" customHeight="false" outlineLevel="0" collapsed="false">
      <c r="A2" s="2" t="s">
        <v>65</v>
      </c>
    </row>
    <row r="4" customFormat="false" ht="30" hidden="false" customHeight="true" outlineLevel="0" collapsed="false">
      <c r="A4" s="14"/>
      <c r="B4" s="14" t="s">
        <v>66</v>
      </c>
      <c r="C4" s="14"/>
      <c r="D4" s="14"/>
      <c r="E4" s="14" t="s">
        <v>67</v>
      </c>
    </row>
    <row r="5" customFormat="false" ht="15" hidden="false" customHeight="false" outlineLevel="0" collapsed="false">
      <c r="A5" s="6" t="s">
        <v>68</v>
      </c>
      <c r="B5" s="10" t="n">
        <f aca="false">'1. The Scheme'!B16*'1. The Scheme'!B8</f>
        <v>200000</v>
      </c>
    </row>
    <row r="6" customFormat="false" ht="15" hidden="false" customHeight="false" outlineLevel="0" collapsed="false">
      <c r="A6" s="6" t="s">
        <v>69</v>
      </c>
      <c r="B6" s="10" t="n">
        <f aca="false">'1. The Scheme'!B17</f>
        <v>184000</v>
      </c>
    </row>
    <row r="7" customFormat="false" ht="15" hidden="false" customHeight="false" outlineLevel="0" collapsed="false">
      <c r="A7" s="6" t="s">
        <v>70</v>
      </c>
      <c r="B7" s="10" t="n">
        <f aca="false">B5-B6</f>
        <v>16000</v>
      </c>
    </row>
    <row r="9" customFormat="false" ht="15" hidden="false" customHeight="false" outlineLevel="0" collapsed="false">
      <c r="A9" s="15" t="s">
        <v>71</v>
      </c>
      <c r="B9" s="16" t="n">
        <f aca="false">IFERROR(B7*(1-(1+'1. The Scheme'!B24)^-'1. The Scheme'!B14)/'1. The Scheme'!B24,"")</f>
        <v>145726.624081746</v>
      </c>
      <c r="E9" s="8" t="s">
        <v>72</v>
      </c>
    </row>
    <row r="10" customFormat="false" ht="15" hidden="false" customHeight="false" outlineLevel="0" collapsed="false">
      <c r="A10" s="15" t="s">
        <v>73</v>
      </c>
      <c r="B10" s="17" t="n">
        <f aca="false">IFERROR(B7/'1. The Scheme'!B21,"")</f>
        <v>278260.869565217</v>
      </c>
      <c r="E10" s="8" t="s">
        <v>74</v>
      </c>
    </row>
    <row r="11" customFormat="false" ht="15" hidden="false" customHeight="false" outlineLevel="0" collapsed="false">
      <c r="A11" s="15" t="s">
        <v>75</v>
      </c>
      <c r="B11" s="18" t="n">
        <f aca="false">IFERROR(B10/B9,"")</f>
        <v>1.90947173393055</v>
      </c>
      <c r="E11" s="8" t="s">
        <v>76</v>
      </c>
    </row>
    <row r="13" customFormat="false" ht="43.5" hidden="false" customHeight="true" outlineLevel="0" collapsed="false">
      <c r="A13" s="19" t="s">
        <v>77</v>
      </c>
      <c r="B13" s="19"/>
      <c r="C13" s="19"/>
      <c r="D13" s="19"/>
      <c r="E13" s="19"/>
    </row>
    <row r="17" customFormat="false" ht="37.5" hidden="false" customHeight="true" outlineLevel="0" collapsed="false">
      <c r="A17" s="19" t="s">
        <v>78</v>
      </c>
      <c r="B17" s="19"/>
      <c r="C17" s="19"/>
      <c r="D17" s="19"/>
      <c r="E17" s="19"/>
    </row>
  </sheetData>
  <mergeCells count="2">
    <mergeCell ref="A13:E13"/>
    <mergeCell ref="A17:E1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4" min="2" style="0" width="17"/>
    <col collapsed="false" customWidth="true" hidden="false" outlineLevel="0" max="5" min="5" style="0" width="44"/>
  </cols>
  <sheetData>
    <row r="1" customFormat="false" ht="17.35" hidden="false" customHeight="false" outlineLevel="0" collapsed="false">
      <c r="A1" s="5" t="s">
        <v>79</v>
      </c>
    </row>
    <row r="2" customFormat="false" ht="15" hidden="false" customHeight="false" outlineLevel="0" collapsed="false">
      <c r="A2" s="2" t="s">
        <v>80</v>
      </c>
    </row>
    <row r="4" customFormat="false" ht="30" hidden="false" customHeight="true" outlineLevel="0" collapsed="false">
      <c r="A4" s="14"/>
      <c r="B4" s="14" t="s">
        <v>66</v>
      </c>
      <c r="C4" s="14"/>
      <c r="D4" s="14"/>
      <c r="E4" s="14" t="s">
        <v>67</v>
      </c>
    </row>
    <row r="5" customFormat="false" ht="15" hidden="false" customHeight="false" outlineLevel="0" collapsed="false">
      <c r="A5" s="6" t="s">
        <v>81</v>
      </c>
      <c r="B5" s="10" t="n">
        <f aca="false">'1. The Scheme'!B20*'1. The Scheme'!B29</f>
        <v>3000000</v>
      </c>
      <c r="E5" s="8" t="s">
        <v>82</v>
      </c>
    </row>
    <row r="6" customFormat="false" ht="15" hidden="false" customHeight="false" outlineLevel="0" collapsed="false">
      <c r="A6" s="6" t="s">
        <v>83</v>
      </c>
      <c r="B6" s="20" t="n">
        <f aca="false">'1. The Scheme'!B27+'1. The Scheme'!B30</f>
        <v>0.09</v>
      </c>
      <c r="E6" s="8"/>
    </row>
    <row r="7" customFormat="false" ht="15" hidden="false" customHeight="false" outlineLevel="0" collapsed="false">
      <c r="A7" s="6" t="s">
        <v>84</v>
      </c>
      <c r="B7" s="10" t="n">
        <f aca="false">IFERROR(B5*B6*'1. The Scheme'!B36/12,"")</f>
        <v>270000</v>
      </c>
      <c r="E7" s="8"/>
    </row>
    <row r="8" customFormat="false" ht="15" hidden="false" customHeight="false" outlineLevel="0" collapsed="false">
      <c r="A8" s="6" t="s">
        <v>85</v>
      </c>
      <c r="B8" s="10" t="n">
        <f aca="false">IFERROR('1. The Scheme'!B7*'1. The Scheme'!B37*'1. The Scheme'!B36/12,"")</f>
        <v>72000</v>
      </c>
      <c r="E8" s="8"/>
    </row>
    <row r="9" customFormat="false" ht="15" hidden="false" customHeight="false" outlineLevel="0" collapsed="false">
      <c r="A9" s="6" t="s">
        <v>86</v>
      </c>
      <c r="B9" s="10" t="n">
        <f aca="false">IFERROR('1. The Scheme'!B9*'1. The Scheme'!B38/12,"")</f>
        <v>300000</v>
      </c>
      <c r="E9" s="8" t="s">
        <v>87</v>
      </c>
    </row>
    <row r="10" customFormat="false" ht="15" hidden="false" customHeight="false" outlineLevel="0" collapsed="false">
      <c r="A10" s="6" t="s">
        <v>88</v>
      </c>
      <c r="B10" s="10" t="n">
        <f aca="false">IFERROR('1. The Scheme'!B9*'1. The Scheme'!B39,"")</f>
        <v>40000</v>
      </c>
      <c r="E10" s="8"/>
    </row>
    <row r="11" customFormat="false" ht="15" hidden="false" customHeight="false" outlineLevel="0" collapsed="false">
      <c r="A11" s="15" t="s">
        <v>89</v>
      </c>
      <c r="B11" s="17" t="n">
        <f aca="false">SUM(B7:B10)</f>
        <v>682000</v>
      </c>
      <c r="E11" s="8"/>
    </row>
    <row r="12" customFormat="false" ht="15" hidden="false" customHeight="false" outlineLevel="0" collapsed="false">
      <c r="A12" s="15" t="s">
        <v>90</v>
      </c>
      <c r="B12" s="17" t="n">
        <f aca="false">IFERROR(B11/'1. The Scheme'!B36,"")</f>
        <v>56833.3333333333</v>
      </c>
    </row>
    <row r="13" customFormat="false" ht="15" hidden="false" customHeight="false" outlineLevel="0" collapsed="false">
      <c r="A13" s="15" t="s">
        <v>91</v>
      </c>
      <c r="B13" s="21" t="n">
        <f aca="false">IFERROR(B11/'2. The Concession'!B10,"")</f>
        <v>2.4509375</v>
      </c>
      <c r="E13" s="8" t="s">
        <v>92</v>
      </c>
    </row>
    <row r="15" customFormat="false" ht="48" hidden="false" customHeight="true" outlineLevel="0" collapsed="false">
      <c r="A15" s="19" t="s">
        <v>93</v>
      </c>
      <c r="B15" s="19"/>
      <c r="C15" s="19"/>
      <c r="D15" s="19"/>
      <c r="E15" s="19"/>
    </row>
    <row r="17" customFormat="false" ht="15" hidden="false" customHeight="false" outlineLevel="0" collapsed="false">
      <c r="A17" s="15" t="s">
        <v>94</v>
      </c>
    </row>
    <row r="18" customFormat="false" ht="15" hidden="false" customHeight="false" outlineLevel="0" collapsed="false">
      <c r="A18" s="6" t="s">
        <v>95</v>
      </c>
      <c r="B18" s="10" t="n">
        <f aca="false">IFERROR('1. The Scheme'!B16*'1. The Scheme'!B37*'1. The Scheme'!B36/12,"")</f>
        <v>36000</v>
      </c>
    </row>
    <row r="19" customFormat="false" ht="15" hidden="false" customHeight="false" outlineLevel="0" collapsed="false">
      <c r="A19" s="6" t="s">
        <v>96</v>
      </c>
      <c r="B19" s="10" t="n">
        <f aca="false">IFERROR('1. The Scheme'!B16*'1. The Scheme'!B8*'1. The Scheme'!B38/12,"")</f>
        <v>150000</v>
      </c>
    </row>
    <row r="20" customFormat="false" ht="15" hidden="false" customHeight="false" outlineLevel="0" collapsed="false">
      <c r="A20" s="6" t="s">
        <v>97</v>
      </c>
      <c r="B20" s="10" t="n">
        <f aca="false">IFERROR('1. The Scheme'!B16*'1. The Scheme'!B8*'1. The Scheme'!B39,"")</f>
        <v>20000</v>
      </c>
    </row>
    <row r="21" customFormat="false" ht="15" hidden="false" customHeight="false" outlineLevel="0" collapsed="false">
      <c r="A21" s="15" t="s">
        <v>98</v>
      </c>
      <c r="B21" s="17" t="n">
        <f aca="false">SUM(B18:B20)</f>
        <v>206000</v>
      </c>
    </row>
    <row r="22" customFormat="false" ht="15" hidden="false" customHeight="false" outlineLevel="0" collapsed="false">
      <c r="A22" s="15" t="s">
        <v>91</v>
      </c>
      <c r="B22" s="21" t="n">
        <f aca="false">IFERROR(B21/'2. The Concession'!B10,"")</f>
        <v>0.7403125</v>
      </c>
    </row>
    <row r="24" customFormat="false" ht="15" hidden="false" customHeight="true" outlineLevel="0" collapsed="false">
      <c r="A24" s="19" t="s">
        <v>99</v>
      </c>
      <c r="B24" s="19"/>
      <c r="C24" s="19"/>
      <c r="D24" s="19"/>
      <c r="E24" s="19"/>
    </row>
    <row r="25" customFormat="false" ht="15" hidden="false" customHeight="false" outlineLevel="0" collapsed="false">
      <c r="A25" s="19"/>
      <c r="B25" s="19"/>
      <c r="C25" s="19"/>
      <c r="D25" s="19"/>
      <c r="E25" s="19"/>
    </row>
    <row r="26" customFormat="false" ht="15" hidden="false" customHeight="false" outlineLevel="0" collapsed="false">
      <c r="A26" s="19"/>
      <c r="B26" s="19"/>
      <c r="C26" s="19"/>
      <c r="D26" s="19"/>
      <c r="E26" s="19"/>
    </row>
  </sheetData>
  <mergeCells count="2">
    <mergeCell ref="A15:E15"/>
    <mergeCell ref="A24:E2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0"/>
    <col collapsed="false" customWidth="true" hidden="false" outlineLevel="0" max="8" min="2" style="0" width="15"/>
    <col collapsed="false" customWidth="true" hidden="false" outlineLevel="0" max="10" min="10" style="0" width="40"/>
  </cols>
  <sheetData>
    <row r="1" customFormat="false" ht="17.35" hidden="false" customHeight="false" outlineLevel="0" collapsed="false">
      <c r="A1" s="5" t="s">
        <v>100</v>
      </c>
    </row>
    <row r="2" customFormat="false" ht="15" hidden="false" customHeight="false" outlineLevel="0" collapsed="false">
      <c r="A2" s="2" t="s">
        <v>101</v>
      </c>
    </row>
    <row r="4" customFormat="false" ht="15" hidden="false" customHeight="false" outlineLevel="0" collapsed="false">
      <c r="A4" s="4" t="s">
        <v>102</v>
      </c>
    </row>
    <row r="5" customFormat="false" ht="15" hidden="false" customHeight="false" outlineLevel="0" collapsed="false">
      <c r="A5" s="6" t="s">
        <v>103</v>
      </c>
      <c r="B5" s="10" t="n">
        <f aca="false">'1. The Scheme'!B17</f>
        <v>184000</v>
      </c>
    </row>
    <row r="6" customFormat="false" ht="15" hidden="false" customHeight="false" outlineLevel="0" collapsed="false">
      <c r="A6" s="6" t="s">
        <v>104</v>
      </c>
      <c r="B6" s="10" t="n">
        <f aca="false">('1. The Scheme'!B7-'1. The Scheme'!B16)*'1. The Scheme'!B8</f>
        <v>200000</v>
      </c>
    </row>
    <row r="7" customFormat="false" ht="15" hidden="false" customHeight="false" outlineLevel="0" collapsed="false">
      <c r="A7" s="6" t="s">
        <v>105</v>
      </c>
      <c r="B7" s="10" t="n">
        <f aca="false">B5+B6</f>
        <v>384000</v>
      </c>
    </row>
    <row r="8" customFormat="false" ht="15" hidden="false" customHeight="false" outlineLevel="0" collapsed="false">
      <c r="A8" s="6" t="s">
        <v>106</v>
      </c>
      <c r="B8" s="10" t="n">
        <f aca="false">IFERROR(B7/'1. The Scheme'!B21,"")</f>
        <v>6678260.86956522</v>
      </c>
    </row>
    <row r="9" customFormat="false" ht="15" hidden="false" customHeight="false" outlineLevel="0" collapsed="false">
      <c r="A9" s="6" t="s">
        <v>107</v>
      </c>
      <c r="B9" s="10" t="n">
        <f aca="false">-'1. The Scheme'!B20</f>
        <v>-5000000</v>
      </c>
    </row>
    <row r="10" customFormat="false" ht="15" hidden="false" customHeight="false" outlineLevel="0" collapsed="false">
      <c r="A10" s="6" t="s">
        <v>108</v>
      </c>
      <c r="B10" s="10" t="n">
        <f aca="false">-IFERROR('1. The Scheme'!B20*'1. The Scheme'!B31*('1. The Scheme'!B27+'1. The Scheme'!B32)*('1. The Scheme'!B28/12)*'1. The Scheme'!B33,"")</f>
        <v>-345600</v>
      </c>
    </row>
    <row r="11" customFormat="false" ht="15" hidden="false" customHeight="false" outlineLevel="0" collapsed="false">
      <c r="A11" s="15" t="s">
        <v>109</v>
      </c>
      <c r="B11" s="17" t="n">
        <f aca="false">B8+B9+B10</f>
        <v>1332660.86956522</v>
      </c>
    </row>
    <row r="12" customFormat="false" ht="15" hidden="false" customHeight="false" outlineLevel="0" collapsed="false">
      <c r="A12" s="15" t="s">
        <v>110</v>
      </c>
      <c r="B12" s="22" t="n">
        <f aca="false">IFERROR(B11/'1. The Scheme'!B20,"")</f>
        <v>0.266532173913043</v>
      </c>
    </row>
    <row r="13" customFormat="false" ht="15" hidden="false" customHeight="false" outlineLevel="0" collapsed="false">
      <c r="A13" s="0" t="s">
        <v>111</v>
      </c>
    </row>
    <row r="15" customFormat="false" ht="15" hidden="false" customHeight="false" outlineLevel="0" collapsed="false">
      <c r="A15" s="4" t="s">
        <v>112</v>
      </c>
    </row>
    <row r="16" customFormat="false" ht="30" hidden="false" customHeight="true" outlineLevel="0" collapsed="false">
      <c r="A16" s="14" t="s">
        <v>113</v>
      </c>
      <c r="B16" s="14" t="s">
        <v>114</v>
      </c>
      <c r="C16" s="14" t="s">
        <v>115</v>
      </c>
      <c r="D16" s="14" t="s">
        <v>116</v>
      </c>
      <c r="E16" s="14" t="s">
        <v>117</v>
      </c>
      <c r="F16" s="14" t="s">
        <v>118</v>
      </c>
      <c r="G16" s="14" t="s">
        <v>119</v>
      </c>
      <c r="H16" s="14" t="s">
        <v>120</v>
      </c>
      <c r="I16" s="14" t="s">
        <v>121</v>
      </c>
    </row>
    <row r="17" customFormat="false" ht="15" hidden="false" customHeight="false" outlineLevel="0" collapsed="false">
      <c r="A17" s="8" t="s">
        <v>122</v>
      </c>
      <c r="B17" s="12" t="n">
        <v>0.3</v>
      </c>
      <c r="C17" s="7" t="n">
        <v>6</v>
      </c>
      <c r="D17" s="12" t="n">
        <v>1</v>
      </c>
      <c r="E17" s="10" t="n">
        <f aca="false">IFERROR('1. The Scheme'!$B$9*D17/'1. The Scheme'!$B$22,"")</f>
        <v>6666666.66666667</v>
      </c>
      <c r="F17" s="10" t="n">
        <f aca="false">IFERROR('1. The Scheme'!$B$20*'1. The Scheme'!$B$29*('1. The Scheme'!$B$27+'1. The Scheme'!$B$30)*('1. The Scheme'!$B$28/12*'1. The Scheme'!$B$33+C17/12),"")</f>
        <v>459000</v>
      </c>
      <c r="G17" s="10" t="n">
        <f aca="false">IFERROR('1. The Scheme'!$B$7*'1. The Scheme'!$B$37*C17/12+'1. The Scheme'!$B$9*D17*'1. The Scheme'!$B$38/12+'1. The Scheme'!$B$9*D17*'1. The Scheme'!$B$39,"")</f>
        <v>376000</v>
      </c>
      <c r="H17" s="10" t="n">
        <f aca="false">IFERROR(E17-'1. The Scheme'!$B$20-F17-G17,"")</f>
        <v>831666.666666667</v>
      </c>
      <c r="I17" s="23" t="n">
        <f aca="false">IFERROR(H17/'1. The Scheme'!$B$20,"")</f>
        <v>0.166333333333333</v>
      </c>
    </row>
    <row r="18" customFormat="false" ht="15" hidden="false" customHeight="false" outlineLevel="0" collapsed="false">
      <c r="A18" s="8" t="s">
        <v>123</v>
      </c>
      <c r="B18" s="12" t="n">
        <v>0.35</v>
      </c>
      <c r="C18" s="7" t="n">
        <v>12</v>
      </c>
      <c r="D18" s="12" t="n">
        <v>1</v>
      </c>
      <c r="E18" s="10" t="n">
        <f aca="false">IFERROR('1. The Scheme'!$B$9*D18/'1. The Scheme'!$B$22,"")</f>
        <v>6666666.66666667</v>
      </c>
      <c r="F18" s="10" t="n">
        <f aca="false">IFERROR('1. The Scheme'!$B$20*'1. The Scheme'!$B$29*('1. The Scheme'!$B$27+'1. The Scheme'!$B$30)*('1. The Scheme'!$B$28/12*'1. The Scheme'!$B$33+C18/12),"")</f>
        <v>594000</v>
      </c>
      <c r="G18" s="10" t="n">
        <f aca="false">IFERROR('1. The Scheme'!$B$7*'1. The Scheme'!$B$37*C18/12+'1. The Scheme'!$B$9*D18*'1. The Scheme'!$B$38/12+'1. The Scheme'!$B$9*D18*'1. The Scheme'!$B$39,"")</f>
        <v>412000</v>
      </c>
      <c r="H18" s="10" t="n">
        <f aca="false">IFERROR(E18-'1. The Scheme'!$B$20-F18-G18,"")</f>
        <v>660666.666666667</v>
      </c>
      <c r="I18" s="23" t="n">
        <f aca="false">IFERROR(H18/'1. The Scheme'!$B$20,"")</f>
        <v>0.132133333333333</v>
      </c>
    </row>
    <row r="19" customFormat="false" ht="15" hidden="false" customHeight="false" outlineLevel="0" collapsed="false">
      <c r="A19" s="8" t="s">
        <v>124</v>
      </c>
      <c r="B19" s="12" t="n">
        <v>0.25</v>
      </c>
      <c r="C19" s="7" t="n">
        <v>24</v>
      </c>
      <c r="D19" s="12" t="n">
        <v>0.94</v>
      </c>
      <c r="E19" s="10" t="n">
        <f aca="false">IFERROR('1. The Scheme'!$B$9*D19/'1. The Scheme'!$B$22,"")</f>
        <v>6266666.66666667</v>
      </c>
      <c r="F19" s="10" t="n">
        <f aca="false">IFERROR('1. The Scheme'!$B$20*'1. The Scheme'!$B$29*('1. The Scheme'!$B$27+'1. The Scheme'!$B$30)*('1. The Scheme'!$B$28/12*'1. The Scheme'!$B$33+C19/12),"")</f>
        <v>864000</v>
      </c>
      <c r="G19" s="10" t="n">
        <f aca="false">IFERROR('1. The Scheme'!$B$7*'1. The Scheme'!$B$37*C19/12+'1. The Scheme'!$B$9*D19*'1. The Scheme'!$B$38/12+'1. The Scheme'!$B$9*D19*'1. The Scheme'!$B$39,"")</f>
        <v>463600</v>
      </c>
      <c r="H19" s="10" t="n">
        <f aca="false">IFERROR(E19-'1. The Scheme'!$B$20-F19-G19,"")</f>
        <v>-60933.333333333</v>
      </c>
      <c r="I19" s="23" t="n">
        <f aca="false">IFERROR(H19/'1. The Scheme'!$B$20,"")</f>
        <v>-0.0121866666666666</v>
      </c>
    </row>
    <row r="20" customFormat="false" ht="15" hidden="false" customHeight="false" outlineLevel="0" collapsed="false">
      <c r="A20" s="8" t="s">
        <v>125</v>
      </c>
      <c r="B20" s="12" t="n">
        <v>0.1</v>
      </c>
      <c r="C20" s="7" t="n">
        <v>30</v>
      </c>
      <c r="D20" s="12" t="n">
        <v>0.85</v>
      </c>
      <c r="E20" s="10" t="n">
        <f aca="false">IFERROR('1. The Scheme'!$B$9*D20/'1. The Scheme'!$B$22,"")</f>
        <v>5666666.66666667</v>
      </c>
      <c r="F20" s="10" t="n">
        <f aca="false">IFERROR('1. The Scheme'!$B$20*'1. The Scheme'!$B$29*('1. The Scheme'!$B$27+'1. The Scheme'!$B$30)*('1. The Scheme'!$B$28/12*'1. The Scheme'!$B$33+C20/12),"")</f>
        <v>999000</v>
      </c>
      <c r="G20" s="10" t="n">
        <f aca="false">IFERROR('1. The Scheme'!$B$7*'1. The Scheme'!$B$37*C20/12+'1. The Scheme'!$B$9*D20*'1. The Scheme'!$B$38/12+'1. The Scheme'!$B$9*D20*'1. The Scheme'!$B$39,"")</f>
        <v>469000</v>
      </c>
      <c r="H20" s="10" t="n">
        <f aca="false">IFERROR(E20-'1. The Scheme'!$B$20-F20-G20,"")</f>
        <v>-801333.333333333</v>
      </c>
      <c r="I20" s="23" t="n">
        <f aca="false">IFERROR(H20/'1. The Scheme'!$B$20,"")</f>
        <v>-0.160266666666667</v>
      </c>
    </row>
    <row r="21" customFormat="false" ht="15" hidden="false" customHeight="false" outlineLevel="0" collapsed="false">
      <c r="A21" s="15" t="s">
        <v>126</v>
      </c>
      <c r="B21" s="24" t="n">
        <f aca="false">SUM(B17:B20)</f>
        <v>1</v>
      </c>
      <c r="J21" s="8" t="str">
        <f aca="false">IF(ABS(B21-1)&lt;0.001,"","CHECK — the probabilities must total 100%")</f>
        <v/>
      </c>
    </row>
    <row r="22" customFormat="false" ht="15" hidden="false" customHeight="false" outlineLevel="0" collapsed="false">
      <c r="A22" s="15" t="s">
        <v>127</v>
      </c>
      <c r="H22" s="17" t="n">
        <f aca="false">SUMPRODUCT(B17:B20,H17:H20)</f>
        <v>385366.666666667</v>
      </c>
      <c r="I22" s="24" t="n">
        <f aca="false">IFERROR(H22/'1. The Scheme'!B20,"")</f>
        <v>0.0770733333333334</v>
      </c>
    </row>
    <row r="24" customFormat="false" ht="15" hidden="false" customHeight="false" outlineLevel="0" collapsed="false">
      <c r="A24" s="4" t="s">
        <v>128</v>
      </c>
    </row>
    <row r="25" customFormat="false" ht="30" hidden="false" customHeight="true" outlineLevel="0" collapsed="false">
      <c r="A25" s="14"/>
      <c r="B25" s="14" t="s">
        <v>129</v>
      </c>
      <c r="C25" s="14"/>
      <c r="D25" s="14"/>
      <c r="E25" s="14" t="s">
        <v>130</v>
      </c>
    </row>
    <row r="26" customFormat="false" ht="15" hidden="false" customHeight="false" outlineLevel="0" collapsed="false">
      <c r="A26" s="6" t="s">
        <v>131</v>
      </c>
      <c r="B26" s="10" t="n">
        <f aca="false">I43</f>
        <v>888413.04347826</v>
      </c>
    </row>
    <row r="27" customFormat="false" ht="15" hidden="false" customHeight="false" outlineLevel="0" collapsed="false">
      <c r="A27" s="6" t="s">
        <v>132</v>
      </c>
      <c r="B27" s="10" t="n">
        <f aca="false">H22</f>
        <v>385366.666666667</v>
      </c>
    </row>
    <row r="28" customFormat="false" ht="15" hidden="false" customHeight="false" outlineLevel="0" collapsed="false">
      <c r="A28" s="15" t="s">
        <v>133</v>
      </c>
      <c r="B28" s="17" t="n">
        <f aca="false">IFERROR(B26-B27,"")</f>
        <v>503046.376811593</v>
      </c>
    </row>
    <row r="29" customFormat="false" ht="15" hidden="false" customHeight="false" outlineLevel="0" collapsed="false">
      <c r="A29" s="6" t="s">
        <v>134</v>
      </c>
      <c r="B29" s="10" t="n">
        <f aca="false">MAX(H17:H20)</f>
        <v>831666.666666667</v>
      </c>
    </row>
    <row r="30" customFormat="false" ht="15" hidden="false" customHeight="false" outlineLevel="0" collapsed="false">
      <c r="A30" s="6" t="s">
        <v>135</v>
      </c>
      <c r="B30" s="10" t="n">
        <f aca="false">MIN(H17:H20)</f>
        <v>-801333.333333333</v>
      </c>
    </row>
    <row r="31" customFormat="false" ht="15" hidden="false" customHeight="false" outlineLevel="0" collapsed="false">
      <c r="A31" s="15" t="s">
        <v>136</v>
      </c>
      <c r="B31" s="25" t="str">
        <f aca="false">B45</f>
        <v>YES — in every outcome</v>
      </c>
      <c r="E31" s="8" t="str">
        <f aca="false">IF(B46&gt;=0,"so no probability makes speculation right","there is a probability at which speculation wins")</f>
        <v>so no probability makes speculation right</v>
      </c>
    </row>
    <row r="32" customFormat="false" ht="15" hidden="false" customHeight="false" outlineLevel="0" collapsed="false">
      <c r="A32" s="15" t="s">
        <v>137</v>
      </c>
      <c r="B32" s="16" t="n">
        <f aca="false">MIN(I39:I42)</f>
        <v>316421.739130435</v>
      </c>
    </row>
    <row r="33" customFormat="false" ht="15" hidden="false" customHeight="false" outlineLevel="0" collapsed="false">
      <c r="A33" s="15" t="s">
        <v>138</v>
      </c>
      <c r="B33" s="16" t="n">
        <f aca="false">B11</f>
        <v>1332660.86956522</v>
      </c>
    </row>
    <row r="35" customFormat="false" ht="43.5" hidden="false" customHeight="true" outlineLevel="0" collapsed="false">
      <c r="A35" s="19" t="s">
        <v>139</v>
      </c>
      <c r="B35" s="19"/>
      <c r="C35" s="19"/>
      <c r="D35" s="19"/>
      <c r="E35" s="19"/>
      <c r="F35" s="19"/>
      <c r="G35" s="19"/>
      <c r="H35" s="19"/>
      <c r="I35" s="19"/>
    </row>
    <row r="37" customFormat="false" ht="15" hidden="false" customHeight="false" outlineLevel="0" collapsed="false">
      <c r="A37" s="4" t="s">
        <v>140</v>
      </c>
    </row>
    <row r="38" customFormat="false" ht="35.05" hidden="false" customHeight="false" outlineLevel="0" collapsed="false">
      <c r="A38" s="14" t="s">
        <v>113</v>
      </c>
      <c r="B38" s="14" t="s">
        <v>114</v>
      </c>
      <c r="C38" s="14" t="s">
        <v>115</v>
      </c>
      <c r="D38" s="14" t="s">
        <v>141</v>
      </c>
      <c r="E38" s="14" t="s">
        <v>117</v>
      </c>
      <c r="F38" s="14" t="s">
        <v>118</v>
      </c>
      <c r="G38" s="14" t="s">
        <v>142</v>
      </c>
      <c r="H38" s="14" t="s">
        <v>143</v>
      </c>
      <c r="I38" s="14" t="s">
        <v>120</v>
      </c>
      <c r="J38" s="14" t="s">
        <v>144</v>
      </c>
      <c r="K38" s="14" t="s">
        <v>145</v>
      </c>
    </row>
    <row r="39" customFormat="false" ht="15" hidden="false" customHeight="false" outlineLevel="0" collapsed="false">
      <c r="A39" s="8" t="str">
        <f aca="false">A17</f>
        <v>Let at expected rent within 6 months</v>
      </c>
      <c r="B39" s="23" t="n">
        <f aca="false">B17</f>
        <v>0.3</v>
      </c>
      <c r="C39" s="26" t="n">
        <f aca="false">C17</f>
        <v>6</v>
      </c>
      <c r="D39" s="23" t="n">
        <f aca="false">D17</f>
        <v>1</v>
      </c>
      <c r="E39" s="10" t="n">
        <f aca="false">IFERROR(('1. The Scheme'!$B$17+'1. The Scheme'!$B$16*'1. The Scheme'!$B$8*D39)/'1. The Scheme'!$B$21,"")</f>
        <v>6678260.86956522</v>
      </c>
      <c r="F39" s="10" t="n">
        <f aca="false">IFERROR('1. The Scheme'!$B$20*'1. The Scheme'!$B$31*('1. The Scheme'!$B$27+'1. The Scheme'!$B$32)*('1. The Scheme'!$B$28/12*'1. The Scheme'!$B$33+C39/12),"")</f>
        <v>489600</v>
      </c>
      <c r="G39" s="10" t="n">
        <f aca="false">IFERROR('1. The Scheme'!$B$16*'1. The Scheme'!$B$37*C39/12+'1. The Scheme'!$B$16*'1. The Scheme'!$B$8*D39*'1. The Scheme'!$B$38/12+'1. The Scheme'!$B$16*'1. The Scheme'!$B$8*D39*'1. The Scheme'!$B$39,"")</f>
        <v>188000</v>
      </c>
      <c r="H39" s="10" t="n">
        <f aca="false">IFERROR('1. The Scheme'!$B$17*MAX(0,C39-'1. The Scheme'!$B$40)/12,"")</f>
        <v>92000</v>
      </c>
      <c r="I39" s="10" t="n">
        <f aca="false">IFERROR(E39-'1. The Scheme'!$B$20-F39-G39+H39,"")</f>
        <v>1092660.86956522</v>
      </c>
      <c r="J39" s="10" t="n">
        <f aca="false">IFERROR(I39-H17,"")</f>
        <v>260994.20289855</v>
      </c>
      <c r="K39" s="10" t="n">
        <f aca="false">IFERROR('1. The Scheme'!$B$16*'1. The Scheme'!$B$8*(1/'1. The Scheme'!$B$21+MAX(0,C39-'1. The Scheme'!$B$40)/12),"")</f>
        <v>3578260.86956522</v>
      </c>
    </row>
    <row r="40" customFormat="false" ht="15" hidden="false" customHeight="false" outlineLevel="0" collapsed="false">
      <c r="A40" s="8" t="str">
        <f aca="false">A18</f>
        <v>Let at expected rent within 12 months</v>
      </c>
      <c r="B40" s="23" t="n">
        <f aca="false">B18</f>
        <v>0.35</v>
      </c>
      <c r="C40" s="26" t="n">
        <f aca="false">C18</f>
        <v>12</v>
      </c>
      <c r="D40" s="23" t="n">
        <f aca="false">D18</f>
        <v>1</v>
      </c>
      <c r="E40" s="10" t="n">
        <f aca="false">IFERROR(('1. The Scheme'!$B$17+'1. The Scheme'!$B$16*'1. The Scheme'!$B$8*D40)/'1. The Scheme'!$B$21,"")</f>
        <v>6678260.86956522</v>
      </c>
      <c r="F40" s="10" t="n">
        <f aca="false">IFERROR('1. The Scheme'!$B$20*'1. The Scheme'!$B$31*('1. The Scheme'!$B$27+'1. The Scheme'!$B$32)*('1. The Scheme'!$B$28/12*'1. The Scheme'!$B$33+C40/12),"")</f>
        <v>633600</v>
      </c>
      <c r="G40" s="10" t="n">
        <f aca="false">IFERROR('1. The Scheme'!$B$16*'1. The Scheme'!$B$37*C40/12+'1. The Scheme'!$B$16*'1. The Scheme'!$B$8*D40*'1. The Scheme'!$B$38/12+'1. The Scheme'!$B$16*'1. The Scheme'!$B$8*D40*'1. The Scheme'!$B$39,"")</f>
        <v>206000</v>
      </c>
      <c r="H40" s="10" t="n">
        <f aca="false">IFERROR('1. The Scheme'!$B$17*MAX(0,C40-'1. The Scheme'!$B$40)/12,"")</f>
        <v>184000</v>
      </c>
      <c r="I40" s="10" t="n">
        <f aca="false">IFERROR(E40-'1. The Scheme'!$B$20-F40-G40+H40,"")</f>
        <v>1022660.86956522</v>
      </c>
      <c r="J40" s="10" t="n">
        <f aca="false">IFERROR(I40-H18,"")</f>
        <v>361994.20289855</v>
      </c>
      <c r="K40" s="10" t="n">
        <f aca="false">IFERROR('1. The Scheme'!$B$16*'1. The Scheme'!$B$8*(1/'1. The Scheme'!$B$21+MAX(0,C40-'1. The Scheme'!$B$40)/12),"")</f>
        <v>3678260.86956522</v>
      </c>
    </row>
    <row r="41" customFormat="false" ht="15" hidden="false" customHeight="false" outlineLevel="0" collapsed="false">
      <c r="A41" s="8" t="str">
        <f aca="false">A19</f>
        <v>Let at a 6% discount, 24 months</v>
      </c>
      <c r="B41" s="23" t="n">
        <f aca="false">B19</f>
        <v>0.25</v>
      </c>
      <c r="C41" s="26" t="n">
        <f aca="false">C19</f>
        <v>24</v>
      </c>
      <c r="D41" s="23" t="n">
        <f aca="false">D19</f>
        <v>0.94</v>
      </c>
      <c r="E41" s="10" t="n">
        <f aca="false">IFERROR(('1. The Scheme'!$B$17+'1. The Scheme'!$B$16*'1. The Scheme'!$B$8*D41)/'1. The Scheme'!$B$21,"")</f>
        <v>6469565.2173913</v>
      </c>
      <c r="F41" s="10" t="n">
        <f aca="false">IFERROR('1. The Scheme'!$B$20*'1. The Scheme'!$B$31*('1. The Scheme'!$B$27+'1. The Scheme'!$B$32)*('1. The Scheme'!$B$28/12*'1. The Scheme'!$B$33+C41/12),"")</f>
        <v>921600</v>
      </c>
      <c r="G41" s="10" t="n">
        <f aca="false">IFERROR('1. The Scheme'!$B$16*'1. The Scheme'!$B$37*C41/12+'1. The Scheme'!$B$16*'1. The Scheme'!$B$8*D41*'1. The Scheme'!$B$38/12+'1. The Scheme'!$B$16*'1. The Scheme'!$B$8*D41*'1. The Scheme'!$B$39,"")</f>
        <v>231800</v>
      </c>
      <c r="H41" s="10" t="n">
        <f aca="false">IFERROR('1. The Scheme'!$B$17*MAX(0,C41-'1. The Scheme'!$B$40)/12,"")</f>
        <v>368000</v>
      </c>
      <c r="I41" s="10" t="n">
        <f aca="false">IFERROR(E41-'1. The Scheme'!$B$20-F41-G41+H41,"")</f>
        <v>684165.217391304</v>
      </c>
      <c r="J41" s="10" t="n">
        <f aca="false">IFERROR(I41-H19,"")</f>
        <v>745098.550724637</v>
      </c>
      <c r="K41" s="10" t="n">
        <f aca="false">IFERROR('1. The Scheme'!$B$16*'1. The Scheme'!$B$8*(1/'1. The Scheme'!$B$21+MAX(0,C41-'1. The Scheme'!$B$40)/12),"")</f>
        <v>3878260.86956522</v>
      </c>
    </row>
    <row r="42" customFormat="false" ht="15" hidden="false" customHeight="false" outlineLevel="0" collapsed="false">
      <c r="A42" s="8" t="str">
        <f aca="false">A20</f>
        <v>Part-let at maturity</v>
      </c>
      <c r="B42" s="23" t="n">
        <f aca="false">B20</f>
        <v>0.1</v>
      </c>
      <c r="C42" s="26" t="n">
        <f aca="false">C20</f>
        <v>30</v>
      </c>
      <c r="D42" s="23" t="n">
        <f aca="false">D20</f>
        <v>0.85</v>
      </c>
      <c r="E42" s="10" t="n">
        <f aca="false">IFERROR(('1. The Scheme'!$B$17+'1. The Scheme'!$B$16*'1. The Scheme'!$B$8*D42)/'1. The Scheme'!$B$21,"")</f>
        <v>6156521.73913044</v>
      </c>
      <c r="F42" s="10" t="n">
        <f aca="false">IFERROR('1. The Scheme'!$B$20*'1. The Scheme'!$B$31*('1. The Scheme'!$B$27+'1. The Scheme'!$B$32)*('1. The Scheme'!$B$28/12*'1. The Scheme'!$B$33+C42/12),"")</f>
        <v>1065600</v>
      </c>
      <c r="G42" s="10" t="n">
        <f aca="false">IFERROR('1. The Scheme'!$B$16*'1. The Scheme'!$B$37*C42/12+'1. The Scheme'!$B$16*'1. The Scheme'!$B$8*D42*'1. The Scheme'!$B$38/12+'1. The Scheme'!$B$16*'1. The Scheme'!$B$8*D42*'1. The Scheme'!$B$39,"")</f>
        <v>234500</v>
      </c>
      <c r="H42" s="10" t="n">
        <f aca="false">IFERROR('1. The Scheme'!$B$17*MAX(0,C42-'1. The Scheme'!$B$40)/12,"")</f>
        <v>460000</v>
      </c>
      <c r="I42" s="10" t="n">
        <f aca="false">IFERROR(E42-'1. The Scheme'!$B$20-F42-G42+H42,"")</f>
        <v>316421.739130435</v>
      </c>
      <c r="J42" s="10" t="n">
        <f aca="false">IFERROR(I42-H20,"")</f>
        <v>1117755.07246377</v>
      </c>
      <c r="K42" s="10" t="n">
        <f aca="false">IFERROR('1. The Scheme'!$B$16*'1. The Scheme'!$B$8*(1/'1. The Scheme'!$B$21+MAX(0,C42-'1. The Scheme'!$B$40)/12),"")</f>
        <v>3978260.86956522</v>
      </c>
    </row>
    <row r="43" customFormat="false" ht="15" hidden="false" customHeight="false" outlineLevel="0" collapsed="false">
      <c r="A43" s="15" t="s">
        <v>146</v>
      </c>
      <c r="I43" s="17" t="n">
        <f aca="false">SUMPRODUCT($B$39:$B$42,I39:I42)</f>
        <v>888413.04347826</v>
      </c>
      <c r="J43" s="17" t="n">
        <f aca="false">SUMPRODUCT($B$39:$B$42,J39:J42)</f>
        <v>503046.376811593</v>
      </c>
      <c r="K43" s="17" t="n">
        <f aca="false">SUMPRODUCT($B$39:$B$42,K39:K42)</f>
        <v>3728260.86956522</v>
      </c>
    </row>
    <row r="45" customFormat="false" ht="15" hidden="false" customHeight="false" outlineLevel="0" collapsed="false">
      <c r="A45" s="6" t="s">
        <v>136</v>
      </c>
      <c r="B45" s="10" t="str">
        <f aca="false">IF(MIN(J39:J42)&gt;=0,"YES — in every outcome","no")</f>
        <v>YES — in every outcome</v>
      </c>
    </row>
    <row r="46" customFormat="false" ht="15" hidden="false" customHeight="false" outlineLevel="0" collapsed="false">
      <c r="A46" s="6" t="s">
        <v>147</v>
      </c>
      <c r="B46" s="10" t="n">
        <f aca="false">MIN(J39:J42)</f>
        <v>260994.20289855</v>
      </c>
    </row>
    <row r="47" customFormat="false" ht="15" hidden="false" customHeight="false" outlineLevel="0" collapsed="false">
      <c r="A47" s="6" t="s">
        <v>148</v>
      </c>
      <c r="B47" s="23" t="n">
        <f aca="false">IFERROR(MIN('1. The Scheme'!B13+J39/K39,'1. The Scheme'!B13+J40/K40,'1. The Scheme'!B13+J41/K41,'1. The Scheme'!B13+J42/K42),"")</f>
        <v>0.15293884163629</v>
      </c>
    </row>
    <row r="48" customFormat="false" ht="15" hidden="false" customHeight="false" outlineLevel="0" collapsed="false">
      <c r="A48" s="6" t="s">
        <v>149</v>
      </c>
      <c r="B48" s="23" t="n">
        <f aca="false">IFERROR('1. The Scheme'!B13+J43/K43,"")</f>
        <v>0.214927891156462</v>
      </c>
    </row>
    <row r="49" customFormat="false" ht="15" hidden="false" customHeight="false" outlineLevel="0" collapsed="false">
      <c r="A49" s="6" t="s">
        <v>150</v>
      </c>
      <c r="B49" s="10" t="n">
        <f aca="false">B46-'5. How Much Can You Concede'!B26</f>
        <v>52298.5507246368</v>
      </c>
    </row>
    <row r="50" customFormat="false" ht="15" hidden="false" customHeight="false" outlineLevel="0" collapsed="false">
      <c r="A50" s="6" t="s">
        <v>151</v>
      </c>
      <c r="B50" s="10" t="str">
        <f aca="false">TEXT(MAX(I39:I42),"#,##0")&amp;" / "&amp;TEXT(MIN(I39:I42),"#,##0")</f>
        <v>1,092,661 / 316,422</v>
      </c>
    </row>
  </sheetData>
  <mergeCells count="1">
    <mergeCell ref="A35:I3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3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8"/>
    <col collapsed="false" customWidth="true" hidden="false" outlineLevel="0" max="5" min="2" style="0" width="16"/>
    <col collapsed="false" customWidth="true" hidden="false" outlineLevel="0" max="6" min="6" style="0" width="44"/>
  </cols>
  <sheetData>
    <row r="1" customFormat="false" ht="17.35" hidden="false" customHeight="false" outlineLevel="0" collapsed="false">
      <c r="A1" s="5" t="s">
        <v>152</v>
      </c>
    </row>
    <row r="2" customFormat="false" ht="15" hidden="false" customHeight="false" outlineLevel="0" collapsed="false">
      <c r="A2" s="2" t="s">
        <v>153</v>
      </c>
    </row>
    <row r="4" customFormat="false" ht="30" hidden="false" customHeight="true" outlineLevel="0" collapsed="false">
      <c r="A4" s="14" t="s">
        <v>154</v>
      </c>
      <c r="B4" s="14" t="s">
        <v>155</v>
      </c>
      <c r="C4" s="14" t="s">
        <v>156</v>
      </c>
      <c r="D4" s="14" t="s">
        <v>157</v>
      </c>
      <c r="E4" s="14" t="s">
        <v>158</v>
      </c>
    </row>
    <row r="5" customFormat="false" ht="15" hidden="false" customHeight="false" outlineLevel="0" collapsed="false">
      <c r="A5" s="12" t="n">
        <v>0</v>
      </c>
      <c r="B5" s="10" t="n">
        <f aca="false">IFERROR('4. The Comparison'!$I$43-(A5-'1. The Scheme'!$B$13)*'4. The Comparison'!$K$43,"")</f>
        <v>1186673.91304348</v>
      </c>
      <c r="C5" s="10" t="n">
        <f aca="false">IFERROR(B5-'4. The Comparison'!$H$22,"")</f>
        <v>801307.246376811</v>
      </c>
      <c r="D5" s="10" t="n">
        <f aca="false">IFERROR(MIN('4. The Comparison'!$J$39-(A5-'1. The Scheme'!$B$13)*'4. The Comparison'!$K$39,'4. The Comparison'!$J$40-(A5-'1. The Scheme'!$B$13)*'4. The Comparison'!$K$40,'4. The Comparison'!$J$41-(A5-'1. The Scheme'!$B$13)*'4. The Comparison'!$K$41,'4. The Comparison'!$J$42-(A5-'1. The Scheme'!$B$13)*'4. The Comparison'!$K$42),"")</f>
        <v>547255.072463767</v>
      </c>
      <c r="E5" s="8" t="str">
        <f aca="false">IF(D5="","",IF(D5&gt;=0,"wins in every outcome",IF(C5&gt;=0,"still beats the expected case","now worse than speculating")))</f>
        <v>wins in every outcome</v>
      </c>
    </row>
    <row r="6" customFormat="false" ht="15" hidden="false" customHeight="false" outlineLevel="0" collapsed="false">
      <c r="A6" s="12" t="n">
        <v>0.05</v>
      </c>
      <c r="B6" s="10" t="n">
        <f aca="false">IFERROR('4. The Comparison'!$I$43-(A6-'1. The Scheme'!$B$13)*'4. The Comparison'!$K$43,"")</f>
        <v>1000260.86956522</v>
      </c>
      <c r="C6" s="10" t="n">
        <f aca="false">IFERROR(B6-'4. The Comparison'!$H$22,"")</f>
        <v>614894.20289855</v>
      </c>
      <c r="D6" s="10" t="n">
        <f aca="false">IFERROR(MIN('4. The Comparison'!$J$39-(A6-'1. The Scheme'!$B$13)*'4. The Comparison'!$K$39,'4. The Comparison'!$J$40-(A6-'1. The Scheme'!$B$13)*'4. The Comparison'!$K$40,'4. The Comparison'!$J$41-(A6-'1. The Scheme'!$B$13)*'4. The Comparison'!$K$41,'4. The Comparison'!$J$42-(A6-'1. The Scheme'!$B$13)*'4. The Comparison'!$K$42),"")</f>
        <v>368342.028985506</v>
      </c>
      <c r="E6" s="8" t="str">
        <f aca="false">IF(D6="","",IF(D6&gt;=0,"wins in every outcome",IF(C6&gt;=0,"still beats the expected case","now worse than speculating")))</f>
        <v>wins in every outcome</v>
      </c>
    </row>
    <row r="7" customFormat="false" ht="15" hidden="false" customHeight="false" outlineLevel="0" collapsed="false">
      <c r="A7" s="12" t="n">
        <v>0.08</v>
      </c>
      <c r="B7" s="10" t="n">
        <f aca="false">IFERROR('4. The Comparison'!$I$43-(A7-'1. The Scheme'!$B$13)*'4. The Comparison'!$K$43,"")</f>
        <v>888413.04347826</v>
      </c>
      <c r="C7" s="10" t="n">
        <f aca="false">IFERROR(B7-'4. The Comparison'!$H$22,"")</f>
        <v>503046.376811593</v>
      </c>
      <c r="D7" s="10" t="n">
        <f aca="false">IFERROR(MIN('4. The Comparison'!$J$39-(A7-'1. The Scheme'!$B$13)*'4. The Comparison'!$K$39,'4. The Comparison'!$J$40-(A7-'1. The Scheme'!$B$13)*'4. The Comparison'!$K$40,'4. The Comparison'!$J$41-(A7-'1. The Scheme'!$B$13)*'4. The Comparison'!$K$41,'4. The Comparison'!$J$42-(A7-'1. The Scheme'!$B$13)*'4. The Comparison'!$K$42),"")</f>
        <v>260994.20289855</v>
      </c>
      <c r="E7" s="8" t="str">
        <f aca="false">IF(D7="","",IF(D7&gt;=0,"wins in every outcome",IF(C7&gt;=0,"still beats the expected case","now worse than speculating")))</f>
        <v>wins in every outcome</v>
      </c>
    </row>
    <row r="8" customFormat="false" ht="15" hidden="false" customHeight="false" outlineLevel="0" collapsed="false">
      <c r="A8" s="12" t="n">
        <v>0.1</v>
      </c>
      <c r="B8" s="10" t="n">
        <f aca="false">IFERROR('4. The Comparison'!$I$43-(A8-'1. The Scheme'!$B$13)*'4. The Comparison'!$K$43,"")</f>
        <v>813847.826086956</v>
      </c>
      <c r="C8" s="10" t="n">
        <f aca="false">IFERROR(B8-'4. The Comparison'!$H$22,"")</f>
        <v>428481.159420289</v>
      </c>
      <c r="D8" s="10" t="n">
        <f aca="false">IFERROR(MIN('4. The Comparison'!$J$39-(A8-'1. The Scheme'!$B$13)*'4. The Comparison'!$K$39,'4. The Comparison'!$J$40-(A8-'1. The Scheme'!$B$13)*'4. The Comparison'!$K$40,'4. The Comparison'!$J$41-(A8-'1. The Scheme'!$B$13)*'4. The Comparison'!$K$41,'4. The Comparison'!$J$42-(A8-'1. The Scheme'!$B$13)*'4. The Comparison'!$K$42),"")</f>
        <v>189428.985507245</v>
      </c>
      <c r="E8" s="8" t="str">
        <f aca="false">IF(D8="","",IF(D8&gt;=0,"wins in every outcome",IF(C8&gt;=0,"still beats the expected case","now worse than speculating")))</f>
        <v>wins in every outcome</v>
      </c>
    </row>
    <row r="9" customFormat="false" ht="15" hidden="false" customHeight="false" outlineLevel="0" collapsed="false">
      <c r="A9" s="12" t="n">
        <v>0.12</v>
      </c>
      <c r="B9" s="10" t="n">
        <f aca="false">IFERROR('4. The Comparison'!$I$43-(A9-'1. The Scheme'!$B$13)*'4. The Comparison'!$K$43,"")</f>
        <v>739282.608695652</v>
      </c>
      <c r="C9" s="10" t="n">
        <f aca="false">IFERROR(B9-'4. The Comparison'!$H$22,"")</f>
        <v>353915.942028985</v>
      </c>
      <c r="D9" s="10" t="n">
        <f aca="false">IFERROR(MIN('4. The Comparison'!$J$39-(A9-'1. The Scheme'!$B$13)*'4. The Comparison'!$K$39,'4. The Comparison'!$J$40-(A9-'1. The Scheme'!$B$13)*'4. The Comparison'!$K$40,'4. The Comparison'!$J$41-(A9-'1. The Scheme'!$B$13)*'4. The Comparison'!$K$41,'4. The Comparison'!$J$42-(A9-'1. The Scheme'!$B$13)*'4. The Comparison'!$K$42),"")</f>
        <v>117863.768115941</v>
      </c>
      <c r="E9" s="8" t="str">
        <f aca="false">IF(D9="","",IF(D9&gt;=0,"wins in every outcome",IF(C9&gt;=0,"still beats the expected case","now worse than speculating")))</f>
        <v>wins in every outcome</v>
      </c>
    </row>
    <row r="10" customFormat="false" ht="15" hidden="false" customHeight="false" outlineLevel="0" collapsed="false">
      <c r="A10" s="12" t="n">
        <v>0.14</v>
      </c>
      <c r="B10" s="10" t="n">
        <f aca="false">IFERROR('4. The Comparison'!$I$43-(A10-'1. The Scheme'!$B$13)*'4. The Comparison'!$K$43,"")</f>
        <v>664717.391304347</v>
      </c>
      <c r="C10" s="10" t="n">
        <f aca="false">IFERROR(B10-'4. The Comparison'!$H$22,"")</f>
        <v>279350.72463768</v>
      </c>
      <c r="D10" s="10" t="n">
        <f aca="false">IFERROR(MIN('4. The Comparison'!$J$39-(A10-'1. The Scheme'!$B$13)*'4. The Comparison'!$K$39,'4. The Comparison'!$J$40-(A10-'1. The Scheme'!$B$13)*'4. The Comparison'!$K$40,'4. The Comparison'!$J$41-(A10-'1. The Scheme'!$B$13)*'4. The Comparison'!$K$41,'4. The Comparison'!$J$42-(A10-'1. The Scheme'!$B$13)*'4. The Comparison'!$K$42),"")</f>
        <v>46298.5507246368</v>
      </c>
      <c r="E10" s="8" t="str">
        <f aca="false">IF(D10="","",IF(D10&gt;=0,"wins in every outcome",IF(C10&gt;=0,"still beats the expected case","now worse than speculating")))</f>
        <v>wins in every outcome</v>
      </c>
    </row>
    <row r="11" customFormat="false" ht="15" hidden="false" customHeight="false" outlineLevel="0" collapsed="false">
      <c r="A11" s="12" t="n">
        <v>0.16</v>
      </c>
      <c r="B11" s="10" t="n">
        <f aca="false">IFERROR('4. The Comparison'!$I$43-(A11-'1. The Scheme'!$B$13)*'4. The Comparison'!$K$43,"")</f>
        <v>590152.173913043</v>
      </c>
      <c r="C11" s="10" t="n">
        <f aca="false">IFERROR(B11-'4. The Comparison'!$H$22,"")</f>
        <v>204785.507246376</v>
      </c>
      <c r="D11" s="10" t="n">
        <f aca="false">IFERROR(MIN('4. The Comparison'!$J$39-(A11-'1. The Scheme'!$B$13)*'4. The Comparison'!$K$39,'4. The Comparison'!$J$40-(A11-'1. The Scheme'!$B$13)*'4. The Comparison'!$K$40,'4. The Comparison'!$J$41-(A11-'1. The Scheme'!$B$13)*'4. The Comparison'!$K$41,'4. The Comparison'!$J$42-(A11-'1. The Scheme'!$B$13)*'4. The Comparison'!$K$42),"")</f>
        <v>-25266.6666666676</v>
      </c>
      <c r="E11" s="8" t="str">
        <f aca="false">IF(D11="","",IF(D11&gt;=0,"wins in every outcome",IF(C11&gt;=0,"still beats the expected case","now worse than speculating")))</f>
        <v>still beats the expected case</v>
      </c>
    </row>
    <row r="12" customFormat="false" ht="15" hidden="false" customHeight="false" outlineLevel="0" collapsed="false">
      <c r="A12" s="12" t="n">
        <v>0.22</v>
      </c>
      <c r="B12" s="10" t="n">
        <f aca="false">IFERROR('4. The Comparison'!$I$43-(A12-'1. The Scheme'!$B$13)*'4. The Comparison'!$K$43,"")</f>
        <v>366456.52173913</v>
      </c>
      <c r="C12" s="10" t="n">
        <f aca="false">IFERROR(B12-'4. The Comparison'!$H$22,"")</f>
        <v>-18910.1449275372</v>
      </c>
      <c r="D12" s="10" t="n">
        <f aca="false">IFERROR(MIN('4. The Comparison'!$J$39-(A12-'1. The Scheme'!$B$13)*'4. The Comparison'!$K$39,'4. The Comparison'!$J$40-(A12-'1. The Scheme'!$B$13)*'4. The Comparison'!$K$40,'4. The Comparison'!$J$41-(A12-'1. The Scheme'!$B$13)*'4. The Comparison'!$K$41,'4. The Comparison'!$J$42-(A12-'1. The Scheme'!$B$13)*'4. The Comparison'!$K$42),"")</f>
        <v>-239962.318840581</v>
      </c>
      <c r="E12" s="8" t="str">
        <f aca="false">IF(D12="","",IF(D12&gt;=0,"wins in every outcome",IF(C12&gt;=0,"still beats the expected case","now worse than speculating")))</f>
        <v>now worse than speculating</v>
      </c>
    </row>
    <row r="14" customFormat="false" ht="15" hidden="false" customHeight="false" outlineLevel="0" collapsed="false">
      <c r="A14" s="15" t="s">
        <v>159</v>
      </c>
      <c r="B14" s="24" t="n">
        <f aca="false">'1. The Scheme'!B13</f>
        <v>0.08</v>
      </c>
    </row>
    <row r="15" customFormat="false" ht="15" hidden="false" customHeight="false" outlineLevel="0" collapsed="false">
      <c r="A15" s="15" t="s">
        <v>160</v>
      </c>
      <c r="B15" s="24" t="n">
        <f aca="false">'4. The Comparison'!B47</f>
        <v>0.15293884163629</v>
      </c>
    </row>
    <row r="16" customFormat="false" ht="48" hidden="false" customHeight="true" outlineLevel="0" collapsed="false">
      <c r="A16" s="15" t="s">
        <v>161</v>
      </c>
      <c r="B16" s="24" t="n">
        <f aca="false">'4. The Comparison'!B48</f>
        <v>0.214927891156462</v>
      </c>
    </row>
    <row r="17" customFormat="false" ht="15" hidden="false" customHeight="true" outlineLevel="0" collapsed="false">
      <c r="A17" s="19" t="s">
        <v>162</v>
      </c>
      <c r="B17" s="19"/>
      <c r="C17" s="19"/>
      <c r="D17" s="19"/>
      <c r="E17" s="19"/>
      <c r="F17" s="19"/>
    </row>
    <row r="18" customFormat="false" ht="15" hidden="false" customHeight="false" outlineLevel="0" collapsed="false">
      <c r="A18" s="19"/>
      <c r="B18" s="19"/>
      <c r="C18" s="19"/>
      <c r="D18" s="19"/>
      <c r="E18" s="19"/>
      <c r="F18" s="19"/>
    </row>
    <row r="19" customFormat="false" ht="15" hidden="false" customHeight="false" outlineLevel="0" collapsed="false">
      <c r="A19" s="19"/>
      <c r="B19" s="19"/>
      <c r="C19" s="19"/>
      <c r="D19" s="19"/>
      <c r="E19" s="19"/>
      <c r="F19" s="19"/>
    </row>
    <row r="20" customFormat="false" ht="15" hidden="false" customHeight="false" outlineLevel="0" collapsed="false">
      <c r="A20" s="4" t="s">
        <v>163</v>
      </c>
    </row>
    <row r="21" customFormat="false" ht="15" hidden="false" customHeight="false" outlineLevel="0" collapsed="false">
      <c r="A21" s="2" t="s">
        <v>164</v>
      </c>
    </row>
    <row r="22" customFormat="false" ht="30" hidden="false" customHeight="true" outlineLevel="0" collapsed="false">
      <c r="A22" s="14"/>
      <c r="B22" s="14" t="s">
        <v>66</v>
      </c>
      <c r="C22" s="14"/>
      <c r="D22" s="14"/>
      <c r="E22" s="14" t="s">
        <v>67</v>
      </c>
    </row>
    <row r="23" customFormat="false" ht="15" hidden="false" customHeight="false" outlineLevel="0" collapsed="false">
      <c r="A23" s="6" t="s">
        <v>165</v>
      </c>
      <c r="B23" s="10" t="n">
        <f aca="false">'1. The Scheme'!B15</f>
        <v>120</v>
      </c>
      <c r="E23" s="8" t="s">
        <v>35</v>
      </c>
    </row>
    <row r="24" customFormat="false" ht="15" hidden="false" customHeight="false" outlineLevel="0" collapsed="false">
      <c r="A24" s="6" t="s">
        <v>166</v>
      </c>
      <c r="B24" s="23" t="n">
        <f aca="false">IFERROR(B23/'1. The Scheme'!B7,"")</f>
        <v>0.03</v>
      </c>
      <c r="E24" s="8"/>
    </row>
    <row r="25" customFormat="false" ht="15" hidden="false" customHeight="false" outlineLevel="0" collapsed="false">
      <c r="A25" s="6" t="s">
        <v>70</v>
      </c>
      <c r="B25" s="10" t="n">
        <f aca="false">IFERROR(B23*'1. The Scheme'!B8,"")</f>
        <v>12000</v>
      </c>
      <c r="E25" s="8"/>
    </row>
    <row r="26" customFormat="false" ht="15" hidden="false" customHeight="false" outlineLevel="0" collapsed="false">
      <c r="A26" s="6" t="s">
        <v>167</v>
      </c>
      <c r="B26" s="10" t="n">
        <f aca="false">IFERROR(B25/'1. The Scheme'!B21,"")</f>
        <v>208695.652173913</v>
      </c>
      <c r="E26" s="8" t="s">
        <v>168</v>
      </c>
    </row>
    <row r="27" customFormat="false" ht="15" hidden="false" customHeight="false" outlineLevel="0" collapsed="false">
      <c r="A27" s="6" t="s">
        <v>169</v>
      </c>
      <c r="B27" s="10" t="n">
        <f aca="false">'2. The Concession'!B10</f>
        <v>278260.869565217</v>
      </c>
      <c r="E27" s="8" t="s">
        <v>170</v>
      </c>
    </row>
    <row r="28" customFormat="false" ht="15" hidden="false" customHeight="false" outlineLevel="0" collapsed="false">
      <c r="A28" s="15" t="s">
        <v>171</v>
      </c>
      <c r="B28" s="18" t="n">
        <f aca="false">IFERROR(B26/B27,"")</f>
        <v>0.75</v>
      </c>
      <c r="E28" s="8"/>
    </row>
    <row r="29" customFormat="false" ht="15" hidden="false" customHeight="false" outlineLevel="0" collapsed="false">
      <c r="A29" s="15" t="s">
        <v>172</v>
      </c>
      <c r="B29" s="22" t="n">
        <f aca="false">IFERROR(B26*'1. The Scheme'!B21/('1. The Scheme'!B16*'1. The Scheme'!B8),"")</f>
        <v>0.06</v>
      </c>
      <c r="E29" s="8"/>
    </row>
    <row r="31" customFormat="false" ht="15" hidden="false" customHeight="false" outlineLevel="0" collapsed="false">
      <c r="A31" s="15" t="s">
        <v>173</v>
      </c>
      <c r="B31" s="22" t="n">
        <f aca="false">IFERROR('1. The Scheme'!B13+B29,"")</f>
        <v>0.14</v>
      </c>
      <c r="E31" s="8" t="s">
        <v>174</v>
      </c>
    </row>
    <row r="33" customFormat="false" ht="48" hidden="false" customHeight="true" outlineLevel="0" collapsed="false">
      <c r="A33" s="19" t="s">
        <v>175</v>
      </c>
      <c r="B33" s="19"/>
      <c r="C33" s="19"/>
      <c r="D33" s="19"/>
      <c r="E33" s="19"/>
      <c r="F33" s="19"/>
    </row>
    <row r="37" customFormat="false" ht="48" hidden="false" customHeight="true" outlineLevel="0" collapsed="false">
      <c r="A37" s="19" t="s">
        <v>176</v>
      </c>
      <c r="B37" s="19"/>
      <c r="C37" s="19"/>
      <c r="D37" s="19"/>
      <c r="E37" s="19"/>
      <c r="F37" s="19"/>
    </row>
  </sheetData>
  <mergeCells count="3">
    <mergeCell ref="A17:F19"/>
    <mergeCell ref="A33:F33"/>
    <mergeCell ref="A37:F3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4" min="2" style="0" width="17"/>
    <col collapsed="false" customWidth="true" hidden="false" outlineLevel="0" max="5" min="5" style="0" width="20"/>
  </cols>
  <sheetData>
    <row r="1" customFormat="false" ht="17.35" hidden="false" customHeight="false" outlineLevel="0" collapsed="false">
      <c r="A1" s="5" t="s">
        <v>177</v>
      </c>
    </row>
    <row r="4" customFormat="false" ht="30" hidden="false" customHeight="true" outlineLevel="0" collapsed="false">
      <c r="A4" s="14" t="s">
        <v>178</v>
      </c>
      <c r="B4" s="14" t="s">
        <v>179</v>
      </c>
      <c r="C4" s="14" t="s">
        <v>180</v>
      </c>
      <c r="D4" s="14" t="s">
        <v>181</v>
      </c>
      <c r="E4" s="14" t="s">
        <v>182</v>
      </c>
    </row>
    <row r="5" customFormat="false" ht="15" hidden="false" customHeight="false" outlineLevel="0" collapsed="false">
      <c r="A5" s="8" t="s">
        <v>70</v>
      </c>
      <c r="B5" s="10" t="n">
        <v>16000</v>
      </c>
      <c r="C5" s="10" t="n">
        <f aca="false">'2. The Concession'!B7</f>
        <v>16000</v>
      </c>
      <c r="D5" s="27" t="str">
        <f aca="false">IF(ISNUMBER(C5)=FALSE(),"CHECK",IF(ABS(C5-B5)&lt;=1,"OK","CHECK"))</f>
        <v>OK</v>
      </c>
      <c r="E5" s="8" t="s">
        <v>183</v>
      </c>
    </row>
    <row r="6" customFormat="false" ht="15" hidden="false" customHeight="false" outlineLevel="0" collapsed="false">
      <c r="A6" s="8" t="s">
        <v>184</v>
      </c>
      <c r="B6" s="10" t="n">
        <v>145727</v>
      </c>
      <c r="C6" s="10" t="n">
        <f aca="false">'2. The Concession'!B9</f>
        <v>145726.624081746</v>
      </c>
      <c r="D6" s="27" t="str">
        <f aca="false">IF(ISNUMBER(C6)=FALSE(),"CHECK",IF(ABS(C6-B6)&lt;=5,"OK","CHECK"))</f>
        <v>OK</v>
      </c>
      <c r="E6" s="8" t="s">
        <v>185</v>
      </c>
    </row>
    <row r="7" customFormat="false" ht="15" hidden="false" customHeight="false" outlineLevel="0" collapsed="false">
      <c r="A7" s="8" t="s">
        <v>167</v>
      </c>
      <c r="B7" s="10" t="n">
        <v>278261</v>
      </c>
      <c r="C7" s="10" t="n">
        <f aca="false">'2. The Concession'!B10</f>
        <v>278260.869565217</v>
      </c>
      <c r="D7" s="27" t="str">
        <f aca="false">IF(ISNUMBER(C7)=FALSE(),"CHECK",IF(ABS(C7-B7)&lt;=5,"OK","CHECK"))</f>
        <v>OK</v>
      </c>
      <c r="E7" s="8" t="s">
        <v>185</v>
      </c>
    </row>
    <row r="8" customFormat="false" ht="15" hidden="false" customHeight="false" outlineLevel="0" collapsed="false">
      <c r="A8" s="8" t="s">
        <v>186</v>
      </c>
      <c r="B8" s="28" t="n">
        <v>1.91</v>
      </c>
      <c r="C8" s="28" t="n">
        <f aca="false">'2. The Concession'!B11</f>
        <v>1.90947173393055</v>
      </c>
      <c r="D8" s="27" t="str">
        <f aca="false">IF(ISNUMBER(C8)=FALSE(),"CHECK",IF(ABS(C8-B8)&lt;=0.01,"OK","CHECK"))</f>
        <v>OK</v>
      </c>
      <c r="E8" s="8" t="s">
        <v>187</v>
      </c>
    </row>
    <row r="9" customFormat="false" ht="15" hidden="false" customHeight="false" outlineLevel="0" collapsed="false">
      <c r="A9" s="8" t="s">
        <v>188</v>
      </c>
      <c r="B9" s="10" t="n">
        <v>682000</v>
      </c>
      <c r="C9" s="10" t="n">
        <f aca="false">'3. The Void'!B11</f>
        <v>682000</v>
      </c>
      <c r="D9" s="27" t="str">
        <f aca="false">IF(ISNUMBER(C9)=FALSE(),"CHECK",IF(ABS(C9-B9)&lt;=5,"OK","CHECK"))</f>
        <v>OK</v>
      </c>
      <c r="E9" s="8" t="s">
        <v>185</v>
      </c>
    </row>
    <row r="10" customFormat="false" ht="15" hidden="false" customHeight="false" outlineLevel="0" collapsed="false">
      <c r="A10" s="8" t="s">
        <v>189</v>
      </c>
      <c r="B10" s="10" t="n">
        <v>56833</v>
      </c>
      <c r="C10" s="10" t="n">
        <f aca="false">'3. The Void'!B12</f>
        <v>56833.3333333333</v>
      </c>
      <c r="D10" s="27" t="str">
        <f aca="false">IF(ISNUMBER(C10)=FALSE(),"CHECK",IF(ABS(C10-B10)&lt;=5,"OK","CHECK"))</f>
        <v>OK</v>
      </c>
      <c r="E10" s="8" t="s">
        <v>185</v>
      </c>
    </row>
    <row r="11" customFormat="false" ht="15" hidden="false" customHeight="false" outlineLevel="0" collapsed="false">
      <c r="A11" s="8" t="s">
        <v>190</v>
      </c>
      <c r="B11" s="28" t="n">
        <v>2.45</v>
      </c>
      <c r="C11" s="28" t="n">
        <f aca="false">'3. The Void'!B13</f>
        <v>2.4509375</v>
      </c>
      <c r="D11" s="27" t="str">
        <f aca="false">IF(ISNUMBER(C11)=FALSE(),"CHECK",IF(ABS(C11-B11)&lt;=0.02,"OK","CHECK"))</f>
        <v>OK</v>
      </c>
      <c r="E11" s="8" t="s">
        <v>191</v>
      </c>
    </row>
    <row r="12" customFormat="false" ht="15" hidden="false" customHeight="false" outlineLevel="0" collapsed="false">
      <c r="A12" s="8" t="s">
        <v>192</v>
      </c>
      <c r="B12" s="10" t="n">
        <v>1332661</v>
      </c>
      <c r="C12" s="10" t="n">
        <f aca="false">'4. The Comparison'!B11</f>
        <v>1332660.86956522</v>
      </c>
      <c r="D12" s="27" t="str">
        <f aca="false">IF(ISNUMBER(C12)=FALSE(),"CHECK",IF(ABS(C12-B12)&lt;=5,"OK","CHECK"))</f>
        <v>OK</v>
      </c>
      <c r="E12" s="8" t="s">
        <v>185</v>
      </c>
    </row>
    <row r="13" customFormat="false" ht="15" hidden="false" customHeight="false" outlineLevel="0" collapsed="false">
      <c r="A13" s="8" t="s">
        <v>193</v>
      </c>
      <c r="B13" s="23" t="n">
        <v>0.267</v>
      </c>
      <c r="C13" s="23" t="n">
        <f aca="false">'4. The Comparison'!B12</f>
        <v>0.266532173913043</v>
      </c>
      <c r="D13" s="27" t="str">
        <f aca="false">IF(ISNUMBER(C13)=FALSE(),"CHECK",IF(ABS(C13-B13)&lt;=0.002,"OK","CHECK"))</f>
        <v>OK</v>
      </c>
      <c r="E13" s="8" t="s">
        <v>194</v>
      </c>
    </row>
    <row r="14" customFormat="false" ht="15" hidden="false" customHeight="false" outlineLevel="0" collapsed="false">
      <c r="A14" s="8" t="s">
        <v>195</v>
      </c>
      <c r="B14" s="10" t="n">
        <v>385367</v>
      </c>
      <c r="C14" s="10" t="n">
        <f aca="false">'4. The Comparison'!H22</f>
        <v>385366.666666667</v>
      </c>
      <c r="D14" s="27" t="str">
        <f aca="false">IF(ISNUMBER(C14)=FALSE(),"CHECK",IF(ABS(C14-B14)&lt;=5,"OK","CHECK"))</f>
        <v>OK</v>
      </c>
      <c r="E14" s="8" t="s">
        <v>196</v>
      </c>
    </row>
    <row r="15" customFormat="false" ht="15" hidden="false" customHeight="false" outlineLevel="0" collapsed="false">
      <c r="A15" s="8" t="s">
        <v>134</v>
      </c>
      <c r="B15" s="10" t="n">
        <v>831667</v>
      </c>
      <c r="C15" s="10" t="n">
        <f aca="false">'4. The Comparison'!B29</f>
        <v>831666.666666667</v>
      </c>
      <c r="D15" s="27" t="str">
        <f aca="false">IF(ISNUMBER(C15)=FALSE(),"CHECK",IF(ABS(C15-B15)&lt;=5,"OK","CHECK"))</f>
        <v>OK</v>
      </c>
      <c r="E15" s="8" t="s">
        <v>197</v>
      </c>
    </row>
    <row r="16" customFormat="false" ht="15" hidden="false" customHeight="false" outlineLevel="0" collapsed="false">
      <c r="A16" s="8" t="s">
        <v>135</v>
      </c>
      <c r="B16" s="10" t="n">
        <v>-801333</v>
      </c>
      <c r="C16" s="10" t="n">
        <f aca="false">'4. The Comparison'!B30</f>
        <v>-801333.333333333</v>
      </c>
      <c r="D16" s="27" t="str">
        <f aca="false">IF(ISNUMBER(C16)=FALSE(),"CHECK",IF(ABS(C16-B16)&lt;=5,"OK","CHECK"))</f>
        <v>OK</v>
      </c>
      <c r="E16" s="8" t="s">
        <v>198</v>
      </c>
    </row>
    <row r="17" customFormat="false" ht="15" hidden="false" customHeight="false" outlineLevel="0" collapsed="false">
      <c r="A17" s="8" t="s">
        <v>199</v>
      </c>
      <c r="B17" s="10" t="n">
        <v>12000</v>
      </c>
      <c r="C17" s="10" t="n">
        <f aca="false">'5. How Much Can You Concede'!B25</f>
        <v>12000</v>
      </c>
      <c r="D17" s="27" t="str">
        <f aca="false">IF(ISNUMBER(C17)=FALSE(),"CHECK",IF(ABS(C17-B17)&lt;=1,"OK","CHECK"))</f>
        <v>OK</v>
      </c>
      <c r="E17" s="8" t="s">
        <v>183</v>
      </c>
    </row>
    <row r="18" customFormat="false" ht="15" hidden="false" customHeight="false" outlineLevel="0" collapsed="false">
      <c r="A18" s="8" t="s">
        <v>200</v>
      </c>
      <c r="B18" s="10" t="n">
        <v>208696</v>
      </c>
      <c r="C18" s="10" t="n">
        <f aca="false">'5. How Much Can You Concede'!B26</f>
        <v>208695.652173913</v>
      </c>
      <c r="D18" s="27" t="str">
        <f aca="false">IF(ISNUMBER(C18)=FALSE(),"CHECK",IF(ABS(C18-B18)&lt;=5,"OK","CHECK"))</f>
        <v>OK</v>
      </c>
      <c r="E18" s="8" t="s">
        <v>185</v>
      </c>
    </row>
    <row r="19" customFormat="false" ht="15" hidden="false" customHeight="false" outlineLevel="0" collapsed="false">
      <c r="A19" s="8" t="s">
        <v>201</v>
      </c>
      <c r="B19" s="23" t="n">
        <v>0.06</v>
      </c>
      <c r="C19" s="23" t="n">
        <f aca="false">'5. How Much Can You Concede'!B29</f>
        <v>0.06</v>
      </c>
      <c r="D19" s="27" t="str">
        <f aca="false">IF(ISNUMBER(C19)=FALSE(),"CHECK",IF(ABS(C19-B19)&lt;=0.002,"OK","CHECK"))</f>
        <v>OK</v>
      </c>
      <c r="E19" s="8" t="s">
        <v>194</v>
      </c>
    </row>
    <row r="20" customFormat="false" ht="15" hidden="false" customHeight="false" outlineLevel="0" collapsed="false">
      <c r="A20" s="8" t="s">
        <v>202</v>
      </c>
      <c r="B20" s="10" t="n">
        <v>888413</v>
      </c>
      <c r="C20" s="10" t="n">
        <f aca="false">'4. The Comparison'!I43</f>
        <v>888413.04347826</v>
      </c>
      <c r="D20" s="27" t="str">
        <f aca="false">IF(ISNUMBER(C20)=FALSE(),"CHECK",IF(ABS(C20-B20)&lt;=5,"OK","CHECK"))</f>
        <v>OK</v>
      </c>
      <c r="E20" s="8" t="s">
        <v>185</v>
      </c>
    </row>
    <row r="21" customFormat="false" ht="15" hidden="false" customHeight="false" outlineLevel="0" collapsed="false">
      <c r="A21" s="8" t="s">
        <v>203</v>
      </c>
      <c r="B21" s="10" t="n">
        <v>260994</v>
      </c>
      <c r="C21" s="10" t="n">
        <f aca="false">'4. The Comparison'!B46</f>
        <v>260994.20289855</v>
      </c>
      <c r="D21" s="27" t="str">
        <f aca="false">IF(ISNUMBER(C21)=FALSE(),"CHECK",IF(ABS(C21-B21)&lt;=5,"OK","CHECK"))</f>
        <v>OK</v>
      </c>
      <c r="E21" s="8" t="s">
        <v>185</v>
      </c>
    </row>
    <row r="22" customFormat="false" ht="15" hidden="false" customHeight="false" outlineLevel="0" collapsed="false">
      <c r="A22" s="8" t="s">
        <v>148</v>
      </c>
      <c r="B22" s="23" t="n">
        <v>0.1529</v>
      </c>
      <c r="C22" s="23" t="n">
        <f aca="false">'4. The Comparison'!B47</f>
        <v>0.15293884163629</v>
      </c>
      <c r="D22" s="27" t="str">
        <f aca="false">IF(ISNUMBER(C22)=FALSE(),"CHECK",IF(ABS(C22-B22)&lt;=0.0005,"OK","CHECK"))</f>
        <v>OK</v>
      </c>
      <c r="E22" s="8" t="s">
        <v>204</v>
      </c>
    </row>
    <row r="23" customFormat="false" ht="15" hidden="false" customHeight="false" outlineLevel="0" collapsed="false">
      <c r="A23" s="8" t="s">
        <v>205</v>
      </c>
      <c r="B23" s="23" t="n">
        <v>0.2149</v>
      </c>
      <c r="C23" s="23" t="n">
        <f aca="false">'4. The Comparison'!B48</f>
        <v>0.214927891156462</v>
      </c>
      <c r="D23" s="27" t="str">
        <f aca="false">IF(ISNUMBER(C23)=FALSE(),"CHECK",IF(ABS(C23-B23)&lt;=0.0005,"OK","CHECK"))</f>
        <v>OK</v>
      </c>
      <c r="E23" s="8" t="s">
        <v>204</v>
      </c>
    </row>
    <row r="24" customFormat="false" ht="15" hidden="false" customHeight="false" outlineLevel="0" collapsed="false">
      <c r="A24" s="8" t="s">
        <v>206</v>
      </c>
      <c r="B24" s="10" t="n">
        <v>206000</v>
      </c>
      <c r="C24" s="10" t="n">
        <f aca="false">'3. The Void'!B21</f>
        <v>206000</v>
      </c>
      <c r="D24" s="27" t="str">
        <f aca="false">IF(ISNUMBER(C24)=FALSE(),"CHECK",IF(ABS(C24-B24)&lt;=1,"OK","CHECK"))</f>
        <v>OK</v>
      </c>
      <c r="E24" s="8" t="s">
        <v>183</v>
      </c>
    </row>
    <row r="25" customFormat="false" ht="15" hidden="false" customHeight="false" outlineLevel="0" collapsed="false">
      <c r="A25" s="8" t="s">
        <v>207</v>
      </c>
      <c r="B25" s="10" t="n">
        <v>0</v>
      </c>
      <c r="C25" s="10" t="n">
        <f aca="false">'4. The Comparison'!F18-'4. The Comparison'!F18/(24*0.6+12)*24*0.6-'3. The Void'!B7</f>
        <v>0</v>
      </c>
      <c r="D25" s="27" t="str">
        <f aca="false">IF(ISNUMBER(C25)=FALSE(),"CHECK",IF(ABS(C25-B25)&lt;=0.000001,"OK","CHECK"))</f>
        <v>OK</v>
      </c>
      <c r="E25" s="8" t="s">
        <v>208</v>
      </c>
    </row>
    <row r="28" customFormat="false" ht="15" hidden="false" customHeight="false" outlineLevel="0" collapsed="false">
      <c r="A28" s="15" t="s">
        <v>209</v>
      </c>
      <c r="B28" s="29" t="n">
        <f aca="false">COUNTIF(D5:D25,"OK")</f>
        <v>21</v>
      </c>
      <c r="C28" s="29" t="n">
        <f aca="false">COUNTA(D5:D25)</f>
        <v>21</v>
      </c>
      <c r="D28" s="30" t="str">
        <f aca="false">IF(B28=C28,"ALL PASS","SOME FAIL")</f>
        <v>ALL PASS</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2026-08-22T08:23:48Z</dcterms:created>
  <dc:creator>openpyxl</dc:creator>
  <dc:description/>
  <dc:language>en-US</dc:language>
  <cp:lastModifiedBy/>
  <dcterms:modified xsi:type="dcterms:W3CDTF">2026-09-23T21:17:16Z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