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Month 5 and the interrogation" sheetId="2" state="visible" r:id="rId4"/>
    <sheet name="Timeline and changes" sheetId="3" state="visible" r:id="rId5"/>
    <sheet name="Final position" sheetId="4" state="visible" r:id="rId6"/>
    <sheet name="Check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<sst xmlns="http://schemas.openxmlformats.org/spreadsheetml/2006/main" count="221" uniqueCount="192">
  <si>
    <t xml:space="preserve">The Real Estate Development Manager — Workbook 2 of 5</t>
  </si>
  <si>
    <t xml:space="preserve">The worked scheme of Chapter 16, from first site visit to disposal</t>
  </si>
  <si>
    <t xml:space="preserve">Julian R. Sterling · julianrsterling.com/development</t>
  </si>
  <si>
    <t xml:space="preserve">The return was determined at month five</t>
  </si>
  <si>
    <t xml:space="preserve">That is the chapter's own conclusion and this workbook is built to make it visible. The appraisal at month five gives a residual land value of 3.6 against a conditional contract price of 7.6. The scheme does not work. What follows — the interrogation of the inputs, the remix, the stressed commercial appraisal, and a difficult conversation with the seller — moves the residual to 5.9 and the price to 6.4. Every decision after that was execution.</t>
  </si>
  <si>
    <t xml:space="preserve">Good execution recovered some of it, and could never have recovered all of it</t>
  </si>
  <si>
    <t xml:space="preserve">The final position sheet builds the profit bridge from the revised appraisal to the outturn: a lost unit at committee, inflation on the late packages, and a commercial rent slightly below appraisal. Three small things, none dramatic. Development returns are eroded in fractions, not in catastrophes.</t>
  </si>
  <si>
    <t xml:space="preserve">The programme risk that mattered was not construction</t>
  </si>
  <si>
    <t xml:space="preserve">One month was lost on site across a twenty-month build. Three months were lost to the discharge of pre-commencement conditions, which nobody had programmed. The timeline sheet shows both, and the gap between consent at month 13 and a start at month 16.</t>
  </si>
  <si>
    <t xml:space="preserve">Contingency did its job exactly once</t>
  </si>
  <si>
    <t xml:space="preserve">The change log records every movement. Contingency was drawn at month 21 for an unrecorded drainage run and at month 33 for inflation on the remaining packages. At month 24 the client asked whether the entrance could be enlarged; priced at 0.28 including a three-week critical delay, the client declined. Had it been spent there, it would not have been available at month 33.</t>
  </si>
  <si>
    <t xml:space="preserve">Conventions</t>
  </si>
  <si>
    <t xml:space="preserve">Blue is an input. Black is a formula. Green is a link to another sheet. Units are the chapter's own notional units, internally consistent throughout.</t>
  </si>
  <si>
    <t xml:space="preserve">Provided for education. Not investment advice.</t>
  </si>
  <si>
    <t xml:space="preserve">The appraisal at month five, and the interrogation that followed</t>
  </si>
  <si>
    <t xml:space="preserve">Chapter 16. The most important moment in the project, and it consists entirely of arithmetic and a difficult conversation.</t>
  </si>
  <si>
    <t xml:space="preserve">Required profit, % of cost excluding land</t>
  </si>
  <si>
    <t xml:space="preserve">Arithmetic and a difficult conversation</t>
  </si>
  <si>
    <t xml:space="preserve">At month five the appraisal says the scheme does not work: a residual of 3.6 against 7.6 in the conditional contract. The team does not abandon it. They interrogate the inputs, as Chapter 3 requires.
The construction cost is built on a concept design carrying a design contingency of 3 per cent at 40 per cent design completion. Raised to 7 per cent, it worsens — and that is the honest answer, so it stays.
The value assumes an apartment mix weighted to two-bedroom units. The agent's advice, sought properly, is that one-bedroom units sell faster and at a higher rate per square metre here. A remix to 46 smaller units raises the value to 30.4 for a modest cost increase.
The commercial unit is appraised at a yield that assumes a letting. Unlet, a buyer would discount it materially, so it is re-appraised on a stressed basis.
Revised residual 5.9. Still below 7.6. The developer returns to the seller with the ground investigation, the daylight assessment and the appraisal, and offers 6.0. The seller — now aware of the covenant and the contamination — accepts 6.4.
That is the whole of the return. Everything after month five is execution.</t>
  </si>
  <si>
    <t xml:space="preserve">Month 5, as first appraised</t>
  </si>
  <si>
    <t xml:space="preserve">After the interrogation</t>
  </si>
  <si>
    <t xml:space="preserve">Gross development value</t>
  </si>
  <si>
    <t xml:space="preserve">Construction</t>
  </si>
  <si>
    <t xml:space="preserve">Professional fees</t>
  </si>
  <si>
    <t xml:space="preserve">Statutory and planning obligations</t>
  </si>
  <si>
    <t xml:space="preserve">Finance</t>
  </si>
  <si>
    <t xml:space="preserve">Cost excluding land</t>
  </si>
  <si>
    <t xml:space="preserve">Required profit</t>
  </si>
  <si>
    <t xml:space="preserve">Residual land value</t>
  </si>
  <si>
    <t xml:space="preserve">Price in the conditional contract</t>
  </si>
  <si>
    <t xml:space="preserve">Gap</t>
  </si>
  <si>
    <t xml:space="preserve">The scheme does not work — on either appraisal, at 7.6.</t>
  </si>
  <si>
    <t xml:space="preserve">WHAT THE INTERROGATION CHANGED</t>
  </si>
  <si>
    <t xml:space="preserve">Before</t>
  </si>
  <si>
    <t xml:space="preserve">After</t>
  </si>
  <si>
    <t xml:space="preserve">Movement</t>
  </si>
  <si>
    <t xml:space="preserve">Unit count, before and after the remix</t>
  </si>
  <si>
    <t xml:space="preserve">Remediation, provisional allowance against the priced figure</t>
  </si>
  <si>
    <t xml:space="preserve">Construction, net of the remediation saving and the remix cost</t>
  </si>
  <si>
    <t xml:space="preserve">Residual, after the interrogation</t>
  </si>
  <si>
    <t xml:space="preserve">Movement in the residual</t>
  </si>
  <si>
    <t xml:space="preserve">The chapter states the revised residual of 5.9 without itemising the revised cost. Solving backwards gives a cost excluding land of 20.4, against 20.5 at month five — so the construction line falls slightly, to 15.7.</t>
  </si>
  <si>
    <t xml:space="preserve">That is consistent with the narrative only if the month-five figure of 15.8 still carried the provisional remediation allowance of 1.5: replacing it with the priced 0.9 saves 0.6, which the "modest cost increase" for the remix then partly consumes. The chapter does not say so explicitly. Cell C8 is blue — set it to 16.0 if you read it the other way, and the residual falls to 5.56.</t>
  </si>
  <si>
    <t xml:space="preserve">THE RENEGOTIATION</t>
  </si>
  <si>
    <t xml:space="preserve">Residual the developer can defend</t>
  </si>
  <si>
    <t xml:space="preserve">The developer's offer</t>
  </si>
  <si>
    <t xml:space="preserve">The price accepted</t>
  </si>
  <si>
    <t xml:space="preserve">Against the conditional contract</t>
  </si>
  <si>
    <t xml:space="preserve">Saved in the conversation</t>
  </si>
  <si>
    <t xml:space="preserve">What the seller learned first: a height covenant on the northern boundary and a contamination history.</t>
  </si>
  <si>
    <t xml:space="preserve">The programme, and every movement in the cost</t>
  </si>
  <si>
    <t xml:space="preserve">Chapter 16. One month was lost on site. Three were lost to the discharge of conditions.</t>
  </si>
  <si>
    <t xml:space="preserve">THE PROGRAMME</t>
  </si>
  <si>
    <t xml:space="preserve">Month</t>
  </si>
  <si>
    <t xml:space="preserve">Event</t>
  </si>
  <si>
    <t xml:space="preserve">What it decided</t>
  </si>
  <si>
    <t xml:space="preserve">Cost</t>
  </si>
  <si>
    <t xml:space="preserve">Contingency</t>
  </si>
  <si>
    <t xml:space="preserve">Read the contingency column and the arithmetic beneath it together. Two draws — 0.15 for the drainage run at month 21, 0.35 for inflation at month 33 — against 0.8 held. That leaves 0.30.
At month 24 the client asked whether the entrance could be enlarged. Priced at 0.28 including abortive work and a three-week critical delay, the client declined. Had it been approved, the 0.35 of inflation at month 33 would still have been covered, with 0.02 left: the cost-to-complete test would have passed by 0.02, and any further overrun before completion would have become an equity call. (Revised 23 September 2026: the first version said the test would have failed. It would not, by 0.02.) Contingency is a provision against uncertainty, never available for enhancement — and this is the month in which that rule paid for itself.
On the programme: one month was lost on site across a twenty-month build. Three months were lost between consent at month 13 and a start at month 16, to the discharge of eleven pre-commencement conditions that nobody had programmed as an activity. The risk that mattered was not construction.
And the cheap diligence earned the most. The title review and the daylight assessment cost very little and each avoided a large problem — the covenant reshaped the scheme before a penny of design was committed, and the wing was relocated at no cost rather than as a variation.</t>
  </si>
  <si>
    <t xml:space="preserve">The site</t>
  </si>
  <si>
    <t xml:space="preserve">Vacant 1970s retail on 0.4 ha, guide price 8. Five first-pass questions asked before anything is spent.</t>
  </si>
  <si>
    <t xml:space="preserve">Cheap diligence</t>
  </si>
  <si>
    <t xml:space="preserve">Title review finds a height covenant on the northern boundary. Environmental desktop finds a fuel tank of unknown status. Previous application refused on massing four years ago.</t>
  </si>
  <si>
    <t xml:space="preserve">Structure</t>
  </si>
  <si>
    <t xml:space="preserve">Conditional contract rather than purchase: eighteen months, 7.6, conditional on consent for not fewer than 40 units, with a capped obligation and a remediation price adjustment.</t>
  </si>
  <si>
    <t xml:space="preserve">Design and pre-application</t>
  </si>
  <si>
    <t xml:space="preserve">Four storeys stepping to three on the northern boundary. Daylight assessment at design stage relocates a wing by two metres at no cost — after commitment the same fix is a variation.</t>
  </si>
  <si>
    <t xml:space="preserve">Ground investigation</t>
  </si>
  <si>
    <t xml:space="preserve">Tank present, empty, contamination localised. Remediation priced at 0.9 against a provisional 1.5.</t>
  </si>
  <si>
    <t xml:space="preserve">The appraisal, properly</t>
  </si>
  <si>
    <t xml:space="preserve">Residual 3.6 against 7.6. The scheme does not work. The inputs are interrogated rather than the scheme abandoned.</t>
  </si>
  <si>
    <t xml:space="preserve">The renegotiation</t>
  </si>
  <si>
    <t xml:space="preserve">Offer 6.0, accepted at 6.4. This is the most important moment in the project.</t>
  </si>
  <si>
    <t xml:space="preserve">Application submitted</t>
  </si>
  <si>
    <t xml:space="preserve">Full technical pack: transport, daylight, ecology, drainage, contamination, heritage screening.</t>
  </si>
  <si>
    <t xml:space="preserve">Consent granted</t>
  </si>
  <si>
    <t xml:space="preserve">45 units — one fewer than applied for, following a committee amendment. Eleven pre-commencement conditions.</t>
  </si>
  <si>
    <t xml:space="preserve">Contract completes</t>
  </si>
  <si>
    <t xml:space="preserve">Land paid 6.4.</t>
  </si>
  <si>
    <t xml:space="preserve">Site can start</t>
  </si>
  <si>
    <t xml:space="preserve">Discharge of conditions took three further months. Nobody had programmed it.</t>
  </si>
  <si>
    <t xml:space="preserve">Contractor selected</t>
  </si>
  <si>
    <t xml:space="preserve">Two-stage tender; three contractors compete on overhead, profit, preliminaries and team.</t>
  </si>
  <si>
    <t xml:space="preserve">Stage two price agreed</t>
  </si>
  <si>
    <t xml:space="preserve">15.6 against a cost plan of 15.8. Buildability input saved 0.4 on the structural grid and 0.3 on the facade.</t>
  </si>
  <si>
    <t xml:space="preserve">Funding</t>
  </si>
  <si>
    <t xml:space="preserve">Senior facility 16.5 against total cost 26.1, sponsor equity 9.6, cost-to-complete testing, monitoring surveyor, 34-month term.</t>
  </si>
  <si>
    <t xml:space="preserve">Unrecorded drainage run</t>
  </si>
  <si>
    <t xml:space="preserve">Registered as a change, priced at 0.15 including a two-week programme effect, approved, instructed.</t>
  </si>
  <si>
    <t xml:space="preserve">Enlarged entrance requested</t>
  </si>
  <si>
    <t xml:space="preserve">Priced at 0.28 including abortive work and a three-week critical delay. The client declines. The protocol has done its only job.</t>
  </si>
  <si>
    <t xml:space="preserve">Facade labour halves</t>
  </si>
  <si>
    <t xml:space="preserve">A site walk, not the report, identifies it. A payment dispute with the main contractor. Resolved in three weeks; two weeks lost, absorbed in float.</t>
  </si>
  <si>
    <t xml:space="preserve">Marketing begins</t>
  </si>
  <si>
    <t xml:space="preserve">Show apartment fitted, agent appointed, commercial unit marketed. Seven months before completion, and it determines the sales rate.</t>
  </si>
  <si>
    <t xml:space="preserve">Inflation on late packages</t>
  </si>
  <si>
    <t xml:space="preserve">Forecast final cost rises 0.35. The cost-to-complete test triggers a review; client contingency covers it and no equity call arises.</t>
  </si>
  <si>
    <t xml:space="preserve">Practical completion</t>
  </si>
  <si>
    <t xml:space="preserve">One month later than the contract date. Snagging progressive; 180 minor items outstanding. Commissioning started at month 35 and completes on time.</t>
  </si>
  <si>
    <t xml:space="preserve">Commercial unit lets</t>
  </si>
  <si>
    <t xml:space="preserve">Slightly below appraisal, ten-year term with a break at five — accepted because the alternative was a further year of vacancy.</t>
  </si>
  <si>
    <t xml:space="preserve">Exit</t>
  </si>
  <si>
    <t xml:space="preserve">43 of 45 units completed; the commercial unit let and sold to an investor.</t>
  </si>
  <si>
    <t xml:space="preserve">Contingency drawn</t>
  </si>
  <si>
    <t xml:space="preserve">Contingency held by the client</t>
  </si>
  <si>
    <t xml:space="preserve">Remaining</t>
  </si>
  <si>
    <t xml:space="preserve">The change declined at month 24, for comparison</t>
  </si>
  <si>
    <t xml:space="preserve">Had it been approved, contingency remaining at month 33 would have been</t>
  </si>
  <si>
    <t xml:space="preserve">Covered at month 33, had it been approved?</t>
  </si>
  <si>
    <t xml:space="preserve">THE PROGRAMME RISK THAT MATTERED</t>
  </si>
  <si>
    <t xml:space="preserve">Site could start</t>
  </si>
  <si>
    <t xml:space="preserve">Months lost to the discharge of conditions</t>
  </si>
  <si>
    <t xml:space="preserve">Practical completion, contract date</t>
  </si>
  <si>
    <t xml:space="preserve">Practical completion, actual</t>
  </si>
  <si>
    <t xml:space="preserve">Months lost on site</t>
  </si>
  <si>
    <t xml:space="preserve">The outturn, and the bridge back to the appraisal</t>
  </si>
  <si>
    <t xml:space="preserve">Chapter 16. Development returns are eroded in fractions, not in catastrophes.</t>
  </si>
  <si>
    <t xml:space="preserve">THE TWO POSITIONS</t>
  </si>
  <si>
    <t xml:space="preserve">Eroded in fractions</t>
  </si>
  <si>
    <t xml:space="preserve">Appraised</t>
  </si>
  <si>
    <t xml:space="preserve">Realised</t>
  </si>
  <si>
    <t xml:space="preserve">Gross development value realised 30.1 against 30.4 appraised. Total cost 26.5 against 26.1. Profit 3.6 against 4.3 — approximately 14 per cent on total cost against a target of 20 on cost excluding land: on that basis the outturn is 18 (row 46).
The shortfall came from three small things: a lost unit at committee, inflation on the late packages, and a commercial rent slightly below appraisal. None of them dramatic, none of them anybody's mistake, and together they take a sixth off the profit. That is how development returns are lost — in fractions, not in catastrophes — and it is why the resilience numbers matter more than the headline.
The block at the bottom is the chapter's real conclusion. Had the developer completed at 7.6 rather than renegotiating to 6.4, the realised profit would have been 2.4 on a cost of 27.7 — about 8.7 per cent, for four years of risk. Good execution recovered some of what a 7.6 land price would have cost. It could never have recovered all of it.
Everything after month five was execution. The return was determined in a difficult conversation backed by a ground investigation, a daylight assessment and an appraisal.</t>
  </si>
  <si>
    <t xml:space="preserve">Total cost including land</t>
  </si>
  <si>
    <t xml:space="preserve">Profit</t>
  </si>
  <si>
    <t xml:space="preserve">Profit on total cost</t>
  </si>
  <si>
    <t xml:space="preserve">Profit on value</t>
  </si>
  <si>
    <t xml:space="preserve">Target return stated at month five, on cost excluding land</t>
  </si>
  <si>
    <t xml:space="preserve">The target and the outturn use different denominators. The month-five 20 per cent was struck on cost excluding land; the 14 per cent below is on total cost including land. Rows 9 and 10 give both, because the more flattering denominator is usually the one being quoted.</t>
  </si>
  <si>
    <t xml:space="preserve">THE PROFIT BRIDGE</t>
  </si>
  <si>
    <t xml:space="preserve">Value moved by -0.3 and cost by +0.4. The bridge splits each (revised 23 September 2026).</t>
  </si>
  <si>
    <t xml:space="preserve">Effect</t>
  </si>
  <si>
    <t xml:space="preserve">Running profit</t>
  </si>
  <si>
    <t xml:space="preserve">Appraised profit</t>
  </si>
  <si>
    <t xml:space="preserve">A unit lost at committee, at the appraised average value (30.4 / 46)</t>
  </si>
  <si>
    <t xml:space="preserve">Commercial rent below appraisal and the other units against appraisal: balance of the value movement</t>
  </si>
  <si>
    <t xml:space="preserve">Inflation on the late packages (month 33)</t>
  </si>
  <si>
    <t xml:space="preserve">Unrecorded drainage run (month 21)</t>
  </si>
  <si>
    <t xml:space="preserve">Other cost movements: balance of the cost movement</t>
  </si>
  <si>
    <t xml:space="preserve">Realised profit</t>
  </si>
  <si>
    <t xml:space="preserve">Unexplained residue</t>
  </si>
  <si>
    <t xml:space="preserve">The chapter names three causes without quantifying them. Split against the actual movements, the lost unit alone is worth 0.66 at the appraised average, more than twice the whole value shortfall of 0.3: the other units and the commercial unit together realised 0.36 more than appraised. The two contingency draws total 0.5 against a cost movement of 0.4, so 0.1 was saved elsewhere. The first version imputed -0.35 to value and -0.35 to cost, which summed to the right total from the wrong parts.</t>
  </si>
  <si>
    <t xml:space="preserve">WHERE THE RETURN WAS ACTUALLY DECIDED</t>
  </si>
  <si>
    <t xml:space="preserve">Land price in the conditional contract</t>
  </si>
  <si>
    <t xml:space="preserve">Land price after the renegotiation</t>
  </si>
  <si>
    <t xml:space="preserve">Saved at month five</t>
  </si>
  <si>
    <t xml:space="preserve">Profit had the land been bought at the contract price</t>
  </si>
  <si>
    <t xml:space="preserve">   as a return on the higher total cost</t>
  </si>
  <si>
    <t xml:space="preserve">The whole of the difference between a poor scheme and a marginal one sits in one conversation at month five.</t>
  </si>
  <si>
    <t xml:space="preserve">WHAT THE CHAPTER'S OWN LINES SAY (added 23 September 2026)</t>
  </si>
  <si>
    <t xml:space="preserve">Cost excluding land implied by the revised residual of 5.9 at the 20 per cent</t>
  </si>
  <si>
    <t xml:space="preserve">Profit at the 6.4 paid, on those month-five figures</t>
  </si>
  <si>
    <t xml:space="preserve">   on cost excluding land</t>
  </si>
  <si>
    <t xml:space="preserve">Cost excluding land at contract on the chapter's lines: stage-two price, fees, statutory, finance</t>
  </si>
  <si>
    <t xml:space="preserve">Cost excluding land that the chapter's total of 26.1 implies</t>
  </si>
  <si>
    <t xml:space="preserve">Gap the chapter does not itemise</t>
  </si>
  <si>
    <t xml:space="preserve">Realised profit on cost excluding land, the basis of the 20 per cent target</t>
  </si>
  <si>
    <t xml:space="preserve">Realised profit on total cost, the basis of the 14</t>
  </si>
  <si>
    <t xml:space="preserve">Two things the chapter asserts without the path. Its total cost of 26.1 cannot be rebuilt from its own lines: land 6.4, the stage-two price 15.6, fees 2.1, statutory 1.4 and finance 1.2 make 26.7, before the 0.8 of contingency. On the month-five appraisal, paying 6.4 leaves a profit of 3.6, the figure realised. And "14 per cent against a target of 20" sets a return on total cost against a target struck on cost excluding land: on the target's own basis the outturn is 18 per cent.</t>
  </si>
  <si>
    <t xml:space="preserve">Every figure Chapter 16 prints, against what this workbook computes</t>
  </si>
  <si>
    <t xml:space="preserve">Chapter 16, 'A Worked Scheme'.</t>
  </si>
  <si>
    <t xml:space="preserve">Source</t>
  </si>
  <si>
    <t xml:space="preserve">Figure as the book prints it</t>
  </si>
  <si>
    <t xml:space="preserve">Printed</t>
  </si>
  <si>
    <t xml:space="preserve">Computed</t>
  </si>
  <si>
    <t xml:space="preserve">Variance</t>
  </si>
  <si>
    <t xml:space="preserve">Status</t>
  </si>
  <si>
    <t xml:space="preserve">How the tolerances are set</t>
  </si>
  <si>
    <t xml:space="preserve">Ch. 16</t>
  </si>
  <si>
    <t xml:space="preserve">Month 5: cost excluding land</t>
  </si>
  <si>
    <t xml:space="preserve">Fifteen figures, all reproduced. Each line carries its own tolerance, set to the precision the chapter prints.
One line carries a wider band and the reason is on the 'Month 5' sheet: the chapter states a revised residual of 5.9 without itemising the revised cost. Solving backwards gives a cost excluding land of 20.4 and a residual of 5.92. The construction input that produces it is blue, and the note beside it sets out the reading — and what happens if you take the other one.
The profit bridge on 'Final position' is not checked against the chapter, because the chapter names the three causes of the shortfall without quantifying each. Its figures are apportioned to sum to the stated 0.7, every one of them is blue, and the sheet carries an 'unexplained residue' line so that your own reading either adds up or visibly does not.</t>
  </si>
  <si>
    <t xml:space="preserve">Month 5: required profit at 20 per cent</t>
  </si>
  <si>
    <t xml:space="preserve">Month 5: residual land value</t>
  </si>
  <si>
    <t xml:space="preserve">After the interrogation: gross development value</t>
  </si>
  <si>
    <t xml:space="preserve">After the interrogation: residual land value</t>
  </si>
  <si>
    <t xml:space="preserve">The price accepted after the renegotiation</t>
  </si>
  <si>
    <t xml:space="preserve">Saved against the conditional contract</t>
  </si>
  <si>
    <t xml:space="preserve">Contingency drawn over the scheme</t>
  </si>
  <si>
    <t xml:space="preserve">Contingency remaining</t>
  </si>
  <si>
    <t xml:space="preserve">Realised profit on total cost  (stated as approximately 14 per cent)</t>
  </si>
  <si>
    <t xml:space="preserve">Shortfall against the appraisal</t>
  </si>
  <si>
    <t xml:space="preserve">Lines reproduced within the book's own printed precision</t>
  </si>
  <si>
    <t xml:space="preserve">Lines differing only by the book's rounding of an intermediate</t>
  </si>
  <si>
    <t xml:space="preserve">Lines to check</t>
  </si>
  <si>
    <t xml:space="preserve">INTERNAL CHECKS (revised 23 September 2026)</t>
  </si>
  <si>
    <t xml:space="preserve">Int.</t>
  </si>
  <si>
    <t xml:space="preserve">Had the entrance been approved, contingency still covers month 33 (0.02 to spare)</t>
  </si>
  <si>
    <t xml:space="preserve">The value side of the bridge sums to the value movement</t>
  </si>
  <si>
    <t xml:space="preserve">The cost side of the bridge sums to the cost movement</t>
  </si>
  <si>
    <t xml:space="preserve">The bridge leaves no residue</t>
  </si>
  <si>
    <t xml:space="preserve">The contingency draws in the timeline equal the two draws the chapter names (0.15 + 0.35)</t>
  </si>
  <si>
    <t xml:space="preserve">At 7.6, the profit on the higher cost is the realised profit less the 1.2 saved</t>
  </si>
  <si>
    <t xml:space="preserve">All internal checks</t>
  </si>
</sst>
</file>

<file path=xl/styles.xml><?xml version="1.0" encoding="utf-8"?>
<styleSheet xmlns="http://schemas.openxmlformats.org/spreadsheetml/2006/main">
  <numFmts count="5">
    <numFmt numFmtId="164" formatCode="General"/>
    <numFmt numFmtId="165" formatCode="0.00%"/>
    <numFmt numFmtId="166" formatCode="#,##0.00;\(#,##0.00\);\-"/>
    <numFmt numFmtId="167" formatCode="0"/>
    <numFmt numFmtId="168" formatCode="0.0%"/>
  </numFmts>
  <fonts count="19">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1"/>
      <color rgb="FF595959"/>
      <name val="Arial"/>
      <family val="0"/>
      <charset val="1"/>
    </font>
    <font>
      <i val="true"/>
      <sz val="10"/>
      <color rgb="FF595959"/>
      <name val="Arial"/>
      <family val="0"/>
      <charset val="1"/>
    </font>
    <font>
      <b val="true"/>
      <sz val="11"/>
      <color rgb="FF8C5A00"/>
      <name val="Arial"/>
      <family val="0"/>
      <charset val="1"/>
    </font>
    <font>
      <sz val="10"/>
      <name val="Arial"/>
      <family val="0"/>
      <charset val="1"/>
    </font>
    <font>
      <b val="true"/>
      <sz val="14"/>
      <color rgb="FF14171D"/>
      <name val="Arial"/>
      <family val="0"/>
      <charset val="1"/>
    </font>
    <font>
      <sz val="10"/>
      <color rgb="FF0000FF"/>
      <name val="Arial"/>
      <family val="0"/>
      <charset val="1"/>
    </font>
    <font>
      <b val="true"/>
      <sz val="10"/>
      <color rgb="FFFFFFFF"/>
      <name val="Arial"/>
      <family val="0"/>
      <charset val="1"/>
    </font>
    <font>
      <b val="true"/>
      <sz val="10"/>
      <name val="Arial"/>
      <family val="0"/>
      <charset val="1"/>
    </font>
    <font>
      <sz val="9"/>
      <color rgb="FF8C5A00"/>
      <name val="Arial"/>
      <family val="0"/>
      <charset val="1"/>
    </font>
    <font>
      <b val="true"/>
      <sz val="9"/>
      <name val="Arial"/>
      <family val="0"/>
      <charset val="1"/>
    </font>
    <font>
      <sz val="9"/>
      <name val="Arial"/>
      <family val="0"/>
      <charset val="1"/>
    </font>
    <font>
      <sz val="10"/>
      <color rgb="FF008000"/>
      <name val="Arial"/>
      <family val="0"/>
      <charset val="1"/>
    </font>
    <font>
      <sz val="9"/>
      <color rgb="FF0000FF"/>
      <name val="Arial"/>
      <family val="0"/>
      <charset val="1"/>
    </font>
    <font>
      <sz val="9"/>
      <color rgb="FF008000"/>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14171D"/>
        <bgColor rgb="FF000000"/>
      </patternFill>
    </fill>
    <fill>
      <patternFill patternType="solid">
        <fgColor rgb="FFF2F2F2"/>
        <bgColor rgb="FFFFFFFF"/>
      </patternFill>
    </fill>
  </fills>
  <borders count="2">
    <border diagonalUp="false" diagonalDown="false">
      <left/>
      <right/>
      <top/>
      <bottom/>
      <diagonal/>
    </border>
    <border diagonalUp="false" diagonalDown="false">
      <left/>
      <right/>
      <top style="medium">
        <color rgb="FF808080"/>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5" fontId="10" fillId="2"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1" fillId="3" borderId="0" xfId="0" applyFont="true" applyBorder="false" applyAlignment="true" applyProtection="false">
      <alignment horizontal="left" vertical="center" textRotation="0" wrapText="true" indent="0" shrinkToFit="false"/>
      <protection locked="true" hidden="false"/>
    </xf>
    <xf numFmtId="164" fontId="11" fillId="3" borderId="0" xfId="0" applyFont="true" applyBorder="false" applyAlignment="true" applyProtection="false">
      <alignment horizontal="center" vertical="center" textRotation="0" wrapText="true" indent="0" shrinkToFit="false"/>
      <protection locked="true" hidden="false"/>
    </xf>
    <xf numFmtId="166" fontId="10" fillId="2" borderId="0" xfId="0" applyFont="true" applyBorder="false" applyAlignment="tru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4" fontId="12" fillId="0" borderId="1" xfId="0" applyFont="true" applyBorder="true" applyAlignment="tru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6" fontId="12" fillId="0" borderId="0" xfId="0" applyFont="true" applyBorder="false" applyAlignment="true" applyProtection="false">
      <alignment horizontal="general" vertical="bottom" textRotation="0" wrapText="false" indent="0" shrinkToFit="false"/>
      <protection locked="true" hidden="false"/>
    </xf>
    <xf numFmtId="167" fontId="10" fillId="0" borderId="0" xfId="0" applyFont="true" applyBorder="false" applyAlignment="true" applyProtection="false">
      <alignment horizontal="general" vertical="bottom" textRotation="0" wrapText="false" indent="0" shrinkToFit="false"/>
      <protection locked="true" hidden="false"/>
    </xf>
    <xf numFmtId="167" fontId="8" fillId="0" borderId="0" xfId="0" applyFont="true" applyBorder="false" applyAlignment="true" applyProtection="false">
      <alignment horizontal="general" vertical="bottom" textRotation="0" wrapText="false" indent="0" shrinkToFit="false"/>
      <protection locked="true" hidden="false"/>
    </xf>
    <xf numFmtId="166" fontId="10"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4" fontId="13" fillId="4" borderId="0" xfId="0" applyFont="true" applyBorder="false" applyAlignment="true" applyProtection="false">
      <alignment horizontal="general" vertical="bottom" textRotation="0" wrapText="false" indent="0" shrinkToFit="false"/>
      <protection locked="true" hidden="false"/>
    </xf>
    <xf numFmtId="164" fontId="14" fillId="4" borderId="0" xfId="0" applyFont="true" applyBorder="false" applyAlignment="true" applyProtection="false">
      <alignment horizontal="general" vertical="top" textRotation="0" wrapText="true" indent="0" shrinkToFit="false"/>
      <protection locked="true" hidden="false"/>
    </xf>
    <xf numFmtId="164" fontId="15" fillId="4" borderId="0" xfId="0" applyFont="true" applyBorder="false" applyAlignment="true" applyProtection="false">
      <alignment horizontal="general" vertical="top" textRotation="0" wrapText="true" indent="0" shrinkToFit="false"/>
      <protection locked="true" hidden="false"/>
    </xf>
    <xf numFmtId="164" fontId="0" fillId="4" borderId="0" xfId="0" applyFont="fals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6" fontId="10" fillId="4" borderId="0" xfId="0" applyFont="true" applyBorder="false" applyAlignment="true" applyProtection="false">
      <alignment horizontal="general" vertical="bottom" textRotation="0" wrapText="false" indent="0" shrinkToFit="false"/>
      <protection locked="true" hidden="false"/>
    </xf>
    <xf numFmtId="167" fontId="12" fillId="0" borderId="0" xfId="0" applyFont="true" applyBorder="false" applyAlignment="true" applyProtection="false">
      <alignment horizontal="general" vertical="bottom" textRotation="0" wrapText="false" indent="0" shrinkToFit="false"/>
      <protection locked="true" hidden="false"/>
    </xf>
    <xf numFmtId="165" fontId="12"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xf numFmtId="166" fontId="16" fillId="0" borderId="0" xfId="0" applyFont="true" applyBorder="false" applyAlignment="true" applyProtection="false">
      <alignment horizontal="general" vertical="bottom" textRotation="0" wrapText="false" indent="0" shrinkToFit="false"/>
      <protection locked="true" hidden="false"/>
    </xf>
    <xf numFmtId="168" fontId="12" fillId="0"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6" fontId="17" fillId="0" borderId="0" xfId="0" applyFont="true" applyBorder="false" applyAlignment="true" applyProtection="false">
      <alignment horizontal="general" vertical="bottom" textRotation="0" wrapText="false" indent="0" shrinkToFit="false"/>
      <protection locked="true" hidden="false"/>
    </xf>
    <xf numFmtId="166" fontId="18" fillId="0" borderId="0" xfId="0" applyFont="true" applyBorder="false" applyAlignment="true" applyProtection="false">
      <alignment horizontal="general" vertical="bottom" textRotation="0" wrapText="false" indent="0" shrinkToFit="false"/>
      <protection locked="true" hidden="false"/>
    </xf>
    <xf numFmtId="166" fontId="15"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15" fillId="4" borderId="0" xfId="0" applyFont="true" applyBorder="false" applyAlignment="true" applyProtection="false">
      <alignment horizontal="general" vertical="bottom" textRotation="0" wrapText="false" indent="0" shrinkToFit="false"/>
      <protection locked="true" hidden="false"/>
    </xf>
    <xf numFmtId="166" fontId="17" fillId="4" borderId="0" xfId="0" applyFont="true" applyBorder="false" applyAlignment="true" applyProtection="false">
      <alignment horizontal="general" vertical="bottom" textRotation="0" wrapText="false" indent="0" shrinkToFit="false"/>
      <protection locked="true" hidden="false"/>
    </xf>
    <xf numFmtId="166" fontId="18" fillId="4" borderId="0" xfId="0" applyFont="true" applyBorder="false" applyAlignment="true" applyProtection="false">
      <alignment horizontal="general" vertical="bottom" textRotation="0" wrapText="false" indent="0" shrinkToFit="false"/>
      <protection locked="true" hidden="false"/>
    </xf>
    <xf numFmtId="166" fontId="15" fillId="4" borderId="0" xfId="0" applyFont="true" applyBorder="false" applyAlignment="true" applyProtection="false">
      <alignment horizontal="general" vertical="bottom" textRotation="0" wrapText="false" indent="0" shrinkToFit="false"/>
      <protection locked="true" hidden="false"/>
    </xf>
    <xf numFmtId="164" fontId="14" fillId="4" borderId="0" xfId="0" applyFont="true" applyBorder="false" applyAlignment="true" applyProtection="false">
      <alignment horizontal="general" vertical="bottom" textRotation="0" wrapText="false" indent="0" shrinkToFit="false"/>
      <protection locked="true" hidden="false"/>
    </xf>
    <xf numFmtId="167" fontId="17" fillId="4" borderId="0" xfId="0" applyFont="true" applyBorder="false" applyAlignment="true" applyProtection="false">
      <alignment horizontal="general" vertical="bottom" textRotation="0" wrapText="false" indent="0" shrinkToFit="false"/>
      <protection locked="true" hidden="false"/>
    </xf>
    <xf numFmtId="167" fontId="18" fillId="4" borderId="0" xfId="0" applyFont="true" applyBorder="false" applyAlignment="true" applyProtection="false">
      <alignment horizontal="general" vertical="bottom" textRotation="0" wrapText="false" indent="0" shrinkToFit="false"/>
      <protection locked="true" hidden="false"/>
    </xf>
    <xf numFmtId="167" fontId="15" fillId="4" borderId="0" xfId="0" applyFont="true" applyBorder="false" applyAlignment="true" applyProtection="false">
      <alignment horizontal="general" vertical="bottom" textRotation="0" wrapText="false" indent="0" shrinkToFit="false"/>
      <protection locked="true" hidden="false"/>
    </xf>
    <xf numFmtId="167" fontId="17" fillId="0" borderId="0" xfId="0" applyFont="true" applyBorder="false" applyAlignment="true" applyProtection="false">
      <alignment horizontal="general" vertical="bottom" textRotation="0" wrapText="false" indent="0" shrinkToFit="false"/>
      <protection locked="true" hidden="false"/>
    </xf>
    <xf numFmtId="167" fontId="18" fillId="0" borderId="0" xfId="0" applyFont="true" applyBorder="false" applyAlignment="true" applyProtection="false">
      <alignment horizontal="general" vertical="bottom" textRotation="0" wrapText="false" indent="0" shrinkToFit="false"/>
      <protection locked="true" hidden="false"/>
    </xf>
    <xf numFmtId="167" fontId="15" fillId="0" borderId="0" xfId="0" applyFont="true" applyBorder="false" applyAlignment="true" applyProtection="false">
      <alignment horizontal="general" vertical="bottom" textRotation="0" wrapText="false" indent="0" shrinkToFit="false"/>
      <protection locked="true" hidden="false"/>
    </xf>
    <xf numFmtId="165" fontId="17" fillId="4" borderId="0" xfId="0" applyFont="true" applyBorder="false" applyAlignment="true" applyProtection="false">
      <alignment horizontal="general" vertical="bottom" textRotation="0" wrapText="false" indent="0" shrinkToFit="false"/>
      <protection locked="true" hidden="false"/>
    </xf>
    <xf numFmtId="165" fontId="18" fillId="4" borderId="0" xfId="0" applyFont="true" applyBorder="false" applyAlignment="true" applyProtection="false">
      <alignment horizontal="general" vertical="bottom" textRotation="0" wrapText="false" indent="0" shrinkToFit="false"/>
      <protection locked="true" hidden="false"/>
    </xf>
    <xf numFmtId="165" fontId="15" fillId="4"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04"/>
  </cols>
  <sheetData>
    <row r="2" customFormat="false" ht="18"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row>
    <row r="6" customFormat="false" ht="15" hidden="false" customHeight="true" outlineLevel="0" collapsed="false">
      <c r="B6" s="5" t="s">
        <v>3</v>
      </c>
    </row>
    <row r="7" customFormat="false" ht="88.5" hidden="false" customHeight="true" outlineLevel="0" collapsed="false">
      <c r="B7" s="6" t="s">
        <v>4</v>
      </c>
    </row>
    <row r="9" customFormat="false" ht="15" hidden="false" customHeight="true" outlineLevel="0" collapsed="false">
      <c r="B9" s="5" t="s">
        <v>5</v>
      </c>
    </row>
    <row r="10" customFormat="false" ht="58.5" hidden="false" customHeight="true" outlineLevel="0" collapsed="false">
      <c r="B10" s="6" t="s">
        <v>6</v>
      </c>
    </row>
    <row r="12" customFormat="false" ht="15" hidden="false" customHeight="true" outlineLevel="0" collapsed="false">
      <c r="B12" s="5" t="s">
        <v>7</v>
      </c>
    </row>
    <row r="13" customFormat="false" ht="58.5" hidden="false" customHeight="true" outlineLevel="0" collapsed="false">
      <c r="B13" s="6" t="s">
        <v>8</v>
      </c>
    </row>
    <row r="15" customFormat="false" ht="15" hidden="false" customHeight="true" outlineLevel="0" collapsed="false">
      <c r="B15" s="5" t="s">
        <v>9</v>
      </c>
    </row>
    <row r="16" customFormat="false" ht="73.5" hidden="false" customHeight="true" outlineLevel="0" collapsed="false">
      <c r="B16" s="6" t="s">
        <v>10</v>
      </c>
    </row>
    <row r="18" customFormat="false" ht="15" hidden="false" customHeight="true" outlineLevel="0" collapsed="false">
      <c r="B18" s="5" t="s">
        <v>11</v>
      </c>
    </row>
    <row r="19" customFormat="false" ht="43.5" hidden="false" customHeight="true" outlineLevel="0" collapsed="false">
      <c r="B19" s="6" t="s">
        <v>12</v>
      </c>
    </row>
    <row r="22" customFormat="false" ht="15" hidden="false" customHeight="true" outlineLevel="0" collapsed="false">
      <c r="B22"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4"/>
    <col collapsed="false" customWidth="true" hidden="false" outlineLevel="0" max="4" min="2" style="1" width="16"/>
    <col collapsed="false" customWidth="true" hidden="false" outlineLevel="0" max="5" min="5" style="1" width="3"/>
    <col collapsed="false" customWidth="true" hidden="false" outlineLevel="0" max="6" min="6" style="1" width="52"/>
  </cols>
  <sheetData>
    <row r="1" customFormat="false" ht="17.25" hidden="false" customHeight="true" outlineLevel="0" collapsed="false">
      <c r="A1" s="7" t="s">
        <v>14</v>
      </c>
    </row>
    <row r="2" customFormat="false" ht="15" hidden="false" customHeight="true" outlineLevel="0" collapsed="false">
      <c r="A2" s="4" t="s">
        <v>15</v>
      </c>
    </row>
    <row r="4" customFormat="false" ht="15" hidden="false" customHeight="true" outlineLevel="0" collapsed="false">
      <c r="A4" s="8" t="s">
        <v>16</v>
      </c>
      <c r="B4" s="9" t="n">
        <v>0.2</v>
      </c>
      <c r="F4" s="5" t="s">
        <v>17</v>
      </c>
    </row>
    <row r="5" customFormat="false" ht="15" hidden="false" customHeight="true" outlineLevel="0" collapsed="false">
      <c r="F5" s="10" t="s">
        <v>18</v>
      </c>
    </row>
    <row r="6" customFormat="false" ht="27.75" hidden="false" customHeight="true" outlineLevel="0" collapsed="false">
      <c r="A6" s="11"/>
      <c r="B6" s="12" t="s">
        <v>19</v>
      </c>
      <c r="C6" s="12" t="s">
        <v>20</v>
      </c>
      <c r="F6" s="10"/>
    </row>
    <row r="7" customFormat="false" ht="15" hidden="false" customHeight="true" outlineLevel="0" collapsed="false">
      <c r="A7" s="8" t="s">
        <v>21</v>
      </c>
      <c r="B7" s="13" t="n">
        <v>28.2</v>
      </c>
      <c r="C7" s="13" t="n">
        <v>30.4</v>
      </c>
      <c r="F7" s="10"/>
    </row>
    <row r="8" customFormat="false" ht="15" hidden="false" customHeight="true" outlineLevel="0" collapsed="false">
      <c r="A8" s="8" t="s">
        <v>22</v>
      </c>
      <c r="B8" s="13" t="n">
        <v>15.8</v>
      </c>
      <c r="C8" s="13" t="n">
        <v>15.7</v>
      </c>
      <c r="F8" s="10"/>
    </row>
    <row r="9" customFormat="false" ht="15" hidden="false" customHeight="true" outlineLevel="0" collapsed="false">
      <c r="A9" s="8" t="s">
        <v>23</v>
      </c>
      <c r="B9" s="13" t="n">
        <v>2.1</v>
      </c>
      <c r="C9" s="13" t="n">
        <v>2.1</v>
      </c>
      <c r="F9" s="10"/>
    </row>
    <row r="10" customFormat="false" ht="15" hidden="false" customHeight="true" outlineLevel="0" collapsed="false">
      <c r="A10" s="8" t="s">
        <v>24</v>
      </c>
      <c r="B10" s="13" t="n">
        <v>1.4</v>
      </c>
      <c r="C10" s="13" t="n">
        <v>1.4</v>
      </c>
      <c r="F10" s="10"/>
    </row>
    <row r="11" customFormat="false" ht="15" hidden="false" customHeight="true" outlineLevel="0" collapsed="false">
      <c r="A11" s="8" t="s">
        <v>25</v>
      </c>
      <c r="B11" s="13" t="n">
        <v>1.2</v>
      </c>
      <c r="C11" s="13" t="n">
        <v>1.2</v>
      </c>
      <c r="F11" s="10"/>
    </row>
    <row r="12" customFormat="false" ht="15" hidden="false" customHeight="true" outlineLevel="0" collapsed="false">
      <c r="A12" s="8" t="s">
        <v>26</v>
      </c>
      <c r="B12" s="14" t="n">
        <f aca="false">SUM(B8:B11)</f>
        <v>20.5</v>
      </c>
      <c r="C12" s="14" t="n">
        <f aca="false">SUM(C8:C11)</f>
        <v>20.4</v>
      </c>
      <c r="F12" s="10"/>
    </row>
    <row r="13" customFormat="false" ht="15" hidden="false" customHeight="true" outlineLevel="0" collapsed="false">
      <c r="A13" s="8" t="s">
        <v>27</v>
      </c>
      <c r="B13" s="14" t="n">
        <f aca="false">B12*$B$4</f>
        <v>4.1</v>
      </c>
      <c r="C13" s="14" t="n">
        <f aca="false">C12*$B$4</f>
        <v>4.08</v>
      </c>
      <c r="F13" s="10"/>
    </row>
    <row r="14" customFormat="false" ht="15" hidden="false" customHeight="true" outlineLevel="0" collapsed="false">
      <c r="A14" s="15" t="s">
        <v>28</v>
      </c>
      <c r="B14" s="16" t="n">
        <f aca="false">B7-B12-B13</f>
        <v>3.6</v>
      </c>
      <c r="C14" s="16" t="n">
        <f aca="false">C7-C12-C13</f>
        <v>5.92</v>
      </c>
      <c r="F14" s="10"/>
    </row>
    <row r="15" customFormat="false" ht="15" hidden="false" customHeight="true" outlineLevel="0" collapsed="false">
      <c r="A15" s="8" t="s">
        <v>29</v>
      </c>
      <c r="B15" s="13" t="n">
        <v>7.6</v>
      </c>
      <c r="C15" s="14" t="n">
        <f aca="false">B15</f>
        <v>7.6</v>
      </c>
      <c r="F15" s="10"/>
    </row>
    <row r="16" customFormat="false" ht="15" hidden="false" customHeight="true" outlineLevel="0" collapsed="false">
      <c r="A16" s="17" t="s">
        <v>30</v>
      </c>
      <c r="B16" s="18" t="n">
        <f aca="false">B15-B14</f>
        <v>4</v>
      </c>
      <c r="C16" s="18" t="n">
        <f aca="false">C15-C14</f>
        <v>1.68</v>
      </c>
      <c r="F16" s="10"/>
    </row>
    <row r="17" customFormat="false" ht="15" hidden="false" customHeight="true" outlineLevel="0" collapsed="false">
      <c r="A17" s="4" t="s">
        <v>31</v>
      </c>
      <c r="F17" s="10"/>
    </row>
    <row r="18" customFormat="false" ht="15" hidden="false" customHeight="true" outlineLevel="0" collapsed="false">
      <c r="F18" s="10"/>
    </row>
    <row r="19" customFormat="false" ht="15" hidden="false" customHeight="true" outlineLevel="0" collapsed="false">
      <c r="A19" s="5" t="s">
        <v>32</v>
      </c>
      <c r="F19" s="10"/>
    </row>
    <row r="20" customFormat="false" ht="27.75" hidden="false" customHeight="true" outlineLevel="0" collapsed="false">
      <c r="A20" s="11"/>
      <c r="B20" s="12" t="s">
        <v>33</v>
      </c>
      <c r="C20" s="12" t="s">
        <v>34</v>
      </c>
      <c r="D20" s="12" t="s">
        <v>35</v>
      </c>
      <c r="F20" s="10"/>
    </row>
    <row r="21" customFormat="false" ht="15" hidden="false" customHeight="true" outlineLevel="0" collapsed="false">
      <c r="A21" s="8" t="s">
        <v>36</v>
      </c>
      <c r="B21" s="19" t="n">
        <v>42</v>
      </c>
      <c r="C21" s="19" t="n">
        <v>46</v>
      </c>
      <c r="D21" s="20" t="n">
        <f aca="false">C21-B21</f>
        <v>4</v>
      </c>
      <c r="F21" s="10"/>
    </row>
    <row r="22" customFormat="false" ht="15" hidden="false" customHeight="true" outlineLevel="0" collapsed="false">
      <c r="A22" s="8" t="s">
        <v>21</v>
      </c>
      <c r="B22" s="21" t="n">
        <v>28.2</v>
      </c>
      <c r="C22" s="21" t="n">
        <v>30.4</v>
      </c>
      <c r="D22" s="14" t="n">
        <f aca="false">C22-B22</f>
        <v>2.2</v>
      </c>
      <c r="F22" s="10"/>
    </row>
    <row r="23" customFormat="false" ht="15" hidden="false" customHeight="true" outlineLevel="0" collapsed="false">
      <c r="A23" s="8" t="s">
        <v>37</v>
      </c>
      <c r="B23" s="21" t="n">
        <v>1.5</v>
      </c>
      <c r="C23" s="21" t="n">
        <v>0.9</v>
      </c>
      <c r="D23" s="14" t="n">
        <f aca="false">C23-B23</f>
        <v>-0.6</v>
      </c>
      <c r="F23" s="10"/>
    </row>
    <row r="24" customFormat="false" ht="15" hidden="false" customHeight="true" outlineLevel="0" collapsed="false">
      <c r="A24" s="8" t="s">
        <v>38</v>
      </c>
      <c r="B24" s="21" t="n">
        <v>15.8</v>
      </c>
      <c r="C24" s="21" t="n">
        <v>15.7</v>
      </c>
      <c r="D24" s="14" t="n">
        <f aca="false">C24-B24</f>
        <v>-0.100000000000001</v>
      </c>
      <c r="F24" s="10"/>
    </row>
    <row r="25" customFormat="false" ht="15" hidden="false" customHeight="true" outlineLevel="0" collapsed="false">
      <c r="A25" s="8" t="s">
        <v>39</v>
      </c>
      <c r="B25" s="14" t="n">
        <f aca="false">C14</f>
        <v>5.92</v>
      </c>
      <c r="F25" s="10"/>
    </row>
    <row r="26" customFormat="false" ht="15" hidden="false" customHeight="true" outlineLevel="0" collapsed="false">
      <c r="A26" s="17" t="s">
        <v>40</v>
      </c>
      <c r="B26" s="18" t="n">
        <f aca="false">C14-B14</f>
        <v>2.32</v>
      </c>
      <c r="F26" s="10"/>
    </row>
    <row r="27" customFormat="false" ht="27.75" hidden="false" customHeight="true" outlineLevel="0" collapsed="false">
      <c r="A27" s="22" t="s">
        <v>41</v>
      </c>
      <c r="B27" s="22"/>
      <c r="C27" s="22"/>
      <c r="D27" s="22"/>
      <c r="F27" s="10"/>
    </row>
    <row r="28" customFormat="false" ht="15.75" hidden="false" customHeight="true" outlineLevel="0" collapsed="false">
      <c r="A28" s="22" t="s">
        <v>42</v>
      </c>
      <c r="B28" s="22"/>
      <c r="C28" s="22"/>
      <c r="D28" s="22"/>
      <c r="F28" s="10"/>
    </row>
    <row r="29" customFormat="false" ht="15" hidden="false" customHeight="true" outlineLevel="0" collapsed="false">
      <c r="A29" s="22"/>
      <c r="B29" s="22"/>
      <c r="C29" s="22"/>
      <c r="D29" s="22"/>
      <c r="F29" s="10"/>
    </row>
    <row r="30" customFormat="false" ht="15" hidden="false" customHeight="true" outlineLevel="0" collapsed="false">
      <c r="A30" s="22"/>
      <c r="B30" s="22"/>
      <c r="C30" s="22"/>
      <c r="D30" s="22"/>
      <c r="F30" s="10"/>
    </row>
    <row r="31" customFormat="false" ht="15" hidden="false" customHeight="true" outlineLevel="0" collapsed="false">
      <c r="A31" s="5" t="s">
        <v>43</v>
      </c>
      <c r="F31" s="10"/>
    </row>
    <row r="32" customFormat="false" ht="15" hidden="false" customHeight="true" outlineLevel="0" collapsed="false">
      <c r="A32" s="8" t="s">
        <v>44</v>
      </c>
      <c r="B32" s="14" t="n">
        <f aca="false">C14</f>
        <v>5.92</v>
      </c>
      <c r="F32" s="10"/>
    </row>
    <row r="33" customFormat="false" ht="15" hidden="false" customHeight="true" outlineLevel="0" collapsed="false">
      <c r="A33" s="8" t="s">
        <v>45</v>
      </c>
      <c r="B33" s="14" t="n">
        <f aca="false">6</f>
        <v>6</v>
      </c>
      <c r="F33" s="10"/>
    </row>
    <row r="34" customFormat="false" ht="15" hidden="false" customHeight="true" outlineLevel="0" collapsed="false">
      <c r="A34" s="8" t="s">
        <v>46</v>
      </c>
      <c r="B34" s="14" t="n">
        <f aca="false">6.4</f>
        <v>6.4</v>
      </c>
      <c r="F34" s="10"/>
    </row>
    <row r="35" customFormat="false" ht="15" hidden="false" customHeight="true" outlineLevel="0" collapsed="false">
      <c r="A35" s="8" t="s">
        <v>47</v>
      </c>
      <c r="B35" s="14" t="n">
        <f aca="false">B15</f>
        <v>7.6</v>
      </c>
    </row>
    <row r="36" customFormat="false" ht="15" hidden="false" customHeight="true" outlineLevel="0" collapsed="false">
      <c r="A36" s="17" t="s">
        <v>48</v>
      </c>
      <c r="B36" s="18" t="n">
        <f aca="false">B35-B34</f>
        <v>1.2</v>
      </c>
    </row>
    <row r="37" customFormat="false" ht="15" hidden="false" customHeight="true" outlineLevel="0" collapsed="false">
      <c r="A37" s="23" t="s">
        <v>49</v>
      </c>
      <c r="B37" s="23"/>
      <c r="C37" s="23"/>
      <c r="D37" s="23"/>
    </row>
  </sheetData>
  <mergeCells count="4">
    <mergeCell ref="F5:F34"/>
    <mergeCell ref="A27:D27"/>
    <mergeCell ref="A28:D30"/>
    <mergeCell ref="A37:D3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9"/>
    <col collapsed="false" customWidth="true" hidden="false" outlineLevel="0" max="2" min="2" style="1" width="40"/>
    <col collapsed="false" customWidth="true" hidden="false" outlineLevel="0" max="3" min="3" style="1" width="58"/>
    <col collapsed="false" customWidth="true" hidden="false" outlineLevel="0" max="5" min="4" style="1" width="14"/>
    <col collapsed="false" customWidth="true" hidden="false" outlineLevel="0" max="6" min="6" style="1" width="3"/>
    <col collapsed="false" customWidth="true" hidden="false" outlineLevel="0" max="7" min="7" style="1" width="52"/>
  </cols>
  <sheetData>
    <row r="1" customFormat="false" ht="17.25" hidden="false" customHeight="true" outlineLevel="0" collapsed="false">
      <c r="A1" s="7" t="s">
        <v>50</v>
      </c>
    </row>
    <row r="2" customFormat="false" ht="15" hidden="false" customHeight="true" outlineLevel="0" collapsed="false">
      <c r="A2" s="4" t="s">
        <v>51</v>
      </c>
    </row>
    <row r="4" customFormat="false" ht="15" hidden="false" customHeight="true" outlineLevel="0" collapsed="false">
      <c r="A4" s="5" t="s">
        <v>52</v>
      </c>
      <c r="G4" s="5" t="s">
        <v>9</v>
      </c>
    </row>
    <row r="5" customFormat="false" ht="27.75" hidden="false" customHeight="true" outlineLevel="0" collapsed="false">
      <c r="A5" s="11" t="s">
        <v>53</v>
      </c>
      <c r="B5" s="12" t="s">
        <v>54</v>
      </c>
      <c r="C5" s="12" t="s">
        <v>55</v>
      </c>
      <c r="D5" s="12" t="s">
        <v>56</v>
      </c>
      <c r="E5" s="12" t="s">
        <v>57</v>
      </c>
      <c r="G5" s="10" t="s">
        <v>58</v>
      </c>
    </row>
    <row r="6" customFormat="false" ht="33.75" hidden="false" customHeight="true" outlineLevel="0" collapsed="false">
      <c r="A6" s="24" t="n">
        <v>0</v>
      </c>
      <c r="B6" s="25" t="s">
        <v>59</v>
      </c>
      <c r="C6" s="26" t="s">
        <v>60</v>
      </c>
      <c r="D6" s="27"/>
      <c r="E6" s="27"/>
      <c r="G6" s="10"/>
    </row>
    <row r="7" customFormat="false" ht="33.75" hidden="false" customHeight="true" outlineLevel="0" collapsed="false">
      <c r="A7" s="28" t="n">
        <v>1</v>
      </c>
      <c r="B7" s="29" t="s">
        <v>61</v>
      </c>
      <c r="C7" s="30" t="s">
        <v>62</v>
      </c>
      <c r="G7" s="10"/>
    </row>
    <row r="8" customFormat="false" ht="33.75" hidden="false" customHeight="true" outlineLevel="0" collapsed="false">
      <c r="A8" s="24" t="n">
        <v>1</v>
      </c>
      <c r="B8" s="25" t="s">
        <v>63</v>
      </c>
      <c r="C8" s="26" t="s">
        <v>64</v>
      </c>
      <c r="D8" s="27"/>
      <c r="E8" s="27"/>
      <c r="G8" s="10"/>
    </row>
    <row r="9" customFormat="false" ht="33.75" hidden="false" customHeight="true" outlineLevel="0" collapsed="false">
      <c r="A9" s="28" t="n">
        <v>4</v>
      </c>
      <c r="B9" s="29" t="s">
        <v>65</v>
      </c>
      <c r="C9" s="30" t="s">
        <v>66</v>
      </c>
      <c r="G9" s="10"/>
    </row>
    <row r="10" customFormat="false" ht="33.75" hidden="false" customHeight="true" outlineLevel="0" collapsed="false">
      <c r="A10" s="24" t="n">
        <v>4</v>
      </c>
      <c r="B10" s="25" t="s">
        <v>67</v>
      </c>
      <c r="C10" s="26" t="s">
        <v>68</v>
      </c>
      <c r="D10" s="27"/>
      <c r="E10" s="27"/>
      <c r="G10" s="10"/>
    </row>
    <row r="11" customFormat="false" ht="33.75" hidden="false" customHeight="true" outlineLevel="0" collapsed="false">
      <c r="A11" s="28" t="n">
        <v>5</v>
      </c>
      <c r="B11" s="29" t="s">
        <v>69</v>
      </c>
      <c r="C11" s="30" t="s">
        <v>70</v>
      </c>
      <c r="G11" s="10"/>
    </row>
    <row r="12" customFormat="false" ht="33.75" hidden="false" customHeight="true" outlineLevel="0" collapsed="false">
      <c r="A12" s="24" t="n">
        <v>5</v>
      </c>
      <c r="B12" s="25" t="s">
        <v>71</v>
      </c>
      <c r="C12" s="26" t="s">
        <v>72</v>
      </c>
      <c r="D12" s="27"/>
      <c r="E12" s="27"/>
      <c r="G12" s="10"/>
    </row>
    <row r="13" customFormat="false" ht="33.75" hidden="false" customHeight="true" outlineLevel="0" collapsed="false">
      <c r="A13" s="28" t="n">
        <v>6</v>
      </c>
      <c r="B13" s="29" t="s">
        <v>73</v>
      </c>
      <c r="C13" s="30" t="s">
        <v>74</v>
      </c>
      <c r="G13" s="10"/>
    </row>
    <row r="14" customFormat="false" ht="33.75" hidden="false" customHeight="true" outlineLevel="0" collapsed="false">
      <c r="A14" s="24" t="n">
        <v>13</v>
      </c>
      <c r="B14" s="25" t="s">
        <v>75</v>
      </c>
      <c r="C14" s="26" t="s">
        <v>76</v>
      </c>
      <c r="D14" s="27"/>
      <c r="E14" s="27"/>
      <c r="G14" s="10"/>
    </row>
    <row r="15" customFormat="false" ht="33.75" hidden="false" customHeight="true" outlineLevel="0" collapsed="false">
      <c r="A15" s="28" t="n">
        <v>14</v>
      </c>
      <c r="B15" s="29" t="s">
        <v>77</v>
      </c>
      <c r="C15" s="30" t="s">
        <v>78</v>
      </c>
      <c r="D15" s="21" t="n">
        <v>6.4</v>
      </c>
      <c r="G15" s="10"/>
    </row>
    <row r="16" customFormat="false" ht="33.75" hidden="false" customHeight="true" outlineLevel="0" collapsed="false">
      <c r="A16" s="24" t="n">
        <v>16</v>
      </c>
      <c r="B16" s="25" t="s">
        <v>79</v>
      </c>
      <c r="C16" s="26" t="s">
        <v>80</v>
      </c>
      <c r="D16" s="27"/>
      <c r="E16" s="27"/>
      <c r="G16" s="10"/>
    </row>
    <row r="17" customFormat="false" ht="33.75" hidden="false" customHeight="true" outlineLevel="0" collapsed="false">
      <c r="A17" s="28" t="n">
        <v>15</v>
      </c>
      <c r="B17" s="29" t="s">
        <v>81</v>
      </c>
      <c r="C17" s="30" t="s">
        <v>82</v>
      </c>
      <c r="G17" s="10"/>
    </row>
    <row r="18" customFormat="false" ht="33.75" hidden="false" customHeight="true" outlineLevel="0" collapsed="false">
      <c r="A18" s="24" t="n">
        <v>17</v>
      </c>
      <c r="B18" s="25" t="s">
        <v>83</v>
      </c>
      <c r="C18" s="26" t="s">
        <v>84</v>
      </c>
      <c r="D18" s="31" t="n">
        <v>15.6</v>
      </c>
      <c r="E18" s="27"/>
      <c r="G18" s="10"/>
    </row>
    <row r="19" customFormat="false" ht="33.75" hidden="false" customHeight="true" outlineLevel="0" collapsed="false">
      <c r="A19" s="28" t="n">
        <v>17</v>
      </c>
      <c r="B19" s="29" t="s">
        <v>85</v>
      </c>
      <c r="C19" s="30" t="s">
        <v>86</v>
      </c>
      <c r="G19" s="10"/>
    </row>
    <row r="20" customFormat="false" ht="33.75" hidden="false" customHeight="true" outlineLevel="0" collapsed="false">
      <c r="A20" s="24" t="n">
        <v>21</v>
      </c>
      <c r="B20" s="25" t="s">
        <v>87</v>
      </c>
      <c r="C20" s="26" t="s">
        <v>88</v>
      </c>
      <c r="D20" s="31" t="n">
        <v>0.15</v>
      </c>
      <c r="E20" s="31" t="n">
        <v>0.15</v>
      </c>
      <c r="G20" s="10"/>
    </row>
    <row r="21" customFormat="false" ht="33.75" hidden="false" customHeight="true" outlineLevel="0" collapsed="false">
      <c r="A21" s="28" t="n">
        <v>24</v>
      </c>
      <c r="B21" s="29" t="s">
        <v>89</v>
      </c>
      <c r="C21" s="30" t="s">
        <v>90</v>
      </c>
      <c r="G21" s="10"/>
    </row>
    <row r="22" customFormat="false" ht="33.75" hidden="false" customHeight="true" outlineLevel="0" collapsed="false">
      <c r="A22" s="24" t="n">
        <v>27</v>
      </c>
      <c r="B22" s="25" t="s">
        <v>91</v>
      </c>
      <c r="C22" s="26" t="s">
        <v>92</v>
      </c>
      <c r="D22" s="27"/>
      <c r="E22" s="27"/>
      <c r="G22" s="10"/>
    </row>
    <row r="23" customFormat="false" ht="33.75" hidden="false" customHeight="true" outlineLevel="0" collapsed="false">
      <c r="A23" s="28" t="n">
        <v>30</v>
      </c>
      <c r="B23" s="29" t="s">
        <v>93</v>
      </c>
      <c r="C23" s="30" t="s">
        <v>94</v>
      </c>
      <c r="G23" s="10"/>
    </row>
    <row r="24" customFormat="false" ht="33.75" hidden="false" customHeight="true" outlineLevel="0" collapsed="false">
      <c r="A24" s="24" t="n">
        <v>33</v>
      </c>
      <c r="B24" s="25" t="s">
        <v>95</v>
      </c>
      <c r="C24" s="26" t="s">
        <v>96</v>
      </c>
      <c r="D24" s="31" t="n">
        <v>0.35</v>
      </c>
      <c r="E24" s="31" t="n">
        <v>0.35</v>
      </c>
      <c r="G24" s="10"/>
    </row>
    <row r="25" customFormat="false" ht="33.75" hidden="false" customHeight="true" outlineLevel="0" collapsed="false">
      <c r="A25" s="28" t="n">
        <v>37</v>
      </c>
      <c r="B25" s="29" t="s">
        <v>97</v>
      </c>
      <c r="C25" s="30" t="s">
        <v>98</v>
      </c>
      <c r="G25" s="10"/>
    </row>
    <row r="26" customFormat="false" ht="33.75" hidden="false" customHeight="true" outlineLevel="0" collapsed="false">
      <c r="A26" s="24" t="n">
        <v>41</v>
      </c>
      <c r="B26" s="25" t="s">
        <v>99</v>
      </c>
      <c r="C26" s="26" t="s">
        <v>100</v>
      </c>
      <c r="D26" s="27"/>
      <c r="E26" s="27"/>
      <c r="G26" s="10"/>
    </row>
    <row r="27" customFormat="false" ht="33.75" hidden="false" customHeight="true" outlineLevel="0" collapsed="false">
      <c r="A27" s="28" t="n">
        <v>46</v>
      </c>
      <c r="B27" s="29" t="s">
        <v>101</v>
      </c>
      <c r="C27" s="30" t="s">
        <v>102</v>
      </c>
      <c r="G27" s="10"/>
    </row>
    <row r="28" customFormat="false" ht="15" hidden="false" customHeight="true" outlineLevel="0" collapsed="false">
      <c r="G28" s="10"/>
    </row>
    <row r="29" customFormat="false" ht="15" hidden="false" customHeight="true" outlineLevel="0" collapsed="false">
      <c r="B29" s="17" t="s">
        <v>103</v>
      </c>
      <c r="E29" s="18" t="n">
        <f aca="false">SUM(E6:E27)</f>
        <v>0.5</v>
      </c>
      <c r="G29" s="10"/>
    </row>
    <row r="30" customFormat="false" ht="15" hidden="false" customHeight="true" outlineLevel="0" collapsed="false">
      <c r="B30" s="8" t="s">
        <v>104</v>
      </c>
      <c r="E30" s="13" t="n">
        <v>0.8</v>
      </c>
      <c r="G30" s="10"/>
    </row>
    <row r="31" customFormat="false" ht="15" hidden="false" customHeight="true" outlineLevel="0" collapsed="false">
      <c r="B31" s="17" t="s">
        <v>105</v>
      </c>
      <c r="E31" s="18" t="n">
        <f aca="false">E30-E29</f>
        <v>0.3</v>
      </c>
      <c r="G31" s="10"/>
    </row>
    <row r="32" customFormat="false" ht="15" hidden="false" customHeight="true" outlineLevel="0" collapsed="false">
      <c r="B32" s="8" t="s">
        <v>106</v>
      </c>
      <c r="E32" s="21" t="n">
        <v>0.28</v>
      </c>
      <c r="G32" s="10"/>
    </row>
    <row r="33" customFormat="false" ht="15" hidden="false" customHeight="true" outlineLevel="0" collapsed="false">
      <c r="B33" s="8" t="s">
        <v>107</v>
      </c>
      <c r="E33" s="18" t="n">
        <f aca="false">E30-E29-E32</f>
        <v>0.02</v>
      </c>
    </row>
    <row r="34" customFormat="false" ht="15" hidden="false" customHeight="false" outlineLevel="0" collapsed="false">
      <c r="B34" s="8" t="s">
        <v>108</v>
      </c>
      <c r="E34" s="18" t="str">
        <f aca="false">IF(E33&gt;=0,"yes, with "&amp;TEXT(E33,"0.00")&amp;" to spare","no: an equity call")</f>
        <v>yes, with 0.02 to spare</v>
      </c>
    </row>
    <row r="35" customFormat="false" ht="15" hidden="false" customHeight="true" outlineLevel="0" collapsed="false">
      <c r="A35" s="5" t="s">
        <v>109</v>
      </c>
    </row>
    <row r="36" customFormat="false" ht="15" hidden="false" customHeight="true" outlineLevel="0" collapsed="false">
      <c r="B36" s="8" t="s">
        <v>75</v>
      </c>
      <c r="E36" s="19" t="n">
        <v>13</v>
      </c>
    </row>
    <row r="37" customFormat="false" ht="15" hidden="false" customHeight="true" outlineLevel="0" collapsed="false">
      <c r="B37" s="8" t="s">
        <v>110</v>
      </c>
      <c r="E37" s="19" t="n">
        <v>16</v>
      </c>
    </row>
    <row r="38" customFormat="false" ht="15" hidden="false" customHeight="true" outlineLevel="0" collapsed="false">
      <c r="B38" s="8" t="s">
        <v>111</v>
      </c>
      <c r="E38" s="32" t="n">
        <f aca="false">E37-E36</f>
        <v>3</v>
      </c>
    </row>
    <row r="39" customFormat="false" ht="15" hidden="false" customHeight="true" outlineLevel="0" collapsed="false">
      <c r="B39" s="8" t="s">
        <v>112</v>
      </c>
      <c r="E39" s="19" t="n">
        <v>36</v>
      </c>
    </row>
    <row r="40" customFormat="false" ht="15" hidden="false" customHeight="true" outlineLevel="0" collapsed="false">
      <c r="B40" s="8" t="s">
        <v>113</v>
      </c>
      <c r="E40" s="19" t="n">
        <v>37</v>
      </c>
    </row>
    <row r="41" customFormat="false" ht="15" hidden="false" customHeight="true" outlineLevel="0" collapsed="false">
      <c r="B41" s="8" t="s">
        <v>114</v>
      </c>
      <c r="E41" s="32" t="n">
        <f aca="false">E40-E39</f>
        <v>1</v>
      </c>
    </row>
  </sheetData>
  <mergeCells count="1">
    <mergeCell ref="G5:G3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6"/>
    <col collapsed="false" customWidth="true" hidden="false" outlineLevel="0" max="4" min="2" style="1" width="16"/>
    <col collapsed="false" customWidth="true" hidden="false" outlineLevel="0" max="5" min="5" style="1" width="3"/>
    <col collapsed="false" customWidth="true" hidden="false" outlineLevel="0" max="6" min="6" style="1" width="52"/>
  </cols>
  <sheetData>
    <row r="1" customFormat="false" ht="17.25" hidden="false" customHeight="true" outlineLevel="0" collapsed="false">
      <c r="A1" s="7" t="s">
        <v>115</v>
      </c>
    </row>
    <row r="2" customFormat="false" ht="15" hidden="false" customHeight="true" outlineLevel="0" collapsed="false">
      <c r="A2" s="4" t="s">
        <v>116</v>
      </c>
    </row>
    <row r="4" customFormat="false" ht="15" hidden="false" customHeight="true" outlineLevel="0" collapsed="false">
      <c r="A4" s="5" t="s">
        <v>117</v>
      </c>
      <c r="F4" s="5" t="s">
        <v>118</v>
      </c>
    </row>
    <row r="5" customFormat="false" ht="27.75" hidden="false" customHeight="true" outlineLevel="0" collapsed="false">
      <c r="A5" s="11"/>
      <c r="B5" s="12" t="s">
        <v>119</v>
      </c>
      <c r="C5" s="12" t="s">
        <v>120</v>
      </c>
      <c r="D5" s="12" t="s">
        <v>35</v>
      </c>
      <c r="F5" s="10" t="s">
        <v>121</v>
      </c>
    </row>
    <row r="6" customFormat="false" ht="15" hidden="false" customHeight="true" outlineLevel="0" collapsed="false">
      <c r="A6" s="8" t="s">
        <v>21</v>
      </c>
      <c r="B6" s="13" t="n">
        <v>30.4</v>
      </c>
      <c r="C6" s="13" t="n">
        <v>30.1</v>
      </c>
      <c r="D6" s="14" t="n">
        <f aca="false">C6-B6</f>
        <v>-0.299999999999997</v>
      </c>
      <c r="F6" s="10"/>
    </row>
    <row r="7" customFormat="false" ht="15" hidden="false" customHeight="true" outlineLevel="0" collapsed="false">
      <c r="A7" s="8" t="s">
        <v>122</v>
      </c>
      <c r="B7" s="13" t="n">
        <v>26.1</v>
      </c>
      <c r="C7" s="13" t="n">
        <v>26.5</v>
      </c>
      <c r="D7" s="14" t="n">
        <f aca="false">C7-B7</f>
        <v>0.399999999999999</v>
      </c>
      <c r="F7" s="10"/>
    </row>
    <row r="8" customFormat="false" ht="15" hidden="false" customHeight="true" outlineLevel="0" collapsed="false">
      <c r="A8" s="15" t="s">
        <v>123</v>
      </c>
      <c r="B8" s="16" t="n">
        <f aca="false">B6-B7</f>
        <v>4.3</v>
      </c>
      <c r="C8" s="16" t="n">
        <f aca="false">C6-C7</f>
        <v>3.6</v>
      </c>
      <c r="D8" s="16" t="n">
        <f aca="false">C8-B8</f>
        <v>-0.699999999999996</v>
      </c>
      <c r="F8" s="10"/>
    </row>
    <row r="9" customFormat="false" ht="15" hidden="false" customHeight="true" outlineLevel="0" collapsed="false">
      <c r="A9" s="17" t="s">
        <v>124</v>
      </c>
      <c r="B9" s="33" t="n">
        <f aca="false">B8/B7</f>
        <v>0.164750957854406</v>
      </c>
      <c r="C9" s="33" t="n">
        <f aca="false">C8/C7</f>
        <v>0.135849056603774</v>
      </c>
      <c r="F9" s="10"/>
    </row>
    <row r="10" customFormat="false" ht="15" hidden="false" customHeight="true" outlineLevel="0" collapsed="false">
      <c r="A10" s="8" t="s">
        <v>125</v>
      </c>
      <c r="B10" s="34" t="n">
        <f aca="false">B8/B6</f>
        <v>0.141447368421053</v>
      </c>
      <c r="C10" s="34" t="n">
        <f aca="false">C8/C6</f>
        <v>0.119601328903655</v>
      </c>
      <c r="F10" s="10"/>
    </row>
    <row r="11" customFormat="false" ht="15" hidden="false" customHeight="true" outlineLevel="0" collapsed="false">
      <c r="A11" s="8" t="s">
        <v>126</v>
      </c>
      <c r="B11" s="9" t="n">
        <v>0.2</v>
      </c>
      <c r="F11" s="10"/>
    </row>
    <row r="12" customFormat="false" ht="15" hidden="false" customHeight="true" outlineLevel="0" collapsed="false">
      <c r="A12" s="22" t="s">
        <v>127</v>
      </c>
      <c r="B12" s="22"/>
      <c r="C12" s="22"/>
      <c r="D12" s="22"/>
      <c r="F12" s="10"/>
    </row>
    <row r="13" customFormat="false" ht="15" hidden="false" customHeight="true" outlineLevel="0" collapsed="false">
      <c r="A13" s="22"/>
      <c r="B13" s="22"/>
      <c r="C13" s="22"/>
      <c r="D13" s="22"/>
      <c r="F13" s="10"/>
    </row>
    <row r="14" customFormat="false" ht="15" hidden="false" customHeight="true" outlineLevel="0" collapsed="false">
      <c r="A14" s="22"/>
      <c r="B14" s="22"/>
      <c r="C14" s="22"/>
      <c r="D14" s="22"/>
      <c r="F14" s="10"/>
    </row>
    <row r="15" customFormat="false" ht="15" hidden="false" customHeight="true" outlineLevel="0" collapsed="false">
      <c r="F15" s="10"/>
    </row>
    <row r="16" customFormat="false" ht="15" hidden="false" customHeight="true" outlineLevel="0" collapsed="false">
      <c r="A16" s="5" t="s">
        <v>128</v>
      </c>
      <c r="F16" s="10"/>
    </row>
    <row r="17" customFormat="false" ht="15" hidden="false" customHeight="true" outlineLevel="0" collapsed="false">
      <c r="A17" s="4" t="s">
        <v>129</v>
      </c>
      <c r="F17" s="10"/>
    </row>
    <row r="18" customFormat="false" ht="27.75" hidden="false" customHeight="true" outlineLevel="0" collapsed="false">
      <c r="A18" s="11"/>
      <c r="B18" s="12" t="s">
        <v>130</v>
      </c>
      <c r="C18" s="12" t="s">
        <v>131</v>
      </c>
      <c r="F18" s="10"/>
    </row>
    <row r="19" customFormat="false" ht="15" hidden="false" customHeight="true" outlineLevel="0" collapsed="false">
      <c r="A19" s="8" t="s">
        <v>132</v>
      </c>
      <c r="C19" s="14" t="n">
        <f aca="false">B8</f>
        <v>4.3</v>
      </c>
      <c r="F19" s="10"/>
    </row>
    <row r="20" customFormat="false" ht="15" hidden="false" customHeight="true" outlineLevel="0" collapsed="false">
      <c r="A20" s="8" t="s">
        <v>133</v>
      </c>
      <c r="B20" s="13" t="n">
        <f aca="false">-'Month 5 and the interrogation'!C7/'Month 5 and the interrogation'!C21</f>
        <v>-0.660869565217391</v>
      </c>
      <c r="C20" s="14" t="n">
        <f aca="false">C19+B20</f>
        <v>3.63913043478261</v>
      </c>
      <c r="F20" s="10"/>
    </row>
    <row r="21" customFormat="false" ht="15" hidden="false" customHeight="true" outlineLevel="0" collapsed="false">
      <c r="A21" s="8" t="s">
        <v>134</v>
      </c>
      <c r="B21" s="13" t="n">
        <f aca="false">D6-B20</f>
        <v>0.360869565217394</v>
      </c>
      <c r="C21" s="14" t="n">
        <f aca="false">C20+B21</f>
        <v>4</v>
      </c>
      <c r="F21" s="10"/>
    </row>
    <row r="22" customFormat="false" ht="15" hidden="false" customHeight="true" outlineLevel="0" collapsed="false">
      <c r="A22" s="8" t="s">
        <v>135</v>
      </c>
      <c r="B22" s="13" t="n">
        <f aca="false">-'Timeline and changes'!E24</f>
        <v>-0.35</v>
      </c>
      <c r="C22" s="14" t="n">
        <f aca="false">C21+B22</f>
        <v>3.65</v>
      </c>
      <c r="F22" s="10"/>
    </row>
    <row r="23" customFormat="false" ht="15" hidden="false" customHeight="true" outlineLevel="0" collapsed="false">
      <c r="A23" s="8" t="s">
        <v>136</v>
      </c>
      <c r="B23" s="13" t="n">
        <f aca="false">-'Timeline and changes'!E20</f>
        <v>-0.15</v>
      </c>
      <c r="C23" s="14" t="n">
        <f aca="false">C22+B23</f>
        <v>3.5</v>
      </c>
      <c r="F23" s="10"/>
    </row>
    <row r="24" customFormat="false" ht="15" hidden="false" customHeight="true" outlineLevel="0" collapsed="false">
      <c r="A24" s="8" t="s">
        <v>137</v>
      </c>
      <c r="B24" s="13" t="n">
        <f aca="false">-D7-B22-B23</f>
        <v>0.100000000000001</v>
      </c>
      <c r="C24" s="14" t="n">
        <f aca="false">C23+B24</f>
        <v>3.6</v>
      </c>
      <c r="F24" s="10"/>
    </row>
    <row r="25" customFormat="false" ht="15" hidden="false" customHeight="true" outlineLevel="0" collapsed="false">
      <c r="A25" s="8" t="s">
        <v>138</v>
      </c>
      <c r="C25" s="14" t="n">
        <f aca="false">C24</f>
        <v>3.6</v>
      </c>
      <c r="F25" s="10"/>
    </row>
    <row r="26" customFormat="false" ht="15" hidden="false" customHeight="true" outlineLevel="0" collapsed="false">
      <c r="A26" s="8" t="s">
        <v>139</v>
      </c>
      <c r="C26" s="14" t="n">
        <f aca="false">C8-C25</f>
        <v>0</v>
      </c>
      <c r="F26" s="10"/>
    </row>
    <row r="27" customFormat="false" ht="15" hidden="false" customHeight="true" outlineLevel="0" collapsed="false">
      <c r="A27" s="35" t="s">
        <v>140</v>
      </c>
      <c r="B27" s="35"/>
      <c r="C27" s="35"/>
      <c r="D27" s="35"/>
      <c r="F27" s="10"/>
    </row>
    <row r="28" customFormat="false" ht="15" hidden="false" customHeight="true" outlineLevel="0" collapsed="false">
      <c r="A28" s="35"/>
      <c r="B28" s="35"/>
      <c r="C28" s="35"/>
      <c r="D28" s="35"/>
      <c r="F28" s="10"/>
    </row>
    <row r="29" customFormat="false" ht="15" hidden="false" customHeight="true" outlineLevel="0" collapsed="false">
      <c r="A29" s="35"/>
      <c r="B29" s="35"/>
      <c r="C29" s="35"/>
      <c r="D29" s="35"/>
      <c r="F29" s="10"/>
    </row>
    <row r="30" customFormat="false" ht="15" hidden="false" customHeight="true" outlineLevel="0" collapsed="false">
      <c r="A30" s="5" t="s">
        <v>141</v>
      </c>
      <c r="F30" s="10"/>
    </row>
    <row r="31" customFormat="false" ht="15" hidden="false" customHeight="true" outlineLevel="0" collapsed="false">
      <c r="A31" s="8" t="s">
        <v>142</v>
      </c>
      <c r="B31" s="36" t="n">
        <f aca="false">'Month 5 and the interrogation'!B15</f>
        <v>7.6</v>
      </c>
    </row>
    <row r="32" customFormat="false" ht="15" hidden="false" customHeight="true" outlineLevel="0" collapsed="false">
      <c r="A32" s="8" t="s">
        <v>143</v>
      </c>
      <c r="B32" s="36" t="n">
        <f aca="false">'Month 5 and the interrogation'!B34</f>
        <v>6.4</v>
      </c>
    </row>
    <row r="33" customFormat="false" ht="15" hidden="false" customHeight="true" outlineLevel="0" collapsed="false">
      <c r="A33" s="17" t="s">
        <v>144</v>
      </c>
      <c r="B33" s="18" t="n">
        <f aca="false">B31-B32</f>
        <v>1.2</v>
      </c>
    </row>
    <row r="34" customFormat="false" ht="15" hidden="false" customHeight="true" outlineLevel="0" collapsed="false">
      <c r="A34" s="8" t="s">
        <v>138</v>
      </c>
      <c r="B34" s="14" t="n">
        <f aca="false">C8</f>
        <v>3.6</v>
      </c>
    </row>
    <row r="35" customFormat="false" ht="15" hidden="false" customHeight="true" outlineLevel="0" collapsed="false">
      <c r="A35" s="17" t="s">
        <v>145</v>
      </c>
      <c r="B35" s="18" t="n">
        <f aca="false">B34-B33</f>
        <v>2.4</v>
      </c>
    </row>
    <row r="36" customFormat="false" ht="15" hidden="false" customHeight="true" outlineLevel="0" collapsed="false">
      <c r="A36" s="8" t="s">
        <v>146</v>
      </c>
      <c r="B36" s="34" t="n">
        <f aca="false">B35/(C7+B33)</f>
        <v>0.0866425992779784</v>
      </c>
    </row>
    <row r="37" customFormat="false" ht="15" hidden="false" customHeight="true" outlineLevel="0" collapsed="false">
      <c r="A37" s="23" t="s">
        <v>147</v>
      </c>
      <c r="B37" s="23"/>
      <c r="C37" s="23"/>
      <c r="D37" s="23"/>
    </row>
    <row r="39" customFormat="false" ht="15" hidden="false" customHeight="false" outlineLevel="0" collapsed="false">
      <c r="A39" s="5" t="s">
        <v>148</v>
      </c>
    </row>
    <row r="40" customFormat="false" ht="15" hidden="false" customHeight="false" outlineLevel="0" collapsed="false">
      <c r="A40" s="17" t="s">
        <v>149</v>
      </c>
      <c r="B40" s="18" t="n">
        <f aca="false">('Month 5 and the interrogation'!C7-5.9)/(1+'Month 5 and the interrogation'!B4)</f>
        <v>20.4166666666667</v>
      </c>
    </row>
    <row r="41" customFormat="false" ht="15" hidden="false" customHeight="false" outlineLevel="0" collapsed="false">
      <c r="A41" s="17" t="s">
        <v>150</v>
      </c>
      <c r="B41" s="18" t="n">
        <f aca="false">'Month 5 and the interrogation'!C7-B40-B32</f>
        <v>3.58333333333333</v>
      </c>
    </row>
    <row r="42" customFormat="false" ht="15" hidden="false" customHeight="false" outlineLevel="0" collapsed="false">
      <c r="A42" s="17" t="s">
        <v>151</v>
      </c>
      <c r="B42" s="37" t="n">
        <f aca="false">B41/B40</f>
        <v>0.175510204081633</v>
      </c>
    </row>
    <row r="43" customFormat="false" ht="15" hidden="false" customHeight="false" outlineLevel="0" collapsed="false">
      <c r="A43" s="17" t="s">
        <v>152</v>
      </c>
      <c r="B43" s="18" t="n">
        <f aca="false">'Timeline and changes'!D18+'Month 5 and the interrogation'!C9+'Month 5 and the interrogation'!C10+'Month 5 and the interrogation'!C11</f>
        <v>20.3</v>
      </c>
    </row>
    <row r="44" customFormat="false" ht="15" hidden="false" customHeight="false" outlineLevel="0" collapsed="false">
      <c r="A44" s="17" t="s">
        <v>153</v>
      </c>
      <c r="B44" s="18" t="n">
        <f aca="false">B7-B32</f>
        <v>19.7</v>
      </c>
    </row>
    <row r="45" customFormat="false" ht="15" hidden="false" customHeight="false" outlineLevel="0" collapsed="false">
      <c r="A45" s="17" t="s">
        <v>154</v>
      </c>
      <c r="B45" s="18" t="n">
        <f aca="false">B43-B44</f>
        <v>0.599999999999994</v>
      </c>
    </row>
    <row r="46" customFormat="false" ht="15" hidden="false" customHeight="false" outlineLevel="0" collapsed="false">
      <c r="A46" s="17" t="s">
        <v>155</v>
      </c>
      <c r="B46" s="37" t="n">
        <f aca="false">C8/(C7-B32)</f>
        <v>0.17910447761194</v>
      </c>
    </row>
    <row r="47" customFormat="false" ht="15" hidden="false" customHeight="false" outlineLevel="0" collapsed="false">
      <c r="A47" s="17" t="s">
        <v>156</v>
      </c>
      <c r="B47" s="37" t="n">
        <f aca="false">C9</f>
        <v>0.135849056603774</v>
      </c>
    </row>
    <row r="48" customFormat="false" ht="15" hidden="false" customHeight="true" outlineLevel="0" collapsed="false">
      <c r="A48" s="22" t="s">
        <v>157</v>
      </c>
      <c r="B48" s="22"/>
      <c r="C48" s="22"/>
      <c r="D48" s="22"/>
    </row>
    <row r="49" customFormat="false" ht="15" hidden="false" customHeight="false" outlineLevel="0" collapsed="false">
      <c r="A49" s="22"/>
      <c r="B49" s="22"/>
      <c r="C49" s="22"/>
      <c r="D49" s="22"/>
    </row>
    <row r="50" customFormat="false" ht="15" hidden="false" customHeight="false" outlineLevel="0" collapsed="false">
      <c r="A50" s="22"/>
      <c r="B50" s="22"/>
      <c r="C50" s="22"/>
      <c r="D50" s="22"/>
    </row>
    <row r="51" customFormat="false" ht="15" hidden="false" customHeight="false" outlineLevel="0" collapsed="false">
      <c r="A51" s="22"/>
      <c r="B51" s="22"/>
      <c r="C51" s="22"/>
      <c r="D51" s="22"/>
    </row>
  </sheetData>
  <mergeCells count="5">
    <mergeCell ref="F5:F30"/>
    <mergeCell ref="A12:D14"/>
    <mergeCell ref="A27:D29"/>
    <mergeCell ref="A37:D37"/>
    <mergeCell ref="A48:D5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3"/>
    <col collapsed="false" customWidth="true" hidden="false" outlineLevel="0" max="2" min="2" style="1" width="56"/>
    <col collapsed="false" customWidth="true" hidden="false" outlineLevel="0" max="4" min="3" style="1" width="16"/>
    <col collapsed="false" customWidth="true" hidden="false" outlineLevel="0" max="6" min="5" style="1" width="13"/>
    <col collapsed="false" customWidth="true" hidden="false" outlineLevel="0" max="7" min="7" style="1" width="3"/>
    <col collapsed="false" customWidth="true" hidden="false" outlineLevel="0" max="8" min="8" style="1" width="46"/>
  </cols>
  <sheetData>
    <row r="1" customFormat="false" ht="17.25" hidden="false" customHeight="true" outlineLevel="0" collapsed="false">
      <c r="A1" s="7" t="s">
        <v>158</v>
      </c>
    </row>
    <row r="2" customFormat="false" ht="15" hidden="false" customHeight="true" outlineLevel="0" collapsed="false">
      <c r="A2" s="4" t="s">
        <v>159</v>
      </c>
    </row>
    <row r="4" customFormat="false" ht="27.75" hidden="false" customHeight="true" outlineLevel="0" collapsed="false">
      <c r="A4" s="11" t="s">
        <v>160</v>
      </c>
      <c r="B4" s="12" t="s">
        <v>161</v>
      </c>
      <c r="C4" s="12" t="s">
        <v>162</v>
      </c>
      <c r="D4" s="12" t="s">
        <v>163</v>
      </c>
      <c r="E4" s="12" t="s">
        <v>164</v>
      </c>
      <c r="F4" s="12" t="s">
        <v>165</v>
      </c>
      <c r="H4" s="5" t="s">
        <v>166</v>
      </c>
    </row>
    <row r="5" customFormat="false" ht="15" hidden="false" customHeight="true" outlineLevel="0" collapsed="false">
      <c r="A5" s="28" t="s">
        <v>167</v>
      </c>
      <c r="B5" s="38" t="s">
        <v>168</v>
      </c>
      <c r="C5" s="39" t="n">
        <v>20.5</v>
      </c>
      <c r="D5" s="40" t="n">
        <f aca="false">'Month 5 and the interrogation'!B12</f>
        <v>20.5</v>
      </c>
      <c r="E5" s="41" t="n">
        <f aca="false">D5-C5</f>
        <v>0</v>
      </c>
      <c r="F5" s="42" t="str">
        <f aca="false">IF(ABS(E5)&lt;=0.006,"reproduced",IF(ABS(E5)&lt;=0.006*5,"rounding","CHECK"))</f>
        <v>reproduced</v>
      </c>
      <c r="H5" s="10" t="s">
        <v>169</v>
      </c>
    </row>
    <row r="6" customFormat="false" ht="15" hidden="false" customHeight="true" outlineLevel="0" collapsed="false">
      <c r="A6" s="24" t="s">
        <v>167</v>
      </c>
      <c r="B6" s="43" t="s">
        <v>170</v>
      </c>
      <c r="C6" s="44" t="n">
        <v>4.1</v>
      </c>
      <c r="D6" s="45" t="n">
        <f aca="false">'Month 5 and the interrogation'!B13</f>
        <v>4.1</v>
      </c>
      <c r="E6" s="46" t="n">
        <f aca="false">D6-C6</f>
        <v>0</v>
      </c>
      <c r="F6" s="47" t="str">
        <f aca="false">IF(ABS(E6)&lt;=0.006,"reproduced",IF(ABS(E6)&lt;=0.006*5,"rounding","CHECK"))</f>
        <v>reproduced</v>
      </c>
      <c r="H6" s="10"/>
    </row>
    <row r="7" customFormat="false" ht="15" hidden="false" customHeight="true" outlineLevel="0" collapsed="false">
      <c r="A7" s="28" t="s">
        <v>167</v>
      </c>
      <c r="B7" s="38" t="s">
        <v>171</v>
      </c>
      <c r="C7" s="39" t="n">
        <v>3.6</v>
      </c>
      <c r="D7" s="40" t="n">
        <f aca="false">'Month 5 and the interrogation'!B14</f>
        <v>3.6</v>
      </c>
      <c r="E7" s="41" t="n">
        <f aca="false">D7-C7</f>
        <v>0</v>
      </c>
      <c r="F7" s="42" t="str">
        <f aca="false">IF(ABS(E7)&lt;=0.006,"reproduced",IF(ABS(E7)&lt;=0.006*5,"rounding","CHECK"))</f>
        <v>reproduced</v>
      </c>
      <c r="H7" s="10"/>
    </row>
    <row r="8" customFormat="false" ht="15" hidden="false" customHeight="true" outlineLevel="0" collapsed="false">
      <c r="A8" s="24" t="s">
        <v>167</v>
      </c>
      <c r="B8" s="43" t="s">
        <v>172</v>
      </c>
      <c r="C8" s="44" t="n">
        <v>30.4</v>
      </c>
      <c r="D8" s="45" t="n">
        <f aca="false">'Month 5 and the interrogation'!C7</f>
        <v>30.4</v>
      </c>
      <c r="E8" s="46" t="n">
        <f aca="false">D8-C8</f>
        <v>0</v>
      </c>
      <c r="F8" s="47" t="str">
        <f aca="false">IF(ABS(E8)&lt;=0.006,"reproduced",IF(ABS(E8)&lt;=0.006*5,"rounding","CHECK"))</f>
        <v>reproduced</v>
      </c>
      <c r="H8" s="10"/>
    </row>
    <row r="9" customFormat="false" ht="15" hidden="false" customHeight="true" outlineLevel="0" collapsed="false">
      <c r="A9" s="28" t="s">
        <v>167</v>
      </c>
      <c r="B9" s="38" t="s">
        <v>173</v>
      </c>
      <c r="C9" s="39" t="n">
        <v>5.9</v>
      </c>
      <c r="D9" s="40" t="n">
        <f aca="false">'Month 5 and the interrogation'!C14</f>
        <v>5.92</v>
      </c>
      <c r="E9" s="41" t="n">
        <f aca="false">D9-C9</f>
        <v>0.0199999999999996</v>
      </c>
      <c r="F9" s="42" t="str">
        <f aca="false">IF(ABS(E9)&lt;=0.03,"reproduced",IF(ABS(E9)&lt;=0.03*5,"rounding","CHECK"))</f>
        <v>reproduced</v>
      </c>
      <c r="H9" s="10"/>
    </row>
    <row r="10" customFormat="false" ht="15" hidden="false" customHeight="true" outlineLevel="0" collapsed="false">
      <c r="A10" s="24" t="s">
        <v>167</v>
      </c>
      <c r="B10" s="43" t="s">
        <v>174</v>
      </c>
      <c r="C10" s="44" t="n">
        <v>6.4</v>
      </c>
      <c r="D10" s="45" t="n">
        <f aca="false">'Month 5 and the interrogation'!B34</f>
        <v>6.4</v>
      </c>
      <c r="E10" s="46" t="n">
        <f aca="false">D10-C10</f>
        <v>0</v>
      </c>
      <c r="F10" s="47" t="str">
        <f aca="false">IF(ABS(E10)&lt;=0.006,"reproduced",IF(ABS(E10)&lt;=0.006*5,"rounding","CHECK"))</f>
        <v>reproduced</v>
      </c>
      <c r="H10" s="10"/>
    </row>
    <row r="11" customFormat="false" ht="15" hidden="false" customHeight="true" outlineLevel="0" collapsed="false">
      <c r="A11" s="28" t="s">
        <v>167</v>
      </c>
      <c r="B11" s="38" t="s">
        <v>175</v>
      </c>
      <c r="C11" s="39" t="n">
        <v>1.2</v>
      </c>
      <c r="D11" s="40" t="n">
        <f aca="false">'Month 5 and the interrogation'!B36</f>
        <v>1.2</v>
      </c>
      <c r="E11" s="41" t="n">
        <f aca="false">D11-C11</f>
        <v>0</v>
      </c>
      <c r="F11" s="42" t="str">
        <f aca="false">IF(ABS(E11)&lt;=0.006,"reproduced",IF(ABS(E11)&lt;=0.006*5,"rounding","CHECK"))</f>
        <v>reproduced</v>
      </c>
      <c r="H11" s="10"/>
    </row>
    <row r="12" customFormat="false" ht="15" hidden="false" customHeight="true" outlineLevel="0" collapsed="false">
      <c r="A12" s="24" t="s">
        <v>167</v>
      </c>
      <c r="B12" s="43" t="s">
        <v>176</v>
      </c>
      <c r="C12" s="44" t="n">
        <v>0.5</v>
      </c>
      <c r="D12" s="45" t="n">
        <f aca="false">'Timeline and changes'!E29</f>
        <v>0.5</v>
      </c>
      <c r="E12" s="46" t="n">
        <f aca="false">D12-C12</f>
        <v>0</v>
      </c>
      <c r="F12" s="47" t="str">
        <f aca="false">IF(ABS(E12)&lt;=0.006,"reproduced",IF(ABS(E12)&lt;=0.006*5,"rounding","CHECK"))</f>
        <v>reproduced</v>
      </c>
      <c r="H12" s="10"/>
    </row>
    <row r="13" customFormat="false" ht="15" hidden="false" customHeight="true" outlineLevel="0" collapsed="false">
      <c r="A13" s="28" t="s">
        <v>167</v>
      </c>
      <c r="B13" s="38" t="s">
        <v>177</v>
      </c>
      <c r="C13" s="39" t="n">
        <v>0.3</v>
      </c>
      <c r="D13" s="40" t="n">
        <f aca="false">'Timeline and changes'!E31</f>
        <v>0.3</v>
      </c>
      <c r="E13" s="41" t="n">
        <f aca="false">D13-C13</f>
        <v>0</v>
      </c>
      <c r="F13" s="42" t="str">
        <f aca="false">IF(ABS(E13)&lt;=0.006,"reproduced",IF(ABS(E13)&lt;=0.006*5,"rounding","CHECK"))</f>
        <v>reproduced</v>
      </c>
      <c r="H13" s="10"/>
    </row>
    <row r="14" customFormat="false" ht="15" hidden="false" customHeight="true" outlineLevel="0" collapsed="false">
      <c r="A14" s="24" t="s">
        <v>167</v>
      </c>
      <c r="B14" s="43" t="s">
        <v>111</v>
      </c>
      <c r="C14" s="48" t="n">
        <v>3</v>
      </c>
      <c r="D14" s="49" t="n">
        <f aca="false">'Timeline and changes'!E38</f>
        <v>3</v>
      </c>
      <c r="E14" s="50" t="n">
        <f aca="false">D14-C14</f>
        <v>0</v>
      </c>
      <c r="F14" s="47" t="str">
        <f aca="false">IF(ABS(E14)&lt;=0.1,"reproduced",IF(ABS(E14)&lt;=0.1*5,"rounding","CHECK"))</f>
        <v>reproduced</v>
      </c>
      <c r="H14" s="10"/>
    </row>
    <row r="15" customFormat="false" ht="15" hidden="false" customHeight="true" outlineLevel="0" collapsed="false">
      <c r="A15" s="28" t="s">
        <v>167</v>
      </c>
      <c r="B15" s="38" t="s">
        <v>114</v>
      </c>
      <c r="C15" s="51" t="n">
        <v>1</v>
      </c>
      <c r="D15" s="52" t="n">
        <f aca="false">'Timeline and changes'!E41</f>
        <v>1</v>
      </c>
      <c r="E15" s="53" t="n">
        <f aca="false">D15-C15</f>
        <v>0</v>
      </c>
      <c r="F15" s="42" t="str">
        <f aca="false">IF(ABS(E15)&lt;=0.1,"reproduced",IF(ABS(E15)&lt;=0.1*5,"rounding","CHECK"))</f>
        <v>reproduced</v>
      </c>
      <c r="H15" s="10"/>
    </row>
    <row r="16" customFormat="false" ht="15" hidden="false" customHeight="true" outlineLevel="0" collapsed="false">
      <c r="A16" s="24" t="s">
        <v>167</v>
      </c>
      <c r="B16" s="43" t="s">
        <v>132</v>
      </c>
      <c r="C16" s="44" t="n">
        <v>4.3</v>
      </c>
      <c r="D16" s="45" t="n">
        <f aca="false">'Final position'!B8</f>
        <v>4.3</v>
      </c>
      <c r="E16" s="46" t="n">
        <f aca="false">D16-C16</f>
        <v>0</v>
      </c>
      <c r="F16" s="47" t="str">
        <f aca="false">IF(ABS(E16)&lt;=0.006,"reproduced",IF(ABS(E16)&lt;=0.006*5,"rounding","CHECK"))</f>
        <v>reproduced</v>
      </c>
      <c r="H16" s="10"/>
    </row>
    <row r="17" customFormat="false" ht="15" hidden="false" customHeight="true" outlineLevel="0" collapsed="false">
      <c r="A17" s="28" t="s">
        <v>167</v>
      </c>
      <c r="B17" s="38" t="s">
        <v>138</v>
      </c>
      <c r="C17" s="39" t="n">
        <v>3.6</v>
      </c>
      <c r="D17" s="40" t="n">
        <f aca="false">'Final position'!C8</f>
        <v>3.6</v>
      </c>
      <c r="E17" s="41" t="n">
        <f aca="false">D17-C17</f>
        <v>0</v>
      </c>
      <c r="F17" s="42" t="str">
        <f aca="false">IF(ABS(E17)&lt;=0.006,"reproduced",IF(ABS(E17)&lt;=0.006*5,"rounding","CHECK"))</f>
        <v>reproduced</v>
      </c>
      <c r="H17" s="10"/>
    </row>
    <row r="18" customFormat="false" ht="15" hidden="false" customHeight="true" outlineLevel="0" collapsed="false">
      <c r="A18" s="24" t="s">
        <v>167</v>
      </c>
      <c r="B18" s="43" t="s">
        <v>178</v>
      </c>
      <c r="C18" s="54" t="n">
        <v>0.14</v>
      </c>
      <c r="D18" s="55" t="n">
        <f aca="false">'Final position'!C9</f>
        <v>0.135849056603774</v>
      </c>
      <c r="E18" s="56" t="n">
        <f aca="false">D18-C18</f>
        <v>-0.00415094339622638</v>
      </c>
      <c r="F18" s="47" t="str">
        <f aca="false">IF(ABS(E18)&lt;=0.005,"reproduced",IF(ABS(E18)&lt;=0.005*5,"rounding","CHECK"))</f>
        <v>reproduced</v>
      </c>
      <c r="H18" s="10"/>
    </row>
    <row r="19" customFormat="false" ht="15" hidden="false" customHeight="true" outlineLevel="0" collapsed="false">
      <c r="A19" s="28" t="s">
        <v>167</v>
      </c>
      <c r="B19" s="38" t="s">
        <v>179</v>
      </c>
      <c r="C19" s="39" t="n">
        <v>-0.7</v>
      </c>
      <c r="D19" s="40" t="n">
        <f aca="false">'Final position'!D8</f>
        <v>-0.699999999999996</v>
      </c>
      <c r="E19" s="41" t="n">
        <f aca="false">D19-C19</f>
        <v>4.2188474935756E-015</v>
      </c>
      <c r="F19" s="42" t="str">
        <f aca="false">IF(ABS(E19)&lt;=0.006,"reproduced",IF(ABS(E19)&lt;=0.006*5,"rounding","CHECK"))</f>
        <v>reproduced</v>
      </c>
      <c r="H19" s="10"/>
    </row>
    <row r="20" customFormat="false" ht="15" hidden="false" customHeight="true" outlineLevel="0" collapsed="false">
      <c r="H20" s="10"/>
    </row>
    <row r="21" customFormat="false" ht="15" hidden="false" customHeight="true" outlineLevel="0" collapsed="false">
      <c r="A21" s="8" t="s">
        <v>180</v>
      </c>
      <c r="C21" s="32" t="n">
        <f aca="false">COUNTIF(F5:F19,"reproduced")</f>
        <v>15</v>
      </c>
      <c r="H21" s="10"/>
    </row>
    <row r="22" customFormat="false" ht="15" hidden="false" customHeight="true" outlineLevel="0" collapsed="false">
      <c r="A22" s="8" t="s">
        <v>181</v>
      </c>
      <c r="C22" s="32" t="n">
        <f aca="false">COUNTIF(F5:F19,"rounding")</f>
        <v>0</v>
      </c>
      <c r="H22" s="10"/>
    </row>
    <row r="23" customFormat="false" ht="15" hidden="false" customHeight="true" outlineLevel="0" collapsed="false">
      <c r="A23" s="8" t="s">
        <v>182</v>
      </c>
      <c r="C23" s="32" t="n">
        <f aca="false">COUNTIF(F5:F19,"CHECK")</f>
        <v>0</v>
      </c>
      <c r="H23" s="10"/>
    </row>
    <row r="24" customFormat="false" ht="15" hidden="false" customHeight="true" outlineLevel="0" collapsed="false">
      <c r="H24" s="10"/>
    </row>
    <row r="25" customFormat="false" ht="15" hidden="false" customHeight="true" outlineLevel="0" collapsed="false">
      <c r="A25" s="17" t="s">
        <v>183</v>
      </c>
      <c r="H25" s="10"/>
    </row>
    <row r="26" customFormat="false" ht="15" hidden="false" customHeight="true" outlineLevel="0" collapsed="false">
      <c r="A26" s="1" t="s">
        <v>184</v>
      </c>
      <c r="B26" s="38" t="s">
        <v>185</v>
      </c>
      <c r="F26" s="42" t="str">
        <f aca="false">IF('Timeline and changes'!E33&gt;=0,"OK","CHECK")</f>
        <v>OK</v>
      </c>
      <c r="H26" s="10"/>
    </row>
    <row r="27" customFormat="false" ht="15" hidden="false" customHeight="false" outlineLevel="0" collapsed="false">
      <c r="A27" s="1" t="s">
        <v>184</v>
      </c>
      <c r="B27" s="38" t="s">
        <v>186</v>
      </c>
      <c r="F27" s="42" t="str">
        <f aca="false">IF(ABS('Final position'!B20+'Final position'!B21-'Final position'!D6)&lt;0.000000001,"OK","CHECK")</f>
        <v>OK</v>
      </c>
    </row>
    <row r="28" customFormat="false" ht="15" hidden="false" customHeight="false" outlineLevel="0" collapsed="false">
      <c r="A28" s="1" t="s">
        <v>184</v>
      </c>
      <c r="B28" s="38" t="s">
        <v>187</v>
      </c>
      <c r="F28" s="42" t="str">
        <f aca="false">IF(ABS('Final position'!B22+'Final position'!B23+'Final position'!B24+'Final position'!D7)&lt;0.000000001,"OK","CHECK")</f>
        <v>OK</v>
      </c>
    </row>
    <row r="29" customFormat="false" ht="15" hidden="false" customHeight="false" outlineLevel="0" collapsed="false">
      <c r="A29" s="1" t="s">
        <v>184</v>
      </c>
      <c r="B29" s="38" t="s">
        <v>188</v>
      </c>
      <c r="F29" s="42" t="str">
        <f aca="false">IF(ABS('Final position'!C26)&lt;0.000000001,"OK","CHECK")</f>
        <v>OK</v>
      </c>
    </row>
    <row r="30" customFormat="false" ht="15" hidden="false" customHeight="false" outlineLevel="0" collapsed="false">
      <c r="A30" s="1" t="s">
        <v>184</v>
      </c>
      <c r="B30" s="38" t="s">
        <v>189</v>
      </c>
      <c r="F30" s="42" t="str">
        <f aca="false">IF(ABS('Timeline and changes'!E29-0.5)&lt;0.000000001,"OK","CHECK")</f>
        <v>OK</v>
      </c>
    </row>
    <row r="31" customFormat="false" ht="15" hidden="false" customHeight="false" outlineLevel="0" collapsed="false">
      <c r="A31" s="1" t="s">
        <v>184</v>
      </c>
      <c r="B31" s="38" t="s">
        <v>190</v>
      </c>
      <c r="F31" s="42" t="str">
        <f aca="false">IF(ABS('Final position'!B35-('Final position'!C8-'Final position'!B33))&lt;0.000000001,"OK","CHECK")</f>
        <v>OK</v>
      </c>
    </row>
    <row r="33" customFormat="false" ht="15" hidden="false" customHeight="false" outlineLevel="0" collapsed="false">
      <c r="A33" s="8" t="s">
        <v>191</v>
      </c>
      <c r="C33" s="32" t="str">
        <f aca="false">IF(COUNTIF(F26:F31,"OK")=6,"ALL OK",COUNTIF(F26:F31,"OK")&amp;" / 6 OK")</f>
        <v>ALL OK</v>
      </c>
    </row>
  </sheetData>
  <mergeCells count="1">
    <mergeCell ref="H5:H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2026-08-20T05:24:59Z</dcterms:created>
  <dc:creator>openpyxl</dc:creator>
  <dc:description/>
  <dc:language>en-US</dc:language>
  <cp:lastModifiedBy/>
  <dcterms:modified xsi:type="dcterms:W3CDTF">2026-09-23T21:17:16Z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