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The ask" sheetId="2" state="visible" r:id="rId4"/>
    <sheet name="3 In the yield" sheetId="3" state="visible" r:id="rId5"/>
    <sheet name="4 Workstreams" sheetId="4" state="visible" r:id="rId6"/>
    <sheet name="5 The ground" sheetId="5" state="visible" r:id="rId7"/>
    <sheet name="6 Four bidders" sheetId="6" state="visible" r:id="rId8"/>
    <sheet name="7 Threshold and basket" sheetId="7" state="visible" r:id="rId9"/>
    <sheet name="8 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<sst xmlns="http://schemas.openxmlformats.org/spreadsheetml/2006/main" count="294" uniqueCount="259">
  <si>
    <t xml:space="preserve">What the diligence cost — inputs</t>
  </si>
  <si>
    <t xml:space="preserve">Every amber cell is an input. All but the fee scale are figures the book states.</t>
  </si>
  <si>
    <t xml:space="preserve">THE DEAL — chapter 19</t>
  </si>
  <si>
    <t xml:space="preserve">Purchase price</t>
  </si>
  <si>
    <t xml:space="preserve">ch.19, "under offer at 24,000,000"</t>
  </si>
  <si>
    <t xml:space="preserve">Net operating income</t>
  </si>
  <si>
    <t xml:space="preserve">ch.19</t>
  </si>
  <si>
    <t xml:space="preserve">Equity discount rate</t>
  </si>
  <si>
    <t xml:space="preserve">ch.19, "an equity discount rate of 7 per cent"</t>
  </si>
  <si>
    <t xml:space="preserve">Capitalisation rate for the rent review</t>
  </si>
  <si>
    <t xml:space="preserve">ch.19, "capitalised at 6.00 per cent"</t>
  </si>
  <si>
    <t xml:space="preserve">THE SIX FINDINGS — chapter 19</t>
  </si>
  <si>
    <t xml:space="preserve">Roof, quoted cost</t>
  </si>
  <si>
    <t xml:space="preserve">"two contractors have quoted; the higher is 640,000"</t>
  </si>
  <si>
    <t xml:space="preserve">Roof, years until incurred</t>
  </si>
  <si>
    <t xml:space="preserve">"expects it to be needed in year three"</t>
  </si>
  <si>
    <t xml:space="preserve">Lifts, quoted cost</t>
  </si>
  <si>
    <t xml:space="preserve">"quoted at 180,000"</t>
  </si>
  <si>
    <t xml:space="preserve">Lifts, years until incurred</t>
  </si>
  <si>
    <t xml:space="preserve">"within twelve months"</t>
  </si>
  <si>
    <t xml:space="preserve">Compartmentation, bottom of range</t>
  </si>
  <si>
    <t xml:space="preserve">"the range quoted is 90,000 to 260,000"</t>
  </si>
  <si>
    <t xml:space="preserve">Compartmentation, top of range</t>
  </si>
  <si>
    <t xml:space="preserve">the retention is sized to the top</t>
  </si>
  <si>
    <t xml:space="preserve">Rent review, rent at risk per year</t>
  </si>
  <si>
    <t xml:space="preserve">"rent falls by 42,000 a year"</t>
  </si>
  <si>
    <t xml:space="preserve">Rent review, occupier's prospects</t>
  </si>
  <si>
    <t xml:space="preserve">"assesses the occupier's prospects at 40 per cent"</t>
  </si>
  <si>
    <t xml:space="preserve">Mezzanine, policy premium</t>
  </si>
  <si>
    <t xml:space="preserve">"premium 38,000, paid by the seller"</t>
  </si>
  <si>
    <t xml:space="preserve">THE RULES — chapter 2 and chapter 19</t>
  </si>
  <si>
    <t xml:space="preserve">Reporting materiality threshold</t>
  </si>
  <si>
    <t xml:space="preserve">ch.2, "individual items above, say, 50,000"</t>
  </si>
  <si>
    <t xml:space="preserve">Warranty basket, per cent of price</t>
  </si>
  <si>
    <t xml:space="preserve">ch.19, "a basket set at one per cent"</t>
  </si>
  <si>
    <t xml:space="preserve">Pre-exclusivity physical investigation</t>
  </si>
  <si>
    <t xml:space="preserve">ch.2, the only fee figure in the book</t>
  </si>
  <si>
    <t xml:space="preserve">Bidders in the process</t>
  </si>
  <si>
    <t xml:space="preserve">ch.2, "a process with four bidders"</t>
  </si>
  <si>
    <t xml:space="preserve">THE FEE SCALE — ADDED, in basis points of price</t>
  </si>
  <si>
    <t xml:space="preserve">Building and services survey</t>
  </si>
  <si>
    <t xml:space="preserve">ADDED — anchored on the 80,000 above (33 bp)</t>
  </si>
  <si>
    <t xml:space="preserve">Legal title and leases</t>
  </si>
  <si>
    <t xml:space="preserve">ADDED</t>
  </si>
  <si>
    <t xml:space="preserve">Environmental desk study</t>
  </si>
  <si>
    <t xml:space="preserve">Intrusive ground investigation</t>
  </si>
  <si>
    <t xml:space="preserve">Measured survey</t>
  </si>
  <si>
    <t xml:space="preserve">Financial and tax structuring</t>
  </si>
  <si>
    <t xml:space="preserve">Insurance review and placement</t>
  </si>
  <si>
    <t xml:space="preserve">Counterparty and source of funds</t>
  </si>
  <si>
    <t xml:space="preserve">Valuation for lender</t>
  </si>
  <si>
    <t xml:space="preserve">Contract and disclosure</t>
  </si>
  <si>
    <t xml:space="preserve">The ten fee lines are the only inputs the book does not supply. It gives exactly one fee figure —</t>
  </si>
  <si>
    <t xml:space="preserve">80,000 of physical investigation before exclusivity — which on a 24,000,000 deal is 33 basis points.</t>
  </si>
  <si>
    <t xml:space="preserve">The scale is anchored on it and every line is an amber cell. Halve them all and the conclusions</t>
  </si>
  <si>
    <t xml:space="preserve">on sheets 4, 5 and 6 move in size, not in sign.</t>
  </si>
  <si>
    <t xml:space="preserve">Chapter 19's ask, reproduced line by line</t>
  </si>
  <si>
    <t xml:space="preserve">Nothing here is new. It exists so that everything after it is arguing with the same numbers.</t>
  </si>
  <si>
    <t xml:space="preserve">Finding</t>
  </si>
  <si>
    <t xml:space="preserve">Cash amount</t>
  </si>
  <si>
    <t xml:space="preserve">Present value</t>
  </si>
  <si>
    <t xml:space="preserve">Instrument</t>
  </si>
  <si>
    <t xml:space="preserve">The book prints</t>
  </si>
  <si>
    <t xml:space="preserve">Roof</t>
  </si>
  <si>
    <t xml:space="preserve">Price deduction</t>
  </si>
  <si>
    <t xml:space="preserve">522,000</t>
  </si>
  <si>
    <t xml:space="preserve">Lifts</t>
  </si>
  <si>
    <t xml:space="preserve">168,000</t>
  </si>
  <si>
    <t xml:space="preserve">Fire compartmentation</t>
  </si>
  <si>
    <t xml:space="preserve">Retention, top of range</t>
  </si>
  <si>
    <t xml:space="preserve">260,000</t>
  </si>
  <si>
    <t xml:space="preserve">Rent review challenge</t>
  </si>
  <si>
    <t xml:space="preserve">Indemnity capped at the full loss</t>
  </si>
  <si>
    <t xml:space="preserve">700,000 cap, 280,000 expected</t>
  </si>
  <si>
    <t xml:space="preserve">Mezzanine consent</t>
  </si>
  <si>
    <t xml:space="preserve">Legal indemnity policy</t>
  </si>
  <si>
    <t xml:space="preserve">38,000 premium</t>
  </si>
  <si>
    <t xml:space="preserve">Ground conditions</t>
  </si>
  <si>
    <t xml:space="preserve">None — accepted risk</t>
  </si>
  <si>
    <t xml:space="preserve">not priced</t>
  </si>
  <si>
    <t xml:space="preserve">PRICE DEDUCTION (roof + lifts, rounded as the book rounds)</t>
  </si>
  <si>
    <t xml:space="preserve">book: 690,000</t>
  </si>
  <si>
    <t xml:space="preserve">Adjusted headline price</t>
  </si>
  <si>
    <t xml:space="preserve">book: 23,310,000</t>
  </si>
  <si>
    <t xml:space="preserve">Seller receives on the day (less escrow)</t>
  </si>
  <si>
    <t xml:space="preserve">book: 23,050,000</t>
  </si>
  <si>
    <t xml:space="preserve">Entry yield before</t>
  </si>
  <si>
    <t xml:space="preserve">book: 6.00 per cent</t>
  </si>
  <si>
    <t xml:space="preserve">Entry yield after the deduction</t>
  </si>
  <si>
    <t xml:space="preserve">book: 6.18 per cent</t>
  </si>
  <si>
    <t xml:space="preserve">Improvement in basis points</t>
  </si>
  <si>
    <t xml:space="preserve">book: eighteen basis points</t>
  </si>
  <si>
    <t xml:space="preserve">What the eighteen basis points leaves out</t>
  </si>
  <si>
    <t xml:space="preserve">Four instruments came out of the negotiation. Three of them never touch the yield.</t>
  </si>
  <si>
    <t xml:space="preserve">Value to the buyer</t>
  </si>
  <si>
    <t xml:space="preserve">In the yield?</t>
  </si>
  <si>
    <t xml:space="preserve">Why</t>
  </si>
  <si>
    <t xml:space="preserve">Price deduction — certain, taken on the day</t>
  </si>
  <si>
    <t xml:space="preserve">yes</t>
  </si>
  <si>
    <t xml:space="preserve">cash off the price on completion day</t>
  </si>
  <si>
    <t xml:space="preserve">Retention — seller funds the compartmentation</t>
  </si>
  <si>
    <t xml:space="preserve">no</t>
  </si>
  <si>
    <t xml:space="preserve">expected cost of works the seller now pays for</t>
  </si>
  <si>
    <t xml:space="preserve">Indemnity — expected value of the rent review</t>
  </si>
  <si>
    <t xml:space="preserve">contingent; pays only if the review is lost</t>
  </si>
  <si>
    <t xml:space="preserve">Policy premium — paid by the seller</t>
  </si>
  <si>
    <t xml:space="preserve">a cost avoided, not a price reduction</t>
  </si>
  <si>
    <t xml:space="preserve">TOTAL EXPECTED VALUE RECOVERED</t>
  </si>
  <si>
    <t xml:space="preserve">Share that reaches the yield</t>
  </si>
  <si>
    <t xml:space="preserve">Share that never does</t>
  </si>
  <si>
    <t xml:space="preserve">Price adjusted by the FULL recovery</t>
  </si>
  <si>
    <t xml:space="preserve">Entry yield on that basis</t>
  </si>
  <si>
    <t xml:space="preserve">The chapter reports</t>
  </si>
  <si>
    <t xml:space="preserve">UNDERSTATEMENT</t>
  </si>
  <si>
    <t xml:space="preserve">Chapter 19 calls eighteen basis points 'the entire return on the diligence exercise, expressed in the</t>
  </si>
  <si>
    <t xml:space="preserve">only unit that the investment committee will recognise'. It is the entire return that reaches the yield.</t>
  </si>
  <si>
    <t xml:space="preserve">The exercise recovered nearly twice that. The reason is structural rather than careless — three of the</t>
  </si>
  <si>
    <t xml:space="preserve">four instruments are contingent and a yield is a spot measure — and it is precisely why the chapter's</t>
  </si>
  <si>
    <t xml:space="preserve">own instruction is to present the ask as a composed schedule rather than as a total.</t>
  </si>
  <si>
    <t xml:space="preserve">Which workstream produced which finding</t>
  </si>
  <si>
    <t xml:space="preserve">Appendix D names ten workstreams. Chapter 19 produces six findings. Attributing one to the other turns a budget into ten decisions.</t>
  </si>
  <si>
    <t xml:space="preserve">Workstream</t>
  </si>
  <si>
    <t xml:space="preserve">bp</t>
  </si>
  <si>
    <t xml:space="preserve">Fee</t>
  </si>
  <si>
    <t xml:space="preserve">Value recovered</t>
  </si>
  <si>
    <t xml:space="preserve">Return</t>
  </si>
  <si>
    <t xml:space="preserve">Findings it produced</t>
  </si>
  <si>
    <t xml:space="preserve">roof, lifts, compartmentation</t>
  </si>
  <si>
    <t xml:space="preserve">rent review, mezzanine consent</t>
  </si>
  <si>
    <t xml:space="preserve">none on this deal</t>
  </si>
  <si>
    <t xml:space="preserve">NOT COMMISSIONED — see sheet 5</t>
  </si>
  <si>
    <t xml:space="preserve">TOTAL</t>
  </si>
  <si>
    <t xml:space="preserve">Diligence cost as basis points of price</t>
  </si>
  <si>
    <t xml:space="preserve">Workstreams that recovered nothing on this deal</t>
  </si>
  <si>
    <t xml:space="preserve">What those workstreams cost</t>
  </si>
  <si>
    <t xml:space="preserve">Their share of the diligence budget</t>
  </si>
  <si>
    <t xml:space="preserve">Eight of the ten workstreams returned nothing on this deal. That is not an argument for cutting them,</t>
  </si>
  <si>
    <t xml:space="preserve">and reading it that way is the error the book is written against. A workstream is bought for the finding</t>
  </si>
  <si>
    <t xml:space="preserve">it MIGHT produce, and it is sized against that finding's expected value — the calculation chapter 2 asks</t>
  </si>
  <si>
    <t xml:space="preserve">for in words and never performs. Sheet 5 performs it, once, on the one workstream the chapter dropped.</t>
  </si>
  <si>
    <t xml:space="preserve">The investigation the chapter skipped</t>
  </si>
  <si>
    <t xml:space="preserve">Chapter 19's sixth finding is the only one it leaves unpriced. Here is the arithmetic it does not do.</t>
  </si>
  <si>
    <t xml:space="preserve">Cost of an intrusive ground investigation</t>
  </si>
  <si>
    <t xml:space="preserve">(the fee scale on sheet 1 — an amber cell)</t>
  </si>
  <si>
    <t xml:space="preserve">Remediation if contaminated</t>
  </si>
  <si>
    <t xml:space="preserve">Break-even probability</t>
  </si>
  <si>
    <t xml:space="preserve">Expected loss at 2%</t>
  </si>
  <si>
    <t xml:space="preserve">at 5%</t>
  </si>
  <si>
    <t xml:space="preserve">at 10%</t>
  </si>
  <si>
    <t xml:space="preserve">Investigation pays at 5%?</t>
  </si>
  <si>
    <t xml:space="preserve">Break-even probability at 1,000,000 of remediation</t>
  </si>
  <si>
    <t xml:space="preserve">Lowest remediation at which 2% still pays</t>
  </si>
  <si>
    <t xml:space="preserve">Lowest remediation at which 5% still pays</t>
  </si>
  <si>
    <t xml:space="preserve">The chapter's reason for skipping it is the timetable, and Appendix D supports that: intrusive ground</t>
  </si>
  <si>
    <t xml:space="preserve">investigation takes three to five weeks and is "the most common cause of a missed exchange". The</t>
  </si>
  <si>
    <t xml:space="preserve">decision is defensible on timing. It is never tested on money.</t>
  </si>
  <si>
    <t xml:space="preserve">On money it is marginal, and marginal in one specific direction: it fails only if you believe BOTH that</t>
  </si>
  <si>
    <t xml:space="preserve">the probability is at the floor of what a practitioner means by low AND that the remediation would be</t>
  </si>
  <si>
    <t xml:space="preserve">small. Believe either one less and the investigation pays for itself several times over.</t>
  </si>
  <si>
    <t xml:space="preserve">The chapter accepts the risk without stating either belief — which is the one thing its own closing</t>
  </si>
  <si>
    <t xml:space="preserve">instruction forbids: "write down every risk you decide to accept, with the reason. Accepted risk is a</t>
  </si>
  <si>
    <t xml:space="preserve">decision, and decisions need authors." On this page, a reason that is not a number is not a reason.</t>
  </si>
  <si>
    <t xml:space="preserve">And the timetable objection has three answers, all of them in the chapter's own instrument list and</t>
  </si>
  <si>
    <t xml:space="preserve">none of them used here: delay the exchange, exchange conditional on the report, or take a retention</t>
  </si>
  <si>
    <t xml:space="preserve">sized to the remediation range.</t>
  </si>
  <si>
    <t xml:space="preserve">The one piece of scoping arithmetic in the book</t>
  </si>
  <si>
    <t xml:space="preserve">Chapter 2 says spending 80,000 before exclusivity in a four-bidder process "has an expected cost of four times its apparent one". It does not.</t>
  </si>
  <si>
    <t xml:space="preserve">Pre-exclusivity spend, per bid</t>
  </si>
  <si>
    <t xml:space="preserve">the book's own figure</t>
  </si>
  <si>
    <t xml:space="preserve">EXPECTED COST of making this bid</t>
  </si>
  <si>
    <t xml:space="preserve">you spend it whether you win or lose</t>
  </si>
  <si>
    <t xml:space="preserve">COST PER COMPLETED ACQUISITION</t>
  </si>
  <si>
    <t xml:space="preserve">this is what is four times apparent</t>
  </si>
  <si>
    <t xml:space="preserve">As basis points of a completed deal</t>
  </si>
  <si>
    <t xml:space="preserve">The two questions the two numbers answer</t>
  </si>
  <si>
    <t xml:space="preserve">Is this bid worth making?</t>
  </si>
  <si>
    <t xml:space="preserve">compare to the value of THIS bid</t>
  </si>
  <si>
    <t xml:space="preserve">Is this strategy worth running?</t>
  </si>
  <si>
    <t xml:space="preserve">compare to the value of a completed deal</t>
  </si>
  <si>
    <t xml:space="preserve">Win rate</t>
  </si>
  <si>
    <t xml:space="preserve">Bids per win</t>
  </si>
  <si>
    <t xml:space="preserve">Cost per deal closed</t>
  </si>
  <si>
    <t xml:space="preserve">As bp of a 24m deal</t>
  </si>
  <si>
    <t xml:space="preserve">Against the building survey</t>
  </si>
  <si>
    <t xml:space="preserve">The expected cost of spending 80,000 is 80,000. You spend it whether you win or lose — which is what</t>
  </si>
  <si>
    <t xml:space="preserve">makes it a sunk cost, and the same chapter is right about sunk costs eleven pages later.</t>
  </si>
  <si>
    <t xml:space="preserve">What IS four times apparent is the cost per completed acquisition. That is a real number and the right</t>
  </si>
  <si>
    <t xml:space="preserve">one to put in front of a committee, but it is a cost of acquisition, not an expected cost.</t>
  </si>
  <si>
    <t xml:space="preserve">The distinction is not pedantry: the two quantities answer different questions and point in different</t>
  </si>
  <si>
    <t xml:space="preserve">directions. And the argument the sentence was reaching for is stronger than the one it made — at one</t>
  </si>
  <si>
    <t xml:space="preserve">win in ten, pre-exclusivity investigation costs more per closed deal than the entire building survey</t>
  </si>
  <si>
    <t xml:space="preserve">that produced three of the six findings.</t>
  </si>
  <si>
    <t xml:space="preserve">Two numbers the book sets and does not size</t>
  </si>
  <si>
    <t xml:space="preserve">A reporting threshold of 50,000 and a warranty basket at one per cent, run through the chapter's own findings.</t>
  </si>
  <si>
    <t xml:space="preserve">THE REPORTING THRESHOLD — chapter 2</t>
  </si>
  <si>
    <t xml:space="preserve">Value</t>
  </si>
  <si>
    <t xml:space="preserve">Above the threshold?</t>
  </si>
  <si>
    <t xml:space="preserve">Clears the basket alone?</t>
  </si>
  <si>
    <t xml:space="preserve">Compartmentation</t>
  </si>
  <si>
    <t xml:space="preserve">Rent review</t>
  </si>
  <si>
    <t xml:space="preserve">Mezzanine</t>
  </si>
  <si>
    <t xml:space="preserve">Value reported</t>
  </si>
  <si>
    <t xml:space="preserve">Value suppressed by the threshold</t>
  </si>
  <si>
    <t xml:space="preserve">Suppressed share of what was found</t>
  </si>
  <si>
    <t xml:space="preserve">Basket at the stated percentage</t>
  </si>
  <si>
    <t xml:space="preserve">Findings that clear the basket alone</t>
  </si>
  <si>
    <t xml:space="preserve">Findings that do not</t>
  </si>
  <si>
    <t xml:space="preserve">Value the basket would swallow</t>
  </si>
  <si>
    <t xml:space="preserve">Recovered in cash and escrow — immune to a basket</t>
  </si>
  <si>
    <t xml:space="preserve">Left in a contingent instrument</t>
  </si>
  <si>
    <t xml:space="preserve">The threshold suppresses one finding, and losing it would cost three per cent of the recovery. But note</t>
  </si>
  <si>
    <t xml:space="preserve">what the threshold is applied to. The mezzanine is worth 38,000 only because the instrument chosen was</t>
  </si>
  <si>
    <t xml:space="preserve">a policy; its consequence, in the chapter's own words, is "removal and loss of income". A threshold on</t>
  </si>
  <si>
    <t xml:space="preserve">the cost of the REMEDY suppresses findings whose remedy is cheap and whose exposure is not — which is</t>
  </si>
  <si>
    <t xml:space="preserve">why the chapter's second clause is the load-bearing one, and why it should never be dropped when the</t>
  </si>
  <si>
    <t xml:space="preserve">first is quoted.</t>
  </si>
  <si>
    <t xml:space="preserve">The basket is the chapter's own point and the arithmetic sharpens it: three of five findings would not</t>
  </si>
  <si>
    <t xml:space="preserve">clear it alone. They did not have to, because the chapter's instruction was followed — the found items</t>
  </si>
  <si>
    <t xml:space="preserve">were taken in cash and escrow rather than left in a warranty. On this issues log the basket costs</t>
  </si>
  <si>
    <t xml:space="preserve">nothing, and that is what the instruction is for.</t>
  </si>
  <si>
    <t xml:space="preserve">Controls</t>
  </si>
  <si>
    <t xml:space="preserve">Each row tests something the book asserts or the model must satisfy.</t>
  </si>
  <si>
    <t xml:space="preserve">Control</t>
  </si>
  <si>
    <t xml:space="preserve">Expected</t>
  </si>
  <si>
    <t xml:space="preserve">Result</t>
  </si>
  <si>
    <t xml:space="preserve">1. Ask: the roof present-values to the 522,000 the chapter prints</t>
  </si>
  <si>
    <t xml:space="preserve">2. Ask: the lifts present-value to the 168,000 the chapter prints</t>
  </si>
  <si>
    <t xml:space="preserve">3. Ask: the price deduction reproduces 690,000</t>
  </si>
  <si>
    <t xml:space="preserve">4. Ask: the adjusted price reproduces 23,310,000</t>
  </si>
  <si>
    <t xml:space="preserve">5. Ask: the seller receives 23,050,000 on the day</t>
  </si>
  <si>
    <t xml:space="preserve">6. Ask: the rent review capitalises to the 700,000 cap</t>
  </si>
  <si>
    <t xml:space="preserve">7. Ask: the expected value of the rent review is 280,000</t>
  </si>
  <si>
    <t xml:space="preserve">8. Ask: the entry yield before is 6.00 per cent</t>
  </si>
  <si>
    <t xml:space="preserve">9. Ask: the entry yield after is 6.18 per cent</t>
  </si>
  <si>
    <t xml:space="preserve">10. Ask: the improvement is the eighteen basis points the chapter reports</t>
  </si>
  <si>
    <t xml:space="preserve">11. Yield: only the cash deduction reaches the yield</t>
  </si>
  <si>
    <t xml:space="preserve">12. Yield: the three contingent instruments do not</t>
  </si>
  <si>
    <t xml:space="preserve">13. Yield: total recovered exceeds the deduction</t>
  </si>
  <si>
    <t xml:space="preserve">14. Yield: the full recovery is worth more than eighteen basis points</t>
  </si>
  <si>
    <t xml:space="preserve">15. Yield: the understatement is thirteen basis points</t>
  </si>
  <si>
    <t xml:space="preserve">16. Workstreams: fees sum to the diligence budget</t>
  </si>
  <si>
    <t xml:space="preserve">17. Workstreams: recovered equals the total on sheet 3</t>
  </si>
  <si>
    <t xml:space="preserve">18. Workstreams: the exercise returned more than it cost</t>
  </si>
  <si>
    <t xml:space="preserve">19. Workstreams: the building survey outperforms the whole budget</t>
  </si>
  <si>
    <t xml:space="preserve">20. Workstreams: eight of the ten recovered nothing</t>
  </si>
  <si>
    <t xml:space="preserve">21. Ground: break-even at a million of remediation is 2.4 per cent</t>
  </si>
  <si>
    <t xml:space="preserve">22. Ground: the investigation fails at 2% and 500,000 of remediation</t>
  </si>
  <si>
    <t xml:space="preserve">23. Ground: it pays at 5% and 500,000 of remediation</t>
  </si>
  <si>
    <t xml:space="preserve">24. Ground: it pays at 2% and 2,000,000 of remediation</t>
  </si>
  <si>
    <t xml:space="preserve">25. Bidders: the expected cost of the bid is the amount spent</t>
  </si>
  <si>
    <t xml:space="preserve">26. Bidders: the cost per completed acquisition is four times it</t>
  </si>
  <si>
    <t xml:space="preserve">27. Bidders: at one win in ten it exceeds the building survey</t>
  </si>
  <si>
    <t xml:space="preserve">28. Threshold: exactly one finding is suppressed</t>
  </si>
  <si>
    <t xml:space="preserve">29. Threshold: the suppressed value is the policy premium</t>
  </si>
  <si>
    <t xml:space="preserve">30. Threshold: the suppressed share is under five per cent</t>
  </si>
  <si>
    <t xml:space="preserve">31. Basket: three of the five findings do not clear it alone</t>
  </si>
  <si>
    <t xml:space="preserve">32. Basket: the value it would swallow exceeds the basket itself</t>
  </si>
  <si>
    <t xml:space="preserve">33. Basket: nothing actually recovered was exposed to it</t>
  </si>
  <si>
    <t xml:space="preserve">CONTROLS PASSING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</si>
</sst>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0%"/>
    <numFmt numFmtId="167" formatCode="0.0&quot; bp&quot;"/>
    <numFmt numFmtId="168" formatCode="0.0%"/>
    <numFmt numFmtId="169" formatCode="0"/>
    <numFmt numFmtId="170" formatCode="0.0\x"/>
    <numFmt numFmtId="171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  <fill>
      <patternFill patternType="solid">
        <fgColor rgb="FF1B1F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  <col collapsed="false" customWidth="true" hidden="false" outlineLevel="0" max="3" min="3" style="0" width="6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0" t="s">
        <v>3</v>
      </c>
      <c r="B5" s="5" t="n">
        <v>24000000</v>
      </c>
      <c r="C5" s="2" t="s">
        <v>4</v>
      </c>
    </row>
    <row r="6" customFormat="false" ht="15" hidden="false" customHeight="false" outlineLevel="0" collapsed="false">
      <c r="A6" s="0" t="s">
        <v>5</v>
      </c>
      <c r="B6" s="5" t="n">
        <v>1440000</v>
      </c>
      <c r="C6" s="2" t="s">
        <v>6</v>
      </c>
    </row>
    <row r="7" customFormat="false" ht="15" hidden="false" customHeight="false" outlineLevel="0" collapsed="false">
      <c r="A7" s="0" t="s">
        <v>7</v>
      </c>
      <c r="B7" s="6" t="n">
        <v>0.07</v>
      </c>
      <c r="C7" s="2" t="s">
        <v>8</v>
      </c>
    </row>
    <row r="8" customFormat="false" ht="15" hidden="false" customHeight="false" outlineLevel="0" collapsed="false">
      <c r="A8" s="0" t="s">
        <v>9</v>
      </c>
      <c r="B8" s="6" t="n">
        <v>0.06</v>
      </c>
      <c r="C8" s="2" t="s">
        <v>10</v>
      </c>
    </row>
    <row r="10" customFormat="false" ht="15" hidden="false" customHeight="false" outlineLevel="0" collapsed="false">
      <c r="A10" s="3" t="s">
        <v>11</v>
      </c>
      <c r="B10" s="4"/>
      <c r="C10" s="4"/>
    </row>
    <row r="11" customFormat="false" ht="15" hidden="false" customHeight="false" outlineLevel="0" collapsed="false">
      <c r="A11" s="0" t="s">
        <v>12</v>
      </c>
      <c r="B11" s="5" t="n">
        <v>640000</v>
      </c>
      <c r="C11" s="2" t="s">
        <v>13</v>
      </c>
    </row>
    <row r="12" customFormat="false" ht="15" hidden="false" customHeight="false" outlineLevel="0" collapsed="false">
      <c r="A12" s="0" t="s">
        <v>14</v>
      </c>
      <c r="B12" s="7" t="n">
        <v>3</v>
      </c>
      <c r="C12" s="2" t="s">
        <v>15</v>
      </c>
    </row>
    <row r="13" customFormat="false" ht="15" hidden="false" customHeight="false" outlineLevel="0" collapsed="false">
      <c r="A13" s="0" t="s">
        <v>16</v>
      </c>
      <c r="B13" s="5" t="n">
        <v>180000</v>
      </c>
      <c r="C13" s="2" t="s">
        <v>17</v>
      </c>
    </row>
    <row r="14" customFormat="false" ht="15" hidden="false" customHeight="false" outlineLevel="0" collapsed="false">
      <c r="A14" s="0" t="s">
        <v>18</v>
      </c>
      <c r="B14" s="7" t="n">
        <v>1</v>
      </c>
      <c r="C14" s="2" t="s">
        <v>19</v>
      </c>
    </row>
    <row r="15" customFormat="false" ht="15" hidden="false" customHeight="false" outlineLevel="0" collapsed="false">
      <c r="A15" s="0" t="s">
        <v>20</v>
      </c>
      <c r="B15" s="5" t="n">
        <v>90000</v>
      </c>
      <c r="C15" s="2" t="s">
        <v>21</v>
      </c>
    </row>
    <row r="16" customFormat="false" ht="15" hidden="false" customHeight="false" outlineLevel="0" collapsed="false">
      <c r="A16" s="0" t="s">
        <v>22</v>
      </c>
      <c r="B16" s="5" t="n">
        <v>260000</v>
      </c>
      <c r="C16" s="2" t="s">
        <v>23</v>
      </c>
    </row>
    <row r="17" customFormat="false" ht="15" hidden="false" customHeight="false" outlineLevel="0" collapsed="false">
      <c r="A17" s="0" t="s">
        <v>24</v>
      </c>
      <c r="B17" s="5" t="n">
        <v>42000</v>
      </c>
      <c r="C17" s="2" t="s">
        <v>25</v>
      </c>
    </row>
    <row r="18" customFormat="false" ht="15" hidden="false" customHeight="false" outlineLevel="0" collapsed="false">
      <c r="A18" s="0" t="s">
        <v>26</v>
      </c>
      <c r="B18" s="6" t="n">
        <v>0.4</v>
      </c>
      <c r="C18" s="2" t="s">
        <v>27</v>
      </c>
    </row>
    <row r="19" customFormat="false" ht="15" hidden="false" customHeight="false" outlineLevel="0" collapsed="false">
      <c r="A19" s="0" t="s">
        <v>28</v>
      </c>
      <c r="B19" s="5" t="n">
        <v>38000</v>
      </c>
      <c r="C19" s="2" t="s">
        <v>29</v>
      </c>
    </row>
    <row r="21" customFormat="false" ht="15" hidden="false" customHeight="false" outlineLevel="0" collapsed="false">
      <c r="A21" s="3" t="s">
        <v>30</v>
      </c>
      <c r="B21" s="4"/>
      <c r="C21" s="4"/>
    </row>
    <row r="22" customFormat="false" ht="15" hidden="false" customHeight="false" outlineLevel="0" collapsed="false">
      <c r="A22" s="0" t="s">
        <v>31</v>
      </c>
      <c r="B22" s="5" t="n">
        <v>50000</v>
      </c>
      <c r="C22" s="2" t="s">
        <v>32</v>
      </c>
    </row>
    <row r="23" customFormat="false" ht="15" hidden="false" customHeight="false" outlineLevel="0" collapsed="false">
      <c r="A23" s="0" t="s">
        <v>33</v>
      </c>
      <c r="B23" s="6" t="n">
        <v>0.01</v>
      </c>
      <c r="C23" s="2" t="s">
        <v>34</v>
      </c>
    </row>
    <row r="24" customFormat="false" ht="15" hidden="false" customHeight="false" outlineLevel="0" collapsed="false">
      <c r="A24" s="0" t="s">
        <v>35</v>
      </c>
      <c r="B24" s="5" t="n">
        <v>80000</v>
      </c>
      <c r="C24" s="2" t="s">
        <v>36</v>
      </c>
    </row>
    <row r="25" customFormat="false" ht="15" hidden="false" customHeight="false" outlineLevel="0" collapsed="false">
      <c r="A25" s="0" t="s">
        <v>37</v>
      </c>
      <c r="B25" s="7" t="n">
        <v>4</v>
      </c>
      <c r="C25" s="2" t="s">
        <v>38</v>
      </c>
    </row>
    <row r="27" customFormat="false" ht="15" hidden="false" customHeight="false" outlineLevel="0" collapsed="false">
      <c r="A27" s="3" t="s">
        <v>39</v>
      </c>
      <c r="B27" s="4"/>
      <c r="C27" s="4"/>
    </row>
    <row r="28" customFormat="false" ht="15" hidden="false" customHeight="false" outlineLevel="0" collapsed="false">
      <c r="A28" s="0" t="s">
        <v>40</v>
      </c>
      <c r="B28" s="6" t="n">
        <v>0.004</v>
      </c>
      <c r="C28" s="2" t="s">
        <v>41</v>
      </c>
    </row>
    <row r="29" customFormat="false" ht="15" hidden="false" customHeight="false" outlineLevel="0" collapsed="false">
      <c r="A29" s="0" t="s">
        <v>42</v>
      </c>
      <c r="B29" s="6" t="n">
        <v>0.0035</v>
      </c>
      <c r="C29" s="2" t="s">
        <v>43</v>
      </c>
    </row>
    <row r="30" customFormat="false" ht="15" hidden="false" customHeight="false" outlineLevel="0" collapsed="false">
      <c r="A30" s="0" t="s">
        <v>44</v>
      </c>
      <c r="B30" s="6" t="n">
        <v>0.0004</v>
      </c>
      <c r="C30" s="2" t="s">
        <v>43</v>
      </c>
    </row>
    <row r="31" customFormat="false" ht="15" hidden="false" customHeight="false" outlineLevel="0" collapsed="false">
      <c r="A31" s="0" t="s">
        <v>45</v>
      </c>
      <c r="B31" s="6" t="n">
        <v>0.001</v>
      </c>
      <c r="C31" s="2" t="s">
        <v>43</v>
      </c>
    </row>
    <row r="32" customFormat="false" ht="15" hidden="false" customHeight="false" outlineLevel="0" collapsed="false">
      <c r="A32" s="0" t="s">
        <v>46</v>
      </c>
      <c r="B32" s="6" t="n">
        <v>0.0008</v>
      </c>
      <c r="C32" s="2" t="s">
        <v>43</v>
      </c>
    </row>
    <row r="33" customFormat="false" ht="15" hidden="false" customHeight="false" outlineLevel="0" collapsed="false">
      <c r="A33" s="0" t="s">
        <v>47</v>
      </c>
      <c r="B33" s="6" t="n">
        <v>0.0025</v>
      </c>
      <c r="C33" s="2" t="s">
        <v>43</v>
      </c>
    </row>
    <row r="34" customFormat="false" ht="15" hidden="false" customHeight="false" outlineLevel="0" collapsed="false">
      <c r="A34" s="0" t="s">
        <v>48</v>
      </c>
      <c r="B34" s="6" t="n">
        <v>0.0006</v>
      </c>
      <c r="C34" s="2" t="s">
        <v>43</v>
      </c>
    </row>
    <row r="35" customFormat="false" ht="15" hidden="false" customHeight="false" outlineLevel="0" collapsed="false">
      <c r="A35" s="0" t="s">
        <v>49</v>
      </c>
      <c r="B35" s="6" t="n">
        <v>0.0008</v>
      </c>
      <c r="C35" s="2" t="s">
        <v>43</v>
      </c>
    </row>
    <row r="36" customFormat="false" ht="15" hidden="false" customHeight="false" outlineLevel="0" collapsed="false">
      <c r="A36" s="0" t="s">
        <v>50</v>
      </c>
      <c r="B36" s="6" t="n">
        <v>0.001</v>
      </c>
      <c r="C36" s="2" t="s">
        <v>43</v>
      </c>
    </row>
    <row r="37" customFormat="false" ht="15" hidden="false" customHeight="false" outlineLevel="0" collapsed="false">
      <c r="A37" s="0" t="s">
        <v>51</v>
      </c>
      <c r="B37" s="6" t="n">
        <v>0.003</v>
      </c>
      <c r="C37" s="2" t="s">
        <v>43</v>
      </c>
    </row>
    <row r="39" customFormat="false" ht="15" hidden="false" customHeight="false" outlineLevel="0" collapsed="false">
      <c r="A39" s="2" t="s">
        <v>52</v>
      </c>
    </row>
    <row r="40" customFormat="false" ht="15" hidden="false" customHeight="false" outlineLevel="0" collapsed="false">
      <c r="A40" s="2" t="s">
        <v>53</v>
      </c>
    </row>
    <row r="41" customFormat="false" ht="15" hidden="false" customHeight="false" outlineLevel="0" collapsed="false">
      <c r="A41" s="2" t="s">
        <v>54</v>
      </c>
    </row>
    <row r="42" customFormat="false" ht="15" hidden="false" customHeight="false" outlineLevel="0" collapsed="false">
      <c r="A42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20"/>
    <col collapsed="false" customWidth="true" hidden="false" outlineLevel="0" max="5" min="5" style="0" width="44"/>
  </cols>
  <sheetData>
    <row r="1" customFormat="false" ht="16.1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8" t="s">
        <v>58</v>
      </c>
      <c r="B4" s="8" t="s">
        <v>59</v>
      </c>
      <c r="C4" s="8" t="s">
        <v>60</v>
      </c>
      <c r="D4" s="8" t="s">
        <v>61</v>
      </c>
      <c r="E4" s="8" t="s">
        <v>62</v>
      </c>
    </row>
    <row r="5" customFormat="false" ht="15" hidden="false" customHeight="false" outlineLevel="0" collapsed="false">
      <c r="A5" s="0" t="s">
        <v>63</v>
      </c>
      <c r="B5" s="9" t="n">
        <f aca="false">'1 Inputs'!$B$11</f>
        <v>640000</v>
      </c>
      <c r="C5" s="9" t="n">
        <f aca="false">'1 Inputs'!$B$11/(1+'1 Inputs'!$B$7)^'1 Inputs'!$B$12</f>
        <v>522430.641210145</v>
      </c>
      <c r="D5" s="10" t="s">
        <v>64</v>
      </c>
      <c r="E5" s="2" t="s">
        <v>65</v>
      </c>
    </row>
    <row r="6" customFormat="false" ht="15" hidden="false" customHeight="false" outlineLevel="0" collapsed="false">
      <c r="A6" s="0" t="s">
        <v>66</v>
      </c>
      <c r="B6" s="9" t="n">
        <f aca="false">'1 Inputs'!$B$13</f>
        <v>180000</v>
      </c>
      <c r="C6" s="9" t="n">
        <f aca="false">'1 Inputs'!$B$13/(1+'1 Inputs'!$B$7)^'1 Inputs'!$B$14</f>
        <v>168224.299065421</v>
      </c>
      <c r="D6" s="10" t="s">
        <v>64</v>
      </c>
      <c r="E6" s="2" t="s">
        <v>67</v>
      </c>
    </row>
    <row r="7" customFormat="false" ht="15" hidden="false" customHeight="false" outlineLevel="0" collapsed="false">
      <c r="A7" s="0" t="s">
        <v>68</v>
      </c>
      <c r="B7" s="9" t="n">
        <f aca="false">'1 Inputs'!$B$16</f>
        <v>260000</v>
      </c>
      <c r="C7" s="9" t="n">
        <f aca="false">'1 Inputs'!$B$16</f>
        <v>260000</v>
      </c>
      <c r="D7" s="10" t="s">
        <v>69</v>
      </c>
      <c r="E7" s="2" t="s">
        <v>70</v>
      </c>
    </row>
    <row r="8" customFormat="false" ht="15" hidden="false" customHeight="false" outlineLevel="0" collapsed="false">
      <c r="A8" s="0" t="s">
        <v>71</v>
      </c>
      <c r="B8" s="9" t="n">
        <f aca="false">'1 Inputs'!$B$17/'1 Inputs'!$B$8</f>
        <v>700000</v>
      </c>
      <c r="C8" s="9" t="n">
        <f aca="false">'1 Inputs'!$B$17/'1 Inputs'!$B$8*'1 Inputs'!$B$18</f>
        <v>280000</v>
      </c>
      <c r="D8" s="10" t="s">
        <v>72</v>
      </c>
      <c r="E8" s="2" t="s">
        <v>73</v>
      </c>
    </row>
    <row r="9" customFormat="false" ht="15" hidden="false" customHeight="false" outlineLevel="0" collapsed="false">
      <c r="A9" s="0" t="s">
        <v>74</v>
      </c>
      <c r="B9" s="9" t="n">
        <f aca="false">'1 Inputs'!$B$19</f>
        <v>38000</v>
      </c>
      <c r="C9" s="9" t="n">
        <f aca="false">'1 Inputs'!$B$19</f>
        <v>38000</v>
      </c>
      <c r="D9" s="10" t="s">
        <v>75</v>
      </c>
      <c r="E9" s="2" t="s">
        <v>76</v>
      </c>
    </row>
    <row r="10" customFormat="false" ht="15" hidden="false" customHeight="false" outlineLevel="0" collapsed="false">
      <c r="A10" s="0" t="s">
        <v>77</v>
      </c>
      <c r="B10" s="9" t="n">
        <v>0</v>
      </c>
      <c r="C10" s="9" t="n">
        <v>0</v>
      </c>
      <c r="D10" s="10" t="s">
        <v>78</v>
      </c>
      <c r="E10" s="2" t="s">
        <v>79</v>
      </c>
    </row>
    <row r="12" customFormat="false" ht="15" hidden="false" customHeight="false" outlineLevel="0" collapsed="false">
      <c r="A12" s="11" t="s">
        <v>80</v>
      </c>
      <c r="B12" s="9" t="n">
        <f aca="false">ROUND(C5,-3)+ROUND(C6,-3)</f>
        <v>690000</v>
      </c>
      <c r="E12" s="2" t="s">
        <v>81</v>
      </c>
    </row>
    <row r="13" customFormat="false" ht="15" hidden="false" customHeight="false" outlineLevel="0" collapsed="false">
      <c r="A13" s="11" t="s">
        <v>82</v>
      </c>
      <c r="B13" s="9" t="n">
        <f aca="false">'1 Inputs'!$B$5-B12</f>
        <v>23310000</v>
      </c>
      <c r="E13" s="2" t="s">
        <v>83</v>
      </c>
    </row>
    <row r="14" customFormat="false" ht="15" hidden="false" customHeight="false" outlineLevel="0" collapsed="false">
      <c r="A14" s="11" t="s">
        <v>84</v>
      </c>
      <c r="B14" s="9" t="n">
        <f aca="false">B13-'1 Inputs'!$B$16</f>
        <v>23050000</v>
      </c>
      <c r="E14" s="2" t="s">
        <v>85</v>
      </c>
    </row>
    <row r="15" customFormat="false" ht="15" hidden="false" customHeight="false" outlineLevel="0" collapsed="false">
      <c r="A15" s="11" t="s">
        <v>86</v>
      </c>
      <c r="B15" s="12" t="n">
        <f aca="false">'1 Inputs'!$B$6/'1 Inputs'!$B$5</f>
        <v>0.06</v>
      </c>
      <c r="E15" s="2" t="s">
        <v>87</v>
      </c>
    </row>
    <row r="16" customFormat="false" ht="15" hidden="false" customHeight="false" outlineLevel="0" collapsed="false">
      <c r="A16" s="11" t="s">
        <v>88</v>
      </c>
      <c r="B16" s="12" t="n">
        <f aca="false">'1 Inputs'!$B$6/B13</f>
        <v>0.0617760617760618</v>
      </c>
      <c r="E16" s="2" t="s">
        <v>89</v>
      </c>
    </row>
    <row r="17" customFormat="false" ht="15" hidden="false" customHeight="false" outlineLevel="0" collapsed="false">
      <c r="A17" s="11" t="s">
        <v>90</v>
      </c>
      <c r="B17" s="13" t="n">
        <f aca="false">(B16-B15)*10000</f>
        <v>17.7606177606178</v>
      </c>
      <c r="E17" s="2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52"/>
  </cols>
  <sheetData>
    <row r="1" customFormat="false" ht="16.15" hidden="false" customHeight="false" outlineLevel="0" collapsed="false">
      <c r="A1" s="1" t="s">
        <v>92</v>
      </c>
    </row>
    <row r="2" customFormat="false" ht="15" hidden="false" customHeight="false" outlineLevel="0" collapsed="false">
      <c r="A2" s="2" t="s">
        <v>93</v>
      </c>
    </row>
    <row r="4" customFormat="false" ht="15" hidden="false" customHeight="false" outlineLevel="0" collapsed="false">
      <c r="A4" s="8" t="s">
        <v>61</v>
      </c>
      <c r="B4" s="8" t="s">
        <v>94</v>
      </c>
      <c r="C4" s="8" t="s">
        <v>95</v>
      </c>
      <c r="D4" s="8" t="s">
        <v>96</v>
      </c>
    </row>
    <row r="5" customFormat="false" ht="15" hidden="false" customHeight="false" outlineLevel="0" collapsed="false">
      <c r="A5" s="0" t="s">
        <v>97</v>
      </c>
      <c r="B5" s="9" t="n">
        <f aca="false">'2 The ask'!B12</f>
        <v>690000</v>
      </c>
      <c r="C5" s="14" t="s">
        <v>98</v>
      </c>
      <c r="D5" s="2" t="s">
        <v>99</v>
      </c>
    </row>
    <row r="6" customFormat="false" ht="15" hidden="false" customHeight="false" outlineLevel="0" collapsed="false">
      <c r="A6" s="0" t="s">
        <v>100</v>
      </c>
      <c r="B6" s="9" t="n">
        <f aca="false">('1 Inputs'!$B$15+'1 Inputs'!$B$16)/2</f>
        <v>175000</v>
      </c>
      <c r="C6" s="14" t="s">
        <v>101</v>
      </c>
      <c r="D6" s="2" t="s">
        <v>102</v>
      </c>
    </row>
    <row r="7" customFormat="false" ht="15" hidden="false" customHeight="false" outlineLevel="0" collapsed="false">
      <c r="A7" s="0" t="s">
        <v>103</v>
      </c>
      <c r="B7" s="9" t="n">
        <f aca="false">'1 Inputs'!$B$17/'1 Inputs'!$B$8*'1 Inputs'!$B$18</f>
        <v>280000</v>
      </c>
      <c r="C7" s="14" t="s">
        <v>101</v>
      </c>
      <c r="D7" s="2" t="s">
        <v>104</v>
      </c>
    </row>
    <row r="8" customFormat="false" ht="15" hidden="false" customHeight="false" outlineLevel="0" collapsed="false">
      <c r="A8" s="0" t="s">
        <v>105</v>
      </c>
      <c r="B8" s="9" t="n">
        <f aca="false">'1 Inputs'!$B$19</f>
        <v>38000</v>
      </c>
      <c r="C8" s="14" t="s">
        <v>101</v>
      </c>
      <c r="D8" s="2" t="s">
        <v>106</v>
      </c>
    </row>
    <row r="10" customFormat="false" ht="15" hidden="false" customHeight="false" outlineLevel="0" collapsed="false">
      <c r="A10" s="11" t="s">
        <v>107</v>
      </c>
      <c r="B10" s="9" t="n">
        <f aca="false">SUM(B5:B8)</f>
        <v>1183000</v>
      </c>
    </row>
    <row r="11" customFormat="false" ht="15" hidden="false" customHeight="false" outlineLevel="0" collapsed="false">
      <c r="A11" s="15" t="s">
        <v>108</v>
      </c>
      <c r="B11" s="16" t="n">
        <f aca="false">B5/B10</f>
        <v>0.583262890955199</v>
      </c>
    </row>
    <row r="12" customFormat="false" ht="15" hidden="false" customHeight="false" outlineLevel="0" collapsed="false">
      <c r="A12" s="15" t="s">
        <v>109</v>
      </c>
      <c r="B12" s="16" t="n">
        <f aca="false">(B10-B5)/B10</f>
        <v>0.416737109044801</v>
      </c>
    </row>
    <row r="13" customFormat="false" ht="15" hidden="false" customHeight="false" outlineLevel="0" collapsed="false">
      <c r="A13" s="15" t="s">
        <v>110</v>
      </c>
      <c r="B13" s="9" t="n">
        <f aca="false">'1 Inputs'!$B$5-B10</f>
        <v>22817000</v>
      </c>
    </row>
    <row r="14" customFormat="false" ht="15" hidden="false" customHeight="false" outlineLevel="0" collapsed="false">
      <c r="A14" s="15" t="s">
        <v>111</v>
      </c>
      <c r="B14" s="12" t="n">
        <f aca="false">'1 Inputs'!$B$6/B13</f>
        <v>0.0631108384099575</v>
      </c>
    </row>
    <row r="15" customFormat="false" ht="15" hidden="false" customHeight="false" outlineLevel="0" collapsed="false">
      <c r="A15" s="15" t="s">
        <v>90</v>
      </c>
      <c r="B15" s="13" t="n">
        <f aca="false">(B14-'1 Inputs'!$B$6/'1 Inputs'!$B$5)*10000</f>
        <v>31.1083840995749</v>
      </c>
    </row>
    <row r="16" customFormat="false" ht="15" hidden="false" customHeight="false" outlineLevel="0" collapsed="false">
      <c r="A16" s="15" t="s">
        <v>112</v>
      </c>
      <c r="B16" s="13" t="n">
        <f aca="false">'2 The ask'!B17</f>
        <v>17.7606177606178</v>
      </c>
    </row>
    <row r="17" customFormat="false" ht="15" hidden="false" customHeight="false" outlineLevel="0" collapsed="false">
      <c r="A17" s="11" t="s">
        <v>113</v>
      </c>
      <c r="B17" s="13" t="n">
        <f aca="false">B15-'2 The ask'!B17</f>
        <v>13.3477663389571</v>
      </c>
    </row>
    <row r="19" customFormat="false" ht="15" hidden="false" customHeight="false" outlineLevel="0" collapsed="false">
      <c r="A19" s="2" t="s">
        <v>114</v>
      </c>
    </row>
    <row r="20" customFormat="false" ht="15" hidden="false" customHeight="false" outlineLevel="0" collapsed="false">
      <c r="A20" s="2" t="s">
        <v>115</v>
      </c>
    </row>
    <row r="21" customFormat="false" ht="15" hidden="false" customHeight="false" outlineLevel="0" collapsed="false">
      <c r="A21" s="2" t="s">
        <v>116</v>
      </c>
    </row>
    <row r="22" customFormat="false" ht="15" hidden="false" customHeight="false" outlineLevel="0" collapsed="false">
      <c r="A22" s="2" t="s">
        <v>117</v>
      </c>
    </row>
    <row r="23" customFormat="false" ht="15" hidden="false" customHeight="false" outlineLevel="0" collapsed="false">
      <c r="A23" s="2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44"/>
  </cols>
  <sheetData>
    <row r="1" customFormat="false" ht="16.15" hidden="false" customHeight="false" outlineLevel="0" collapsed="false">
      <c r="A1" s="1" t="s">
        <v>119</v>
      </c>
    </row>
    <row r="2" customFormat="false" ht="15" hidden="false" customHeight="false" outlineLevel="0" collapsed="false">
      <c r="A2" s="2" t="s">
        <v>120</v>
      </c>
    </row>
    <row r="4" customFormat="false" ht="15" hidden="false" customHeight="false" outlineLevel="0" collapsed="false">
      <c r="A4" s="8" t="s">
        <v>121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</row>
    <row r="5" customFormat="false" ht="15" hidden="false" customHeight="false" outlineLevel="0" collapsed="false">
      <c r="A5" s="0" t="s">
        <v>40</v>
      </c>
      <c r="B5" s="17" t="n">
        <f aca="false">'1 Inputs'!$B$28*10000</f>
        <v>40</v>
      </c>
      <c r="C5" s="9" t="n">
        <f aca="false">'1 Inputs'!$B$5*'1 Inputs'!$B$28</f>
        <v>96000</v>
      </c>
      <c r="D5" s="9" t="n">
        <f aca="false">'3 In the yield'!B5+'3 In the yield'!B6</f>
        <v>865000</v>
      </c>
      <c r="E5" s="18" t="n">
        <f aca="false">IF(C5=0,"",D5/C5)</f>
        <v>9.01041666666667</v>
      </c>
      <c r="F5" s="2" t="s">
        <v>127</v>
      </c>
    </row>
    <row r="6" customFormat="false" ht="15" hidden="false" customHeight="false" outlineLevel="0" collapsed="false">
      <c r="A6" s="0" t="s">
        <v>42</v>
      </c>
      <c r="B6" s="17" t="n">
        <f aca="false">'1 Inputs'!$B$29*10000</f>
        <v>35</v>
      </c>
      <c r="C6" s="9" t="n">
        <f aca="false">'1 Inputs'!$B$5*'1 Inputs'!$B$29</f>
        <v>84000</v>
      </c>
      <c r="D6" s="9" t="n">
        <f aca="false">'3 In the yield'!B7+'3 In the yield'!B8</f>
        <v>318000</v>
      </c>
      <c r="E6" s="18" t="n">
        <f aca="false">IF(C6=0,"",D6/C6)</f>
        <v>3.78571428571429</v>
      </c>
      <c r="F6" s="2" t="s">
        <v>128</v>
      </c>
    </row>
    <row r="7" customFormat="false" ht="15" hidden="false" customHeight="false" outlineLevel="0" collapsed="false">
      <c r="A7" s="0" t="s">
        <v>44</v>
      </c>
      <c r="B7" s="17" t="n">
        <f aca="false">'1 Inputs'!$B$30*10000</f>
        <v>4</v>
      </c>
      <c r="C7" s="9" t="n">
        <f aca="false">'1 Inputs'!$B$5*'1 Inputs'!$B$30</f>
        <v>9600</v>
      </c>
      <c r="D7" s="9" t="n">
        <f aca="false">0</f>
        <v>0</v>
      </c>
      <c r="E7" s="18" t="n">
        <f aca="false">IF(C7=0,"",D7/C7)</f>
        <v>0</v>
      </c>
      <c r="F7" s="2" t="s">
        <v>129</v>
      </c>
    </row>
    <row r="8" customFormat="false" ht="15" hidden="false" customHeight="false" outlineLevel="0" collapsed="false">
      <c r="A8" s="0" t="s">
        <v>45</v>
      </c>
      <c r="B8" s="17" t="n">
        <f aca="false">'1 Inputs'!$B$31*10000</f>
        <v>10</v>
      </c>
      <c r="C8" s="9" t="n">
        <f aca="false">'1 Inputs'!$B$5*'1 Inputs'!$B$31</f>
        <v>24000</v>
      </c>
      <c r="D8" s="9" t="n">
        <f aca="false">0</f>
        <v>0</v>
      </c>
      <c r="E8" s="18" t="n">
        <f aca="false">IF(C8=0,"",D8/C8)</f>
        <v>0</v>
      </c>
      <c r="F8" s="2" t="s">
        <v>130</v>
      </c>
    </row>
    <row r="9" customFormat="false" ht="15" hidden="false" customHeight="false" outlineLevel="0" collapsed="false">
      <c r="A9" s="0" t="s">
        <v>46</v>
      </c>
      <c r="B9" s="17" t="n">
        <f aca="false">'1 Inputs'!$B$32*10000</f>
        <v>8</v>
      </c>
      <c r="C9" s="9" t="n">
        <f aca="false">'1 Inputs'!$B$5*'1 Inputs'!$B$32</f>
        <v>19200</v>
      </c>
      <c r="D9" s="9" t="n">
        <f aca="false">0</f>
        <v>0</v>
      </c>
      <c r="E9" s="18" t="n">
        <f aca="false">IF(C9=0,"",D9/C9)</f>
        <v>0</v>
      </c>
      <c r="F9" s="2" t="s">
        <v>129</v>
      </c>
    </row>
    <row r="10" customFormat="false" ht="15" hidden="false" customHeight="false" outlineLevel="0" collapsed="false">
      <c r="A10" s="0" t="s">
        <v>47</v>
      </c>
      <c r="B10" s="17" t="n">
        <f aca="false">'1 Inputs'!$B$33*10000</f>
        <v>25</v>
      </c>
      <c r="C10" s="9" t="n">
        <f aca="false">'1 Inputs'!$B$5*'1 Inputs'!$B$33</f>
        <v>60000</v>
      </c>
      <c r="D10" s="9" t="n">
        <f aca="false">0</f>
        <v>0</v>
      </c>
      <c r="E10" s="18" t="n">
        <f aca="false">IF(C10=0,"",D10/C10)</f>
        <v>0</v>
      </c>
      <c r="F10" s="2" t="s">
        <v>129</v>
      </c>
    </row>
    <row r="11" customFormat="false" ht="15" hidden="false" customHeight="false" outlineLevel="0" collapsed="false">
      <c r="A11" s="0" t="s">
        <v>48</v>
      </c>
      <c r="B11" s="17" t="n">
        <f aca="false">'1 Inputs'!$B$34*10000</f>
        <v>6</v>
      </c>
      <c r="C11" s="9" t="n">
        <f aca="false">'1 Inputs'!$B$5*'1 Inputs'!$B$34</f>
        <v>14400</v>
      </c>
      <c r="D11" s="9" t="n">
        <f aca="false">0</f>
        <v>0</v>
      </c>
      <c r="E11" s="18" t="n">
        <f aca="false">IF(C11=0,"",D11/C11)</f>
        <v>0</v>
      </c>
      <c r="F11" s="2" t="s">
        <v>129</v>
      </c>
    </row>
    <row r="12" customFormat="false" ht="15" hidden="false" customHeight="false" outlineLevel="0" collapsed="false">
      <c r="A12" s="0" t="s">
        <v>49</v>
      </c>
      <c r="B12" s="17" t="n">
        <f aca="false">'1 Inputs'!$B$35*10000</f>
        <v>8</v>
      </c>
      <c r="C12" s="9" t="n">
        <f aca="false">'1 Inputs'!$B$5*'1 Inputs'!$B$35</f>
        <v>19200</v>
      </c>
      <c r="D12" s="9" t="n">
        <f aca="false">0</f>
        <v>0</v>
      </c>
      <c r="E12" s="18" t="n">
        <f aca="false">IF(C12=0,"",D12/C12)</f>
        <v>0</v>
      </c>
      <c r="F12" s="2" t="s">
        <v>129</v>
      </c>
    </row>
    <row r="13" customFormat="false" ht="15" hidden="false" customHeight="false" outlineLevel="0" collapsed="false">
      <c r="A13" s="0" t="s">
        <v>50</v>
      </c>
      <c r="B13" s="17" t="n">
        <f aca="false">'1 Inputs'!$B$36*10000</f>
        <v>10</v>
      </c>
      <c r="C13" s="9" t="n">
        <f aca="false">'1 Inputs'!$B$5*'1 Inputs'!$B$36</f>
        <v>24000</v>
      </c>
      <c r="D13" s="9" t="n">
        <f aca="false">0</f>
        <v>0</v>
      </c>
      <c r="E13" s="18" t="n">
        <f aca="false">IF(C13=0,"",D13/C13)</f>
        <v>0</v>
      </c>
      <c r="F13" s="2" t="s">
        <v>129</v>
      </c>
    </row>
    <row r="14" customFormat="false" ht="15" hidden="false" customHeight="false" outlineLevel="0" collapsed="false">
      <c r="A14" s="0" t="s">
        <v>51</v>
      </c>
      <c r="B14" s="17" t="n">
        <f aca="false">'1 Inputs'!$B$37*10000</f>
        <v>30</v>
      </c>
      <c r="C14" s="9" t="n">
        <f aca="false">'1 Inputs'!$B$5*'1 Inputs'!$B$37</f>
        <v>72000</v>
      </c>
      <c r="D14" s="9" t="n">
        <f aca="false">0</f>
        <v>0</v>
      </c>
      <c r="E14" s="18" t="n">
        <f aca="false">IF(C14=0,"",D14/C14)</f>
        <v>0</v>
      </c>
      <c r="F14" s="2" t="s">
        <v>129</v>
      </c>
    </row>
    <row r="16" customFormat="false" ht="15" hidden="false" customHeight="false" outlineLevel="0" collapsed="false">
      <c r="A16" s="11" t="s">
        <v>131</v>
      </c>
      <c r="B16" s="17" t="n">
        <f aca="false">SUM(B5:B14)</f>
        <v>176</v>
      </c>
      <c r="C16" s="9" t="n">
        <f aca="false">SUM(C5:C14)</f>
        <v>422400</v>
      </c>
      <c r="D16" s="9" t="n">
        <f aca="false">SUM(D5:D14)</f>
        <v>1183000</v>
      </c>
      <c r="E16" s="18" t="n">
        <f aca="false">D16/C16</f>
        <v>2.80066287878788</v>
      </c>
    </row>
    <row r="18" customFormat="false" ht="15" hidden="false" customHeight="false" outlineLevel="0" collapsed="false">
      <c r="A18" s="0" t="s">
        <v>132</v>
      </c>
      <c r="B18" s="13" t="n">
        <f aca="false">C16/'1 Inputs'!$B$5*10000</f>
        <v>176</v>
      </c>
    </row>
    <row r="19" customFormat="false" ht="15" hidden="false" customHeight="false" outlineLevel="0" collapsed="false">
      <c r="A19" s="0" t="s">
        <v>133</v>
      </c>
      <c r="B19" s="17" t="n">
        <f aca="false">COUNTIF(D5:D14,0)</f>
        <v>8</v>
      </c>
    </row>
    <row r="20" customFormat="false" ht="15" hidden="false" customHeight="false" outlineLevel="0" collapsed="false">
      <c r="A20" s="0" t="s">
        <v>134</v>
      </c>
      <c r="B20" s="9" t="n">
        <f aca="false">SUMIF(D5:D14,0,C5:C14)</f>
        <v>242400</v>
      </c>
    </row>
    <row r="21" customFormat="false" ht="15" hidden="false" customHeight="false" outlineLevel="0" collapsed="false">
      <c r="A21" s="0" t="s">
        <v>135</v>
      </c>
      <c r="B21" s="16" t="n">
        <f aca="false">B20/C16</f>
        <v>0.573863636363636</v>
      </c>
    </row>
    <row r="23" customFormat="false" ht="15" hidden="false" customHeight="false" outlineLevel="0" collapsed="false">
      <c r="A23" s="2" t="s">
        <v>136</v>
      </c>
    </row>
    <row r="24" customFormat="false" ht="15" hidden="false" customHeight="false" outlineLevel="0" collapsed="false">
      <c r="A24" s="2" t="s">
        <v>137</v>
      </c>
    </row>
    <row r="25" customFormat="false" ht="15" hidden="false" customHeight="false" outlineLevel="0" collapsed="false">
      <c r="A25" s="2" t="s">
        <v>138</v>
      </c>
    </row>
    <row r="26" customFormat="false" ht="15" hidden="false" customHeight="false" outlineLevel="0" collapsed="false">
      <c r="A26" s="2" t="s">
        <v>139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140</v>
      </c>
    </row>
    <row r="2" customFormat="false" ht="15" hidden="false" customHeight="false" outlineLevel="0" collapsed="false">
      <c r="A2" s="2" t="s">
        <v>141</v>
      </c>
    </row>
    <row r="4" customFormat="false" ht="15" hidden="false" customHeight="false" outlineLevel="0" collapsed="false">
      <c r="A4" s="11" t="s">
        <v>142</v>
      </c>
      <c r="B4" s="9" t="n">
        <f aca="false">'1 Inputs'!$B$5*'1 Inputs'!$B$31</f>
        <v>24000</v>
      </c>
    </row>
    <row r="5" customFormat="false" ht="15" hidden="false" customHeight="false" outlineLevel="0" collapsed="false">
      <c r="A5" s="2" t="s">
        <v>143</v>
      </c>
    </row>
    <row r="7" customFormat="false" ht="28.35" hidden="false" customHeight="false" outlineLevel="0" collapsed="false">
      <c r="A7" s="8" t="s">
        <v>144</v>
      </c>
      <c r="B7" s="8" t="s">
        <v>145</v>
      </c>
      <c r="C7" s="8" t="s">
        <v>146</v>
      </c>
      <c r="D7" s="8" t="s">
        <v>147</v>
      </c>
      <c r="E7" s="8" t="s">
        <v>148</v>
      </c>
      <c r="F7" s="8" t="s">
        <v>149</v>
      </c>
    </row>
    <row r="8" customFormat="false" ht="15" hidden="false" customHeight="false" outlineLevel="0" collapsed="false">
      <c r="A8" s="9" t="n">
        <v>250000</v>
      </c>
      <c r="B8" s="12" t="n">
        <f aca="false">$B$4/A8</f>
        <v>0.096</v>
      </c>
      <c r="C8" s="9" t="n">
        <f aca="false">0.02*A8</f>
        <v>5000</v>
      </c>
      <c r="D8" s="9" t="n">
        <f aca="false">0.05*A8</f>
        <v>12500</v>
      </c>
      <c r="E8" s="9" t="n">
        <f aca="false">0.1*A8</f>
        <v>25000</v>
      </c>
      <c r="F8" s="14" t="str">
        <f aca="false">IF(D8&gt;$B$4,"YES","no")</f>
        <v>no</v>
      </c>
    </row>
    <row r="9" customFormat="false" ht="15" hidden="false" customHeight="false" outlineLevel="0" collapsed="false">
      <c r="A9" s="9" t="n">
        <v>500000</v>
      </c>
      <c r="B9" s="12" t="n">
        <f aca="false">$B$4/A9</f>
        <v>0.048</v>
      </c>
      <c r="C9" s="9" t="n">
        <f aca="false">0.02*A9</f>
        <v>10000</v>
      </c>
      <c r="D9" s="9" t="n">
        <f aca="false">0.05*A9</f>
        <v>25000</v>
      </c>
      <c r="E9" s="9" t="n">
        <f aca="false">0.1*A9</f>
        <v>50000</v>
      </c>
      <c r="F9" s="14" t="str">
        <f aca="false">IF(D9&gt;$B$4,"YES","no")</f>
        <v>YES</v>
      </c>
    </row>
    <row r="10" customFormat="false" ht="15" hidden="false" customHeight="false" outlineLevel="0" collapsed="false">
      <c r="A10" s="9" t="n">
        <v>1000000</v>
      </c>
      <c r="B10" s="12" t="n">
        <f aca="false">$B$4/A10</f>
        <v>0.024</v>
      </c>
      <c r="C10" s="9" t="n">
        <f aca="false">0.02*A10</f>
        <v>20000</v>
      </c>
      <c r="D10" s="9" t="n">
        <f aca="false">0.05*A10</f>
        <v>50000</v>
      </c>
      <c r="E10" s="9" t="n">
        <f aca="false">0.1*A10</f>
        <v>100000</v>
      </c>
      <c r="F10" s="14" t="str">
        <f aca="false">IF(D10&gt;$B$4,"YES","no")</f>
        <v>YES</v>
      </c>
    </row>
    <row r="11" customFormat="false" ht="15" hidden="false" customHeight="false" outlineLevel="0" collapsed="false">
      <c r="A11" s="9" t="n">
        <v>2000000</v>
      </c>
      <c r="B11" s="12" t="n">
        <f aca="false">$B$4/A11</f>
        <v>0.012</v>
      </c>
      <c r="C11" s="9" t="n">
        <f aca="false">0.02*A11</f>
        <v>40000</v>
      </c>
      <c r="D11" s="9" t="n">
        <f aca="false">0.05*A11</f>
        <v>100000</v>
      </c>
      <c r="E11" s="9" t="n">
        <f aca="false">0.1*A11</f>
        <v>200000</v>
      </c>
      <c r="F11" s="14" t="str">
        <f aca="false">IF(D11&gt;$B$4,"YES","no")</f>
        <v>YES</v>
      </c>
    </row>
    <row r="12" customFormat="false" ht="15" hidden="false" customHeight="false" outlineLevel="0" collapsed="false">
      <c r="A12" s="9" t="n">
        <v>4000000</v>
      </c>
      <c r="B12" s="12" t="n">
        <f aca="false">$B$4/A12</f>
        <v>0.006</v>
      </c>
      <c r="C12" s="9" t="n">
        <f aca="false">0.02*A12</f>
        <v>80000</v>
      </c>
      <c r="D12" s="9" t="n">
        <f aca="false">0.05*A12</f>
        <v>200000</v>
      </c>
      <c r="E12" s="9" t="n">
        <f aca="false">0.1*A12</f>
        <v>400000</v>
      </c>
      <c r="F12" s="14" t="str">
        <f aca="false">IF(D12&gt;$B$4,"YES","no")</f>
        <v>YES</v>
      </c>
    </row>
    <row r="15" customFormat="false" ht="15" hidden="false" customHeight="false" outlineLevel="0" collapsed="false">
      <c r="A15" s="11" t="s">
        <v>150</v>
      </c>
      <c r="C15" s="12" t="n">
        <f aca="false">B10</f>
        <v>0.024</v>
      </c>
    </row>
    <row r="16" customFormat="false" ht="15" hidden="false" customHeight="false" outlineLevel="0" collapsed="false">
      <c r="A16" s="11" t="s">
        <v>151</v>
      </c>
      <c r="C16" s="9" t="n">
        <f aca="false">$B$4/0.02</f>
        <v>1200000</v>
      </c>
    </row>
    <row r="17" customFormat="false" ht="15" hidden="false" customHeight="false" outlineLevel="0" collapsed="false">
      <c r="A17" s="11" t="s">
        <v>152</v>
      </c>
      <c r="C17" s="9" t="n">
        <f aca="false">$B$4/0.05</f>
        <v>480000</v>
      </c>
    </row>
    <row r="19" customFormat="false" ht="15" hidden="false" customHeight="false" outlineLevel="0" collapsed="false">
      <c r="A19" s="2" t="s">
        <v>153</v>
      </c>
    </row>
    <row r="20" customFormat="false" ht="15" hidden="false" customHeight="false" outlineLevel="0" collapsed="false">
      <c r="A20" s="2" t="s">
        <v>154</v>
      </c>
    </row>
    <row r="21" customFormat="false" ht="15" hidden="false" customHeight="false" outlineLevel="0" collapsed="false">
      <c r="A21" s="2" t="s">
        <v>155</v>
      </c>
    </row>
    <row r="22" customFormat="false" ht="15" hidden="false" customHeight="false" outlineLevel="0" collapsed="false">
      <c r="A22" s="2" t="s">
        <v>156</v>
      </c>
    </row>
    <row r="23" customFormat="false" ht="15" hidden="false" customHeight="false" outlineLevel="0" collapsed="false">
      <c r="A23" s="2" t="s">
        <v>157</v>
      </c>
    </row>
    <row r="24" customFormat="false" ht="15" hidden="false" customHeight="false" outlineLevel="0" collapsed="false">
      <c r="A24" s="2" t="s">
        <v>158</v>
      </c>
    </row>
    <row r="25" customFormat="false" ht="15" hidden="false" customHeight="false" outlineLevel="0" collapsed="false">
      <c r="A25" s="2" t="s">
        <v>159</v>
      </c>
    </row>
    <row r="26" customFormat="false" ht="15" hidden="false" customHeight="false" outlineLevel="0" collapsed="false">
      <c r="A26" s="2" t="s">
        <v>160</v>
      </c>
    </row>
    <row r="27" customFormat="false" ht="15" hidden="false" customHeight="false" outlineLevel="0" collapsed="false">
      <c r="A27" s="2" t="s">
        <v>161</v>
      </c>
    </row>
    <row r="28" customFormat="false" ht="15" hidden="false" customHeight="false" outlineLevel="0" collapsed="false">
      <c r="A28" s="2" t="s">
        <v>162</v>
      </c>
    </row>
    <row r="29" customFormat="false" ht="15" hidden="false" customHeight="false" outlineLevel="0" collapsed="false">
      <c r="A29" s="2" t="s">
        <v>163</v>
      </c>
    </row>
    <row r="30" customFormat="false" ht="15" hidden="false" customHeight="false" outlineLevel="0" collapsed="false">
      <c r="A30" s="2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50"/>
  </cols>
  <sheetData>
    <row r="1" customFormat="false" ht="16.15" hidden="false" customHeight="fals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5" customFormat="false" ht="15" hidden="false" customHeight="false" outlineLevel="0" collapsed="false">
      <c r="A5" s="15" t="s">
        <v>167</v>
      </c>
      <c r="B5" s="9" t="n">
        <f aca="false">'1 Inputs'!$B$24</f>
        <v>80000</v>
      </c>
      <c r="D5" s="2" t="s">
        <v>168</v>
      </c>
    </row>
    <row r="6" customFormat="false" ht="15" hidden="false" customHeight="false" outlineLevel="0" collapsed="false">
      <c r="A6" s="15" t="s">
        <v>37</v>
      </c>
      <c r="B6" s="17" t="n">
        <f aca="false">'1 Inputs'!$B$25</f>
        <v>4</v>
      </c>
      <c r="D6" s="2" t="s">
        <v>168</v>
      </c>
    </row>
    <row r="7" customFormat="false" ht="15" hidden="false" customHeight="false" outlineLevel="0" collapsed="false">
      <c r="A7" s="11" t="s">
        <v>169</v>
      </c>
      <c r="B7" s="9" t="n">
        <f aca="false">'1 Inputs'!$B$24</f>
        <v>80000</v>
      </c>
      <c r="D7" s="2" t="s">
        <v>170</v>
      </c>
    </row>
    <row r="8" customFormat="false" ht="15" hidden="false" customHeight="false" outlineLevel="0" collapsed="false">
      <c r="A8" s="11" t="s">
        <v>171</v>
      </c>
      <c r="B8" s="9" t="n">
        <f aca="false">'1 Inputs'!$B$24*'1 Inputs'!$B$25</f>
        <v>320000</v>
      </c>
      <c r="D8" s="2" t="s">
        <v>172</v>
      </c>
    </row>
    <row r="9" customFormat="false" ht="15" hidden="false" customHeight="false" outlineLevel="0" collapsed="false">
      <c r="A9" s="15" t="s">
        <v>173</v>
      </c>
      <c r="B9" s="13" t="n">
        <f aca="false">B8/'1 Inputs'!$B$5*10000</f>
        <v>133.333333333333</v>
      </c>
      <c r="D9" s="2"/>
    </row>
    <row r="11" customFormat="false" ht="15" hidden="false" customHeight="false" outlineLevel="0" collapsed="false">
      <c r="A11" s="11" t="s">
        <v>174</v>
      </c>
    </row>
    <row r="12" customFormat="false" ht="15" hidden="false" customHeight="false" outlineLevel="0" collapsed="false">
      <c r="A12" s="2" t="s">
        <v>175</v>
      </c>
      <c r="B12" s="9" t="n">
        <f aca="false">B7</f>
        <v>80000</v>
      </c>
      <c r="D12" s="2" t="s">
        <v>176</v>
      </c>
    </row>
    <row r="13" customFormat="false" ht="15" hidden="false" customHeight="false" outlineLevel="0" collapsed="false">
      <c r="A13" s="2" t="s">
        <v>177</v>
      </c>
      <c r="B13" s="9" t="n">
        <f aca="false">B8</f>
        <v>320000</v>
      </c>
      <c r="D13" s="2" t="s">
        <v>178</v>
      </c>
    </row>
    <row r="16" customFormat="false" ht="28.35" hidden="false" customHeight="false" outlineLevel="0" collapsed="false">
      <c r="A16" s="8" t="s">
        <v>179</v>
      </c>
      <c r="B16" s="8" t="s">
        <v>180</v>
      </c>
      <c r="C16" s="8" t="s">
        <v>181</v>
      </c>
      <c r="D16" s="8" t="s">
        <v>182</v>
      </c>
      <c r="E16" s="8" t="s">
        <v>183</v>
      </c>
    </row>
    <row r="17" customFormat="false" ht="15" hidden="false" customHeight="false" outlineLevel="0" collapsed="false">
      <c r="A17" s="16" t="n">
        <v>0.5</v>
      </c>
      <c r="B17" s="19" t="n">
        <f aca="false">1/A17</f>
        <v>2</v>
      </c>
      <c r="C17" s="9" t="n">
        <f aca="false">'1 Inputs'!$B$24/A17</f>
        <v>160000</v>
      </c>
      <c r="D17" s="13" t="n">
        <f aca="false">C17/'1 Inputs'!$B$5*10000</f>
        <v>66.6666666666667</v>
      </c>
      <c r="E17" s="0" t="str">
        <f aca="false">IF(D17&gt;'1 Inputs'!$B$28*10000,"more than the survey","less than the survey")</f>
        <v>more than the survey</v>
      </c>
    </row>
    <row r="18" customFormat="false" ht="15" hidden="false" customHeight="false" outlineLevel="0" collapsed="false">
      <c r="A18" s="16" t="n">
        <v>0.33</v>
      </c>
      <c r="B18" s="19" t="n">
        <f aca="false">1/A18</f>
        <v>3.03030303030303</v>
      </c>
      <c r="C18" s="9" t="n">
        <f aca="false">'1 Inputs'!$B$24/A18</f>
        <v>242424.242424242</v>
      </c>
      <c r="D18" s="13" t="n">
        <f aca="false">C18/'1 Inputs'!$B$5*10000</f>
        <v>101.010101010101</v>
      </c>
      <c r="E18" s="0" t="str">
        <f aca="false">IF(D18&gt;'1 Inputs'!$B$28*10000,"more than the survey","less than the survey")</f>
        <v>more than the survey</v>
      </c>
    </row>
    <row r="19" customFormat="false" ht="15" hidden="false" customHeight="false" outlineLevel="0" collapsed="false">
      <c r="A19" s="16" t="n">
        <v>0.25</v>
      </c>
      <c r="B19" s="19" t="n">
        <f aca="false">1/A19</f>
        <v>4</v>
      </c>
      <c r="C19" s="9" t="n">
        <f aca="false">'1 Inputs'!$B$24/A19</f>
        <v>320000</v>
      </c>
      <c r="D19" s="13" t="n">
        <f aca="false">C19/'1 Inputs'!$B$5*10000</f>
        <v>133.333333333333</v>
      </c>
      <c r="E19" s="0" t="str">
        <f aca="false">IF(D19&gt;'1 Inputs'!$B$28*10000,"more than the survey","less than the survey")</f>
        <v>more than the survey</v>
      </c>
    </row>
    <row r="20" customFormat="false" ht="15" hidden="false" customHeight="false" outlineLevel="0" collapsed="false">
      <c r="A20" s="16" t="n">
        <v>0.2</v>
      </c>
      <c r="B20" s="19" t="n">
        <f aca="false">1/A20</f>
        <v>5</v>
      </c>
      <c r="C20" s="9" t="n">
        <f aca="false">'1 Inputs'!$B$24/A20</f>
        <v>400000</v>
      </c>
      <c r="D20" s="13" t="n">
        <f aca="false">C20/'1 Inputs'!$B$5*10000</f>
        <v>166.666666666667</v>
      </c>
      <c r="E20" s="0" t="str">
        <f aca="false">IF(D20&gt;'1 Inputs'!$B$28*10000,"more than the survey","less than the survey")</f>
        <v>more than the survey</v>
      </c>
    </row>
    <row r="21" customFormat="false" ht="15" hidden="false" customHeight="false" outlineLevel="0" collapsed="false">
      <c r="A21" s="16" t="n">
        <v>0.1</v>
      </c>
      <c r="B21" s="19" t="n">
        <f aca="false">1/A21</f>
        <v>10</v>
      </c>
      <c r="C21" s="9" t="n">
        <f aca="false">'1 Inputs'!$B$24/A21</f>
        <v>800000</v>
      </c>
      <c r="D21" s="13" t="n">
        <f aca="false">C21/'1 Inputs'!$B$5*10000</f>
        <v>333.333333333333</v>
      </c>
      <c r="E21" s="0" t="str">
        <f aca="false">IF(D21&gt;'1 Inputs'!$B$28*10000,"more than the survey","less than the survey")</f>
        <v>more than the survey</v>
      </c>
    </row>
    <row r="23" customFormat="false" ht="15" hidden="false" customHeight="false" outlineLevel="0" collapsed="false">
      <c r="A23" s="2" t="s">
        <v>184</v>
      </c>
    </row>
    <row r="24" customFormat="false" ht="15" hidden="false" customHeight="false" outlineLevel="0" collapsed="false">
      <c r="A24" s="2" t="s">
        <v>185</v>
      </c>
    </row>
    <row r="25" customFormat="false" ht="15" hidden="false" customHeight="false" outlineLevel="0" collapsed="false">
      <c r="A25" s="2" t="s">
        <v>186</v>
      </c>
    </row>
    <row r="26" customFormat="false" ht="15" hidden="false" customHeight="false" outlineLevel="0" collapsed="false">
      <c r="A26" s="2" t="s">
        <v>187</v>
      </c>
    </row>
    <row r="27" customFormat="false" ht="15" hidden="false" customHeight="false" outlineLevel="0" collapsed="false">
      <c r="A27" s="2" t="s">
        <v>188</v>
      </c>
    </row>
    <row r="28" customFormat="false" ht="15" hidden="false" customHeight="false" outlineLevel="0" collapsed="false">
      <c r="A28" s="2" t="s">
        <v>189</v>
      </c>
    </row>
    <row r="29" customFormat="false" ht="15" hidden="false" customHeight="false" outlineLevel="0" collapsed="false">
      <c r="A29" s="2" t="s">
        <v>190</v>
      </c>
    </row>
    <row r="30" customFormat="false" ht="15" hidden="false" customHeight="false" outlineLevel="0" collapsed="false">
      <c r="A30" s="2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46"/>
  </cols>
  <sheetData>
    <row r="1" customFormat="false" ht="16.15" hidden="false" customHeight="false" outlineLevel="0" collapsed="false">
      <c r="A1" s="1" t="s">
        <v>192</v>
      </c>
    </row>
    <row r="2" customFormat="false" ht="15" hidden="false" customHeight="false" outlineLevel="0" collapsed="false">
      <c r="A2" s="2" t="s">
        <v>193</v>
      </c>
    </row>
    <row r="4" customFormat="false" ht="15" hidden="false" customHeight="false" outlineLevel="0" collapsed="false">
      <c r="A4" s="11" t="s">
        <v>194</v>
      </c>
    </row>
    <row r="5" customFormat="false" ht="28.35" hidden="false" customHeight="false" outlineLevel="0" collapsed="false">
      <c r="A5" s="8" t="s">
        <v>58</v>
      </c>
      <c r="B5" s="8" t="s">
        <v>195</v>
      </c>
      <c r="C5" s="8" t="s">
        <v>196</v>
      </c>
      <c r="D5" s="8" t="s">
        <v>197</v>
      </c>
    </row>
    <row r="6" customFormat="false" ht="15" hidden="false" customHeight="false" outlineLevel="0" collapsed="false">
      <c r="A6" s="0" t="s">
        <v>63</v>
      </c>
      <c r="B6" s="9" t="n">
        <f aca="false">'2 The ask'!C5</f>
        <v>522430.641210145</v>
      </c>
      <c r="C6" s="0" t="str">
        <f aca="false">IF(B6&gt;='1 Inputs'!$B$22,"reported","SUPPRESSED")</f>
        <v>reported</v>
      </c>
      <c r="D6" s="0" t="str">
        <f aca="false">IF(B6&gt;='1 Inputs'!$B$5*'1 Inputs'!$B$23,"yes","NO")</f>
        <v>yes</v>
      </c>
    </row>
    <row r="7" customFormat="false" ht="15" hidden="false" customHeight="false" outlineLevel="0" collapsed="false">
      <c r="A7" s="0" t="s">
        <v>66</v>
      </c>
      <c r="B7" s="9" t="n">
        <f aca="false">'2 The ask'!C6</f>
        <v>168224.299065421</v>
      </c>
      <c r="C7" s="0" t="str">
        <f aca="false">IF(B7&gt;='1 Inputs'!$B$22,"reported","SUPPRESSED")</f>
        <v>reported</v>
      </c>
      <c r="D7" s="0" t="str">
        <f aca="false">IF(B7&gt;='1 Inputs'!$B$5*'1 Inputs'!$B$23,"yes","NO")</f>
        <v>NO</v>
      </c>
    </row>
    <row r="8" customFormat="false" ht="15" hidden="false" customHeight="false" outlineLevel="0" collapsed="false">
      <c r="A8" s="0" t="s">
        <v>198</v>
      </c>
      <c r="B8" s="9" t="n">
        <f aca="false">'3 In the yield'!B6</f>
        <v>175000</v>
      </c>
      <c r="C8" s="0" t="str">
        <f aca="false">IF(B8&gt;='1 Inputs'!$B$22,"reported","SUPPRESSED")</f>
        <v>reported</v>
      </c>
      <c r="D8" s="0" t="str">
        <f aca="false">IF(B8&gt;='1 Inputs'!$B$5*'1 Inputs'!$B$23,"yes","NO")</f>
        <v>NO</v>
      </c>
    </row>
    <row r="9" customFormat="false" ht="15" hidden="false" customHeight="false" outlineLevel="0" collapsed="false">
      <c r="A9" s="0" t="s">
        <v>199</v>
      </c>
      <c r="B9" s="9" t="n">
        <f aca="false">'2 The ask'!C8</f>
        <v>280000</v>
      </c>
      <c r="C9" s="0" t="str">
        <f aca="false">IF(B9&gt;='1 Inputs'!$B$22,"reported","SUPPRESSED")</f>
        <v>reported</v>
      </c>
      <c r="D9" s="0" t="str">
        <f aca="false">IF(B9&gt;='1 Inputs'!$B$5*'1 Inputs'!$B$23,"yes","NO")</f>
        <v>yes</v>
      </c>
    </row>
    <row r="10" customFormat="false" ht="15" hidden="false" customHeight="false" outlineLevel="0" collapsed="false">
      <c r="A10" s="0" t="s">
        <v>200</v>
      </c>
      <c r="B10" s="9" t="n">
        <f aca="false">'1 Inputs'!$B$19</f>
        <v>38000</v>
      </c>
      <c r="C10" s="0" t="str">
        <f aca="false">IF(B10&gt;='1 Inputs'!$B$22,"reported","SUPPRESSED")</f>
        <v>SUPPRESSED</v>
      </c>
      <c r="D10" s="0" t="str">
        <f aca="false">IF(B10&gt;='1 Inputs'!$B$5*'1 Inputs'!$B$23,"yes","NO")</f>
        <v>NO</v>
      </c>
    </row>
    <row r="12" customFormat="false" ht="15" hidden="false" customHeight="false" outlineLevel="0" collapsed="false">
      <c r="A12" s="0" t="s">
        <v>201</v>
      </c>
      <c r="C12" s="9" t="n">
        <f aca="false">SUMIF(C6:C10,"reported",B6:B10)</f>
        <v>1145654.94027557</v>
      </c>
    </row>
    <row r="13" customFormat="false" ht="15" hidden="false" customHeight="false" outlineLevel="0" collapsed="false">
      <c r="A13" s="0" t="s">
        <v>202</v>
      </c>
      <c r="C13" s="9" t="n">
        <f aca="false">SUMIF(C6:C10,"SUPPRESSED",B6:B10)</f>
        <v>38000</v>
      </c>
    </row>
    <row r="14" customFormat="false" ht="15" hidden="false" customHeight="false" outlineLevel="0" collapsed="false">
      <c r="A14" s="0" t="s">
        <v>203</v>
      </c>
      <c r="C14" s="16" t="n">
        <f aca="false">C13/SUM(B6:B10)</f>
        <v>0.0321039508280625</v>
      </c>
    </row>
    <row r="15" customFormat="false" ht="15" hidden="false" customHeight="false" outlineLevel="0" collapsed="false">
      <c r="A15" s="0" t="s">
        <v>204</v>
      </c>
      <c r="C15" s="9" t="n">
        <f aca="false">'1 Inputs'!$B$5*'1 Inputs'!$B$23</f>
        <v>240000</v>
      </c>
    </row>
    <row r="16" customFormat="false" ht="15" hidden="false" customHeight="false" outlineLevel="0" collapsed="false">
      <c r="A16" s="0" t="s">
        <v>205</v>
      </c>
      <c r="C16" s="17" t="n">
        <f aca="false">COUNTIF(D6:D10,"yes")</f>
        <v>2</v>
      </c>
    </row>
    <row r="17" customFormat="false" ht="15" hidden="false" customHeight="false" outlineLevel="0" collapsed="false">
      <c r="A17" s="0" t="s">
        <v>206</v>
      </c>
      <c r="C17" s="17" t="n">
        <f aca="false">COUNTIF(D6:D10,"NO")</f>
        <v>3</v>
      </c>
    </row>
    <row r="18" customFormat="false" ht="15" hidden="false" customHeight="false" outlineLevel="0" collapsed="false">
      <c r="A18" s="0" t="s">
        <v>207</v>
      </c>
      <c r="C18" s="9" t="n">
        <f aca="false">SUMIF(D6:D10,"NO",B6:B10)</f>
        <v>381224.299065421</v>
      </c>
    </row>
    <row r="19" customFormat="false" ht="15" hidden="false" customHeight="false" outlineLevel="0" collapsed="false">
      <c r="A19" s="0" t="s">
        <v>208</v>
      </c>
      <c r="C19" s="9" t="n">
        <f aca="false">'3 In the yield'!B5+'3 In the yield'!B6</f>
        <v>865000</v>
      </c>
    </row>
    <row r="20" customFormat="false" ht="15" hidden="false" customHeight="false" outlineLevel="0" collapsed="false">
      <c r="A20" s="0" t="s">
        <v>209</v>
      </c>
      <c r="C20" s="9" t="n">
        <f aca="false">'3 In the yield'!B7+'3 In the yield'!B8</f>
        <v>318000</v>
      </c>
    </row>
    <row r="22" customFormat="false" ht="15" hidden="false" customHeight="false" outlineLevel="0" collapsed="false">
      <c r="A22" s="2" t="s">
        <v>210</v>
      </c>
    </row>
    <row r="23" customFormat="false" ht="15" hidden="false" customHeight="false" outlineLevel="0" collapsed="false">
      <c r="A23" s="2" t="s">
        <v>211</v>
      </c>
    </row>
    <row r="24" customFormat="false" ht="15" hidden="false" customHeight="false" outlineLevel="0" collapsed="false">
      <c r="A24" s="2" t="s">
        <v>212</v>
      </c>
    </row>
    <row r="25" customFormat="false" ht="15" hidden="false" customHeight="false" outlineLevel="0" collapsed="false">
      <c r="A25" s="2" t="s">
        <v>213</v>
      </c>
    </row>
    <row r="26" customFormat="false" ht="15" hidden="false" customHeight="false" outlineLevel="0" collapsed="false">
      <c r="A26" s="2" t="s">
        <v>214</v>
      </c>
    </row>
    <row r="27" customFormat="false" ht="15" hidden="false" customHeight="false" outlineLevel="0" collapsed="false">
      <c r="A27" s="2" t="s">
        <v>215</v>
      </c>
    </row>
    <row r="28" customFormat="false" ht="15" hidden="false" customHeight="false" outlineLevel="0" collapsed="false">
      <c r="A28" s="2" t="s">
        <v>216</v>
      </c>
    </row>
    <row r="29" customFormat="false" ht="15" hidden="false" customHeight="false" outlineLevel="0" collapsed="false">
      <c r="A29" s="2" t="s">
        <v>217</v>
      </c>
    </row>
    <row r="30" customFormat="false" ht="15" hidden="false" customHeight="false" outlineLevel="0" collapsed="false">
      <c r="A30" s="2" t="s">
        <v>218</v>
      </c>
    </row>
    <row r="31" customFormat="false" ht="15" hidden="false" customHeight="false" outlineLevel="0" collapsed="false">
      <c r="A31" s="2" t="s">
        <v>219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20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220</v>
      </c>
    </row>
    <row r="2" customFormat="false" ht="15" hidden="false" customHeight="false" outlineLevel="0" collapsed="false">
      <c r="A2" s="2" t="s">
        <v>221</v>
      </c>
    </row>
    <row r="4" customFormat="false" ht="15" hidden="false" customHeight="false" outlineLevel="0" collapsed="false">
      <c r="A4" s="8" t="s">
        <v>222</v>
      </c>
      <c r="B4" s="8" t="s">
        <v>195</v>
      </c>
      <c r="C4" s="8" t="s">
        <v>223</v>
      </c>
      <c r="D4" s="8" t="s">
        <v>224</v>
      </c>
    </row>
    <row r="5" customFormat="false" ht="15" hidden="false" customHeight="false" outlineLevel="0" collapsed="false">
      <c r="A5" s="0" t="s">
        <v>225</v>
      </c>
      <c r="B5" s="9" t="n">
        <f aca="false">ROUND('2 The ask'!C5,-3)</f>
        <v>522000</v>
      </c>
      <c r="C5" s="9" t="n">
        <v>522000</v>
      </c>
      <c r="D5" s="11" t="str">
        <f aca="false">IF(ABS(B5-C5)&lt;=MAX(0.5,ABS(C5)*0.0005),"PASS","FAIL")</f>
        <v>PASS</v>
      </c>
    </row>
    <row r="6" customFormat="false" ht="15" hidden="false" customHeight="false" outlineLevel="0" collapsed="false">
      <c r="A6" s="0" t="s">
        <v>226</v>
      </c>
      <c r="B6" s="9" t="n">
        <f aca="false">ROUND('2 The ask'!C6,-3)</f>
        <v>168000</v>
      </c>
      <c r="C6" s="9" t="n">
        <v>168000</v>
      </c>
      <c r="D6" s="11" t="str">
        <f aca="false">IF(ABS(B6-C6)&lt;=MAX(0.5,ABS(C6)*0.0005),"PASS","FAIL")</f>
        <v>PASS</v>
      </c>
    </row>
    <row r="7" customFormat="false" ht="15" hidden="false" customHeight="false" outlineLevel="0" collapsed="false">
      <c r="A7" s="0" t="s">
        <v>227</v>
      </c>
      <c r="B7" s="9" t="n">
        <f aca="false">'2 The ask'!B12</f>
        <v>690000</v>
      </c>
      <c r="C7" s="9" t="n">
        <v>690000</v>
      </c>
      <c r="D7" s="11" t="str">
        <f aca="false">IF(ABS(B7-C7)&lt;=MAX(0.5,ABS(C7)*0.0005),"PASS","FAIL")</f>
        <v>PASS</v>
      </c>
    </row>
    <row r="8" customFormat="false" ht="15" hidden="false" customHeight="false" outlineLevel="0" collapsed="false">
      <c r="A8" s="0" t="s">
        <v>228</v>
      </c>
      <c r="B8" s="9" t="n">
        <f aca="false">'2 The ask'!B13</f>
        <v>23310000</v>
      </c>
      <c r="C8" s="9" t="n">
        <v>23310000</v>
      </c>
      <c r="D8" s="11" t="str">
        <f aca="false">IF(ABS(B8-C8)&lt;=MAX(0.5,ABS(C8)*0.0005),"PASS","FAIL")</f>
        <v>PASS</v>
      </c>
    </row>
    <row r="9" customFormat="false" ht="15" hidden="false" customHeight="false" outlineLevel="0" collapsed="false">
      <c r="A9" s="0" t="s">
        <v>229</v>
      </c>
      <c r="B9" s="9" t="n">
        <f aca="false">'2 The ask'!B14</f>
        <v>23050000</v>
      </c>
      <c r="C9" s="9" t="n">
        <v>23050000</v>
      </c>
      <c r="D9" s="11" t="str">
        <f aca="false">IF(ABS(B9-C9)&lt;=MAX(0.5,ABS(C9)*0.0005),"PASS","FAIL")</f>
        <v>PASS</v>
      </c>
    </row>
    <row r="10" customFormat="false" ht="15" hidden="false" customHeight="false" outlineLevel="0" collapsed="false">
      <c r="A10" s="0" t="s">
        <v>230</v>
      </c>
      <c r="B10" s="9" t="n">
        <f aca="false">'2 The ask'!B8</f>
        <v>700000</v>
      </c>
      <c r="C10" s="9" t="n">
        <v>700000</v>
      </c>
      <c r="D10" s="11" t="str">
        <f aca="false">IF(ABS(B10-C10)&lt;=MAX(0.5,ABS(C10)*0.0005),"PASS","FAIL")</f>
        <v>PASS</v>
      </c>
    </row>
    <row r="11" customFormat="false" ht="15" hidden="false" customHeight="false" outlineLevel="0" collapsed="false">
      <c r="A11" s="0" t="s">
        <v>231</v>
      </c>
      <c r="B11" s="9" t="n">
        <f aca="false">'2 The ask'!C8</f>
        <v>280000</v>
      </c>
      <c r="C11" s="9" t="n">
        <v>280000</v>
      </c>
      <c r="D11" s="11" t="str">
        <f aca="false">IF(ABS(B11-C11)&lt;=MAX(0.5,ABS(C11)*0.0005),"PASS","FAIL")</f>
        <v>PASS</v>
      </c>
    </row>
    <row r="12" customFormat="false" ht="15" hidden="false" customHeight="false" outlineLevel="0" collapsed="false">
      <c r="A12" s="0" t="s">
        <v>232</v>
      </c>
      <c r="B12" s="12" t="n">
        <f aca="false">'2 The ask'!B15</f>
        <v>0.06</v>
      </c>
      <c r="C12" s="12" t="n">
        <v>0.06</v>
      </c>
      <c r="D12" s="11" t="str">
        <f aca="false">IF(ABS(B12-C12)&lt;=MAX(0.5,ABS(C12)*0.0005),"PASS","FAIL")</f>
        <v>PASS</v>
      </c>
    </row>
    <row r="13" customFormat="false" ht="15" hidden="false" customHeight="false" outlineLevel="0" collapsed="false">
      <c r="A13" s="0" t="s">
        <v>233</v>
      </c>
      <c r="B13" s="12" t="n">
        <f aca="false">ROUND('2 The ask'!B16,4)</f>
        <v>0.0618</v>
      </c>
      <c r="C13" s="12" t="n">
        <v>0.0618</v>
      </c>
      <c r="D13" s="11" t="str">
        <f aca="false">IF(ABS(B13-C13)&lt;=MAX(0.5,ABS(C13)*0.0005),"PASS","FAIL")</f>
        <v>PASS</v>
      </c>
    </row>
    <row r="14" customFormat="false" ht="15" hidden="false" customHeight="false" outlineLevel="0" collapsed="false">
      <c r="A14" s="0" t="s">
        <v>234</v>
      </c>
      <c r="B14" s="19" t="n">
        <f aca="false">ROUND('2 The ask'!B17,0)</f>
        <v>18</v>
      </c>
      <c r="C14" s="19" t="n">
        <v>18</v>
      </c>
      <c r="D14" s="11" t="str">
        <f aca="false">IF(ABS(B14-C14)&lt;=MAX(0.5,ABS(C14)*0.0005),"PASS","FAIL")</f>
        <v>PASS</v>
      </c>
    </row>
    <row r="15" customFormat="false" ht="15" hidden="false" customHeight="false" outlineLevel="0" collapsed="false">
      <c r="A15" s="0" t="s">
        <v>235</v>
      </c>
      <c r="B15" s="9" t="n">
        <f aca="false">'3 In the yield'!B5</f>
        <v>690000</v>
      </c>
      <c r="C15" s="9" t="n">
        <v>690000</v>
      </c>
      <c r="D15" s="11" t="str">
        <f aca="false">IF(ABS(B15-C15)&lt;=MAX(0.5,ABS(C15)*0.0005),"PASS","FAIL")</f>
        <v>PASS</v>
      </c>
    </row>
    <row r="16" customFormat="false" ht="15" hidden="false" customHeight="false" outlineLevel="0" collapsed="false">
      <c r="A16" s="0" t="s">
        <v>236</v>
      </c>
      <c r="B16" s="9" t="n">
        <f aca="false">'3 In the yield'!B10-'3 In the yield'!B5</f>
        <v>493000</v>
      </c>
      <c r="C16" s="9" t="n">
        <v>493000</v>
      </c>
      <c r="D16" s="11" t="str">
        <f aca="false">IF(ABS(B16-C16)&lt;=MAX(0.5,ABS(C16)*0.0005),"PASS","FAIL")</f>
        <v>PASS</v>
      </c>
    </row>
    <row r="17" customFormat="false" ht="15" hidden="false" customHeight="false" outlineLevel="0" collapsed="false">
      <c r="A17" s="0" t="s">
        <v>237</v>
      </c>
      <c r="B17" s="17" t="n">
        <f aca="false">IF('3 In the yield'!B10&gt;'3 In the yield'!B5,1,0)</f>
        <v>1</v>
      </c>
      <c r="C17" s="17" t="n">
        <v>1</v>
      </c>
      <c r="D17" s="11" t="str">
        <f aca="false">IF(ABS(B17-C17)&lt;=MAX(0.5,ABS(C17)*0.0005),"PASS","FAIL")</f>
        <v>PASS</v>
      </c>
    </row>
    <row r="18" customFormat="false" ht="15" hidden="false" customHeight="false" outlineLevel="0" collapsed="false">
      <c r="A18" s="0" t="s">
        <v>238</v>
      </c>
      <c r="B18" s="17" t="n">
        <f aca="false">IF('3 In the yield'!B15&gt;'2 The ask'!B17,1,0)</f>
        <v>1</v>
      </c>
      <c r="C18" s="17" t="n">
        <v>1</v>
      </c>
      <c r="D18" s="11" t="str">
        <f aca="false">IF(ABS(B18-C18)&lt;=MAX(0.5,ABS(C18)*0.0005),"PASS","FAIL")</f>
        <v>PASS</v>
      </c>
    </row>
    <row r="19" customFormat="false" ht="15" hidden="false" customHeight="false" outlineLevel="0" collapsed="false">
      <c r="A19" s="0" t="s">
        <v>239</v>
      </c>
      <c r="B19" s="19" t="n">
        <f aca="false">ROUND('3 In the yield'!B17,0)</f>
        <v>13</v>
      </c>
      <c r="C19" s="19" t="n">
        <v>13</v>
      </c>
      <c r="D19" s="11" t="str">
        <f aca="false">IF(ABS(B19-C19)&lt;=MAX(0.5,ABS(C19)*0.0005),"PASS","FAIL")</f>
        <v>PASS</v>
      </c>
    </row>
    <row r="20" customFormat="false" ht="15" hidden="false" customHeight="false" outlineLevel="0" collapsed="false">
      <c r="A20" s="0" t="s">
        <v>240</v>
      </c>
      <c r="B20" s="9" t="n">
        <f aca="false">'4 Workstreams'!C16</f>
        <v>422400</v>
      </c>
      <c r="C20" s="9" t="n">
        <f aca="false">SUMPRODUCT(('1 Inputs'!$B$28:$B$37)*'1 Inputs'!$B$5)</f>
        <v>422400</v>
      </c>
      <c r="D20" s="11" t="str">
        <f aca="false">IF(ABS(B20-C20)&lt;=MAX(1,ABS(C20)*0.0005),"PASS","FAIL")</f>
        <v>PASS</v>
      </c>
    </row>
    <row r="21" customFormat="false" ht="15" hidden="false" customHeight="false" outlineLevel="0" collapsed="false">
      <c r="A21" s="0" t="s">
        <v>241</v>
      </c>
      <c r="B21" s="9" t="n">
        <f aca="false">'4 Workstreams'!D16</f>
        <v>1183000</v>
      </c>
      <c r="C21" s="9" t="n">
        <f aca="false">'3 In the yield'!B10</f>
        <v>1183000</v>
      </c>
      <c r="D21" s="11" t="str">
        <f aca="false">IF(ABS(B21-C21)&lt;=MAX(1,ABS(C21)*0.0005),"PASS","FAIL")</f>
        <v>PASS</v>
      </c>
    </row>
    <row r="22" customFormat="false" ht="15" hidden="false" customHeight="false" outlineLevel="0" collapsed="false">
      <c r="A22" s="0" t="s">
        <v>242</v>
      </c>
      <c r="B22" s="17" t="n">
        <f aca="false">IF('4 Workstreams'!D16&gt;'4 Workstreams'!C16,1,0)</f>
        <v>1</v>
      </c>
      <c r="C22" s="17" t="n">
        <v>1</v>
      </c>
      <c r="D22" s="11" t="str">
        <f aca="false">IF(ABS(B22-C22)&lt;=MAX(0.5,ABS(C22)*0.0005),"PASS","FAIL")</f>
        <v>PASS</v>
      </c>
    </row>
    <row r="23" customFormat="false" ht="15" hidden="false" customHeight="false" outlineLevel="0" collapsed="false">
      <c r="A23" s="0" t="s">
        <v>243</v>
      </c>
      <c r="B23" s="17" t="n">
        <f aca="false">IF('4 Workstreams'!E5&gt;'4 Workstreams'!E16,1,0)</f>
        <v>1</v>
      </c>
      <c r="C23" s="17" t="n">
        <v>1</v>
      </c>
      <c r="D23" s="11" t="str">
        <f aca="false">IF(ABS(B23-C23)&lt;=MAX(0.5,ABS(C23)*0.0005),"PASS","FAIL")</f>
        <v>PASS</v>
      </c>
    </row>
    <row r="24" customFormat="false" ht="15" hidden="false" customHeight="false" outlineLevel="0" collapsed="false">
      <c r="A24" s="0" t="s">
        <v>244</v>
      </c>
      <c r="B24" s="17" t="n">
        <f aca="false">'4 Workstreams'!B19</f>
        <v>8</v>
      </c>
      <c r="C24" s="17" t="n">
        <v>8</v>
      </c>
      <c r="D24" s="11" t="str">
        <f aca="false">IF(ABS(B24-C24)&lt;=MAX(0.5,ABS(C24)*0.0005),"PASS","FAIL")</f>
        <v>PASS</v>
      </c>
    </row>
    <row r="25" customFormat="false" ht="15" hidden="false" customHeight="false" outlineLevel="0" collapsed="false">
      <c r="A25" s="0" t="s">
        <v>245</v>
      </c>
      <c r="B25" s="12" t="n">
        <f aca="false">ROUND('5 The ground'!C15,4)</f>
        <v>0.024</v>
      </c>
      <c r="C25" s="12" t="n">
        <v>0.024</v>
      </c>
      <c r="D25" s="11" t="str">
        <f aca="false">IF(ABS(B25-C25)&lt;=MAX(0.5,ABS(C25)*0.0005),"PASS","FAIL")</f>
        <v>PASS</v>
      </c>
    </row>
    <row r="26" customFormat="false" ht="15" hidden="false" customHeight="false" outlineLevel="0" collapsed="false">
      <c r="A26" s="0" t="s">
        <v>246</v>
      </c>
      <c r="B26" s="17" t="n">
        <f aca="false">IF('5 The ground'!C9&lt;'5 The ground'!$B$4,1,0)</f>
        <v>1</v>
      </c>
      <c r="C26" s="17" t="n">
        <v>1</v>
      </c>
      <c r="D26" s="11" t="str">
        <f aca="false">IF(ABS(B26-C26)&lt;=MAX(0.5,ABS(C26)*0.0005),"PASS","FAIL")</f>
        <v>PASS</v>
      </c>
    </row>
    <row r="27" customFormat="false" ht="15" hidden="false" customHeight="false" outlineLevel="0" collapsed="false">
      <c r="A27" s="0" t="s">
        <v>247</v>
      </c>
      <c r="B27" s="17" t="n">
        <f aca="false">IF('5 The ground'!D9&gt;'5 The ground'!$B$4,1,0)</f>
        <v>1</v>
      </c>
      <c r="C27" s="17" t="n">
        <v>1</v>
      </c>
      <c r="D27" s="11" t="str">
        <f aca="false">IF(ABS(B27-C27)&lt;=MAX(0.5,ABS(C27)*0.0005),"PASS","FAIL")</f>
        <v>PASS</v>
      </c>
    </row>
    <row r="28" customFormat="false" ht="15" hidden="false" customHeight="false" outlineLevel="0" collapsed="false">
      <c r="A28" s="0" t="s">
        <v>248</v>
      </c>
      <c r="B28" s="17" t="n">
        <f aca="false">IF('5 The ground'!C11&gt;'5 The ground'!$B$4,1,0)</f>
        <v>1</v>
      </c>
      <c r="C28" s="17" t="n">
        <v>1</v>
      </c>
      <c r="D28" s="11" t="str">
        <f aca="false">IF(ABS(B28-C28)&lt;=MAX(0.5,ABS(C28)*0.0005),"PASS","FAIL")</f>
        <v>PASS</v>
      </c>
    </row>
    <row r="29" customFormat="false" ht="15" hidden="false" customHeight="false" outlineLevel="0" collapsed="false">
      <c r="A29" s="0" t="s">
        <v>249</v>
      </c>
      <c r="B29" s="9" t="n">
        <f aca="false">'6 Four bidders'!B7</f>
        <v>80000</v>
      </c>
      <c r="C29" s="9" t="n">
        <v>80000</v>
      </c>
      <c r="D29" s="11" t="str">
        <f aca="false">IF(ABS(B29-C29)&lt;=MAX(0.5,ABS(C29)*0.0005),"PASS","FAIL")</f>
        <v>PASS</v>
      </c>
    </row>
    <row r="30" customFormat="false" ht="15" hidden="false" customHeight="false" outlineLevel="0" collapsed="false">
      <c r="A30" s="0" t="s">
        <v>250</v>
      </c>
      <c r="B30" s="9" t="n">
        <f aca="false">'6 Four bidders'!B8</f>
        <v>320000</v>
      </c>
      <c r="C30" s="9" t="n">
        <v>320000</v>
      </c>
      <c r="D30" s="11" t="str">
        <f aca="false">IF(ABS(B30-C30)&lt;=MAX(0.5,ABS(C30)*0.0005),"PASS","FAIL")</f>
        <v>PASS</v>
      </c>
    </row>
    <row r="31" customFormat="false" ht="15" hidden="false" customHeight="false" outlineLevel="0" collapsed="false">
      <c r="A31" s="0" t="s">
        <v>251</v>
      </c>
      <c r="B31" s="17" t="n">
        <f aca="false">IF('6 Four bidders'!D21&gt;'1 Inputs'!$B$28*10000,1,0)</f>
        <v>1</v>
      </c>
      <c r="C31" s="17" t="n">
        <v>1</v>
      </c>
      <c r="D31" s="11" t="str">
        <f aca="false">IF(ABS(B31-C31)&lt;=MAX(0.5,ABS(C31)*0.0005),"PASS","FAIL")</f>
        <v>PASS</v>
      </c>
    </row>
    <row r="32" customFormat="false" ht="15" hidden="false" customHeight="false" outlineLevel="0" collapsed="false">
      <c r="A32" s="0" t="s">
        <v>252</v>
      </c>
      <c r="B32" s="17" t="n">
        <f aca="false">COUNTIF('7 Threshold and basket'!C6:C10,"SUPPRESSED")</f>
        <v>1</v>
      </c>
      <c r="C32" s="17" t="n">
        <v>1</v>
      </c>
      <c r="D32" s="11" t="str">
        <f aca="false">IF(ABS(B32-C32)&lt;=MAX(0.5,ABS(C32)*0.0005),"PASS","FAIL")</f>
        <v>PASS</v>
      </c>
    </row>
    <row r="33" customFormat="false" ht="15" hidden="false" customHeight="false" outlineLevel="0" collapsed="false">
      <c r="A33" s="0" t="s">
        <v>253</v>
      </c>
      <c r="B33" s="9" t="n">
        <f aca="false">'7 Threshold and basket'!C13</f>
        <v>38000</v>
      </c>
      <c r="C33" s="9" t="n">
        <v>38000</v>
      </c>
      <c r="D33" s="11" t="str">
        <f aca="false">IF(ABS(B33-C33)&lt;=MAX(0.5,ABS(C33)*0.0005),"PASS","FAIL")</f>
        <v>PASS</v>
      </c>
    </row>
    <row r="34" customFormat="false" ht="15" hidden="false" customHeight="false" outlineLevel="0" collapsed="false">
      <c r="A34" s="0" t="s">
        <v>254</v>
      </c>
      <c r="B34" s="17" t="n">
        <f aca="false">IF('7 Threshold and basket'!C14&lt;0.05,1,0)</f>
        <v>1</v>
      </c>
      <c r="C34" s="17" t="n">
        <v>1</v>
      </c>
      <c r="D34" s="11" t="str">
        <f aca="false">IF(ABS(B34-C34)&lt;=MAX(0.5,ABS(C34)*0.0005),"PASS","FAIL")</f>
        <v>PASS</v>
      </c>
    </row>
    <row r="35" customFormat="false" ht="15" hidden="false" customHeight="false" outlineLevel="0" collapsed="false">
      <c r="A35" s="0" t="s">
        <v>255</v>
      </c>
      <c r="B35" s="17" t="n">
        <f aca="false">'7 Threshold and basket'!C17</f>
        <v>3</v>
      </c>
      <c r="C35" s="17" t="n">
        <v>3</v>
      </c>
      <c r="D35" s="11" t="str">
        <f aca="false">IF(ABS(B35-C35)&lt;=MAX(0.5,ABS(C35)*0.0005),"PASS","FAIL")</f>
        <v>PASS</v>
      </c>
    </row>
    <row r="36" customFormat="false" ht="15" hidden="false" customHeight="false" outlineLevel="0" collapsed="false">
      <c r="A36" s="0" t="s">
        <v>256</v>
      </c>
      <c r="B36" s="17" t="n">
        <f aca="false">IF('7 Threshold and basket'!C18&gt;'7 Threshold and basket'!C15,1,0)</f>
        <v>1</v>
      </c>
      <c r="C36" s="17" t="n">
        <v>1</v>
      </c>
      <c r="D36" s="11" t="str">
        <f aca="false">IF(ABS(B36-C36)&lt;=MAX(0.5,ABS(C36)*0.0005),"PASS","FAIL")</f>
        <v>PASS</v>
      </c>
    </row>
    <row r="37" customFormat="false" ht="15" hidden="false" customHeight="false" outlineLevel="0" collapsed="false">
      <c r="A37" s="0" t="s">
        <v>257</v>
      </c>
      <c r="B37" s="9" t="n">
        <f aca="false">'7 Threshold and basket'!C19</f>
        <v>865000</v>
      </c>
      <c r="C37" s="9" t="n">
        <f aca="false">'3 In the yield'!B5+'3 In the yield'!B6</f>
        <v>865000</v>
      </c>
      <c r="D37" s="11" t="str">
        <f aca="false">IF(ABS(B37-C37)&lt;=MAX(1,ABS(C37)*0.0005),"PASS","FAIL")</f>
        <v>PASS</v>
      </c>
    </row>
    <row r="39" customFormat="false" ht="15" hidden="false" customHeight="false" outlineLevel="0" collapsed="false">
      <c r="A39" s="11" t="s">
        <v>258</v>
      </c>
      <c r="B39" s="11" t="n">
        <f aca="false">COUNTIF(D5:D37,"PASS")</f>
        <v>33</v>
      </c>
      <c r="C39" s="11" t="n">
        <v>33</v>
      </c>
      <c r="D39" s="11" t="str">
        <f aca="false">IF(B39=C39,"ALL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2026-08-22T15:31:37Z</dcterms:created>
  <dc:creator>openpyxl</dc:creator>
  <dc:description/>
  <dc:language>en-US</dc:language>
  <cp:lastModifiedBy/>
  <dcterms:modified xsi:type="dcterms:W3CDTF">2026-08-24T03:34:33Z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