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Curve" sheetId="2" state="visible" r:id="rId4"/>
    <sheet name="Position" sheetId="3" state="visible" r:id="rId5"/>
    <sheet name="Liquidity" sheetId="4" state="visible" r:id="rId6"/>
    <sheet name="At Other Mov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<sst xmlns="http://schemas.openxmlformats.org/spreadsheetml/2006/main" count="168" uniqueCount="122">
  <si>
    <t xml:space="preserve">Margin and liquidity - inputs</t>
  </si>
  <si>
    <t xml:space="preserve">The yellow cells are the two choices the whole answer turns on.</t>
  </si>
  <si>
    <t xml:space="preserve">Sold forward against the plant, MWh</t>
  </si>
  <si>
    <t xml:space="preserve">The capacity across the available hours (Curve sheet): computed, no longer typed.</t>
  </si>
  <si>
    <t xml:space="preserve">Bought forward against the retail book, MWh</t>
  </si>
  <si>
    <t xml:space="preserve">Plant output, MWh</t>
  </si>
  <si>
    <t xml:space="preserve">The dispatch: the capacity in every available hour that clears the marginal cost.</t>
  </si>
  <si>
    <t xml:space="preserve">Declared price move, per MWh</t>
  </si>
  <si>
    <t xml:space="preserve">A policy choice, not a forecast.</t>
  </si>
  <si>
    <t xml:space="preserve">Cash</t>
  </si>
  <si>
    <t xml:space="preserve">Committed facility, undrawn</t>
  </si>
  <si>
    <t xml:space="preserve">Equity</t>
  </si>
  <si>
    <t xml:space="preserve">CSA threshold on the bilateral leg</t>
  </si>
  <si>
    <t xml:space="preserve">Collateral lag, business days</t>
  </si>
  <si>
    <t xml:space="preserve">The plant, for the two volumes above</t>
  </si>
  <si>
    <t xml:space="preserve">Plant capacity, MW</t>
  </si>
  <si>
    <t xml:space="preserve">Heat rate, MMBtu per MWh</t>
  </si>
  <si>
    <t xml:space="preserve">Gas, per MMBtu</t>
  </si>
  <si>
    <t xml:space="preserve">Variable operating cost, per MWh</t>
  </si>
  <si>
    <t xml:space="preserve">Marginal cost per MWh</t>
  </si>
  <si>
    <t xml:space="preserve">The price duration curve</t>
  </si>
  <si>
    <t xml:space="preserve">The year's 8,760 hourly prices, sorted and grouped. Blue cells are inputs: change an hour count or a price and everything in this workbook moves.</t>
  </si>
  <si>
    <t xml:space="preserve">Hours</t>
  </si>
  <si>
    <t xml:space="preserve">Price per MWh</t>
  </si>
  <si>
    <t xml:space="preserve">Hours x price</t>
  </si>
  <si>
    <t xml:space="preserve">Available hours</t>
  </si>
  <si>
    <t xml:space="preserve">Available hours x price</t>
  </si>
  <si>
    <t xml:space="preserve">Time-weighted average price</t>
  </si>
  <si>
    <t xml:space="preserve">Annual baseload forward (set equal to it by construction)</t>
  </si>
  <si>
    <t xml:space="preserve">Outage hours, taken at the bottom of the curve</t>
  </si>
  <si>
    <t xml:space="preserve">Hours x price over the available hours (the outage takes the cheapest hours first)</t>
  </si>
  <si>
    <t xml:space="preserve">Average price over the available hours</t>
  </si>
  <si>
    <t xml:space="preserve">Difference from the annual forward</t>
  </si>
  <si>
    <t xml:space="preserve">What the report says, and what is true</t>
  </si>
  <si>
    <t xml:space="preserve">Net position, MWh (short)</t>
  </si>
  <si>
    <t xml:space="preserve">Gross, MWh</t>
  </si>
  <si>
    <t xml:space="preserve">Reported hedge ratio</t>
  </si>
  <si>
    <t xml:space="preserve">Physically short, MWh</t>
  </si>
  <si>
    <t xml:space="preserve">True short position, MWh</t>
  </si>
  <si>
    <t xml:space="preserve">True over reported</t>
  </si>
  <si>
    <t xml:space="preserve">True hedge ratio</t>
  </si>
  <si>
    <t xml:space="preserve">The day-one cash call</t>
  </si>
  <si>
    <t xml:space="preserve">Change the declared move and everything below it moves.</t>
  </si>
  <si>
    <t xml:space="preserve">Variation margin on the cleared short leg</t>
  </si>
  <si>
    <t xml:space="preserve">Value gained on the bilateral long leg</t>
  </si>
  <si>
    <t xml:space="preserve">Collateral received, after the threshold (arrives later)</t>
  </si>
  <si>
    <t xml:space="preserve">Cash and undrawn facility</t>
  </si>
  <si>
    <t xml:space="preserve">Day-one position</t>
  </si>
  <si>
    <t xml:space="preserve">Call as a share of equity</t>
  </si>
  <si>
    <t xml:space="preserve">Both legs cleared: they net before margin</t>
  </si>
  <si>
    <t xml:space="preserve">Documentation factor</t>
  </si>
  <si>
    <t xml:space="preserve">Difference</t>
  </si>
  <si>
    <t xml:space="preserve">Move that exhausts liquidity, split documentation</t>
  </si>
  <si>
    <t xml:space="preserve">  as a share of the forward</t>
  </si>
  <si>
    <t xml:space="preserve">Move that exhausts liquidity, both cleared</t>
  </si>
  <si>
    <t xml:space="preserve">Cleared position the liquidity supports at the declared move</t>
  </si>
  <si>
    <t xml:space="preserve">Excess over that limit, MWh</t>
  </si>
  <si>
    <t xml:space="preserve">Effect on the year, true short repriced</t>
  </si>
  <si>
    <t xml:space="preserve">More from Chapters 12 to 14</t>
  </si>
  <si>
    <t xml:space="preserve">Declared move as a share of the forward</t>
  </si>
  <si>
    <t xml:space="preserve">If the collateral arrived the same morning: out of pocket</t>
  </si>
  <si>
    <t xml:space="preserve">Day-one position, both legs cleared</t>
  </si>
  <si>
    <t xml:space="preserve">Share of the cash capacity used, as documented</t>
  </si>
  <si>
    <t xml:space="preserve">  both legs cleared</t>
  </si>
  <si>
    <t xml:space="preserve">Committed facility needed to pay the declared move in full</t>
  </si>
  <si>
    <t xml:space="preserve">The plant's output earns more over the year</t>
  </si>
  <si>
    <t xml:space="preserve">The retail book costs more to serve</t>
  </si>
  <si>
    <t xml:space="preserve">The physical short, with no hedge attached</t>
  </si>
  <si>
    <t xml:space="preserve">Mark-to-market of the net position</t>
  </si>
  <si>
    <t xml:space="preserve">The year, documented: output gain less the cleared leg's loss</t>
  </si>
  <si>
    <t xml:space="preserve">The curve's highest hour taken as a move: the cleared leg the cash supports</t>
  </si>
  <si>
    <t xml:space="preserve">Move that exhausts liquidity, both cleared, as a share of the forward</t>
  </si>
  <si>
    <t xml:space="preserve">Plant output over the retail load</t>
  </si>
  <si>
    <t xml:space="preserve">Hours the hedge assumes over the hours the plant runs</t>
  </si>
  <si>
    <t xml:space="preserve">The limit at other moves</t>
  </si>
  <si>
    <t xml:space="preserve">Chapter 14. The limit is the cash divided by the move; a board that halves the move doubles the position it permits.</t>
  </si>
  <si>
    <t xml:space="preserve">Declared parallel move, per MWh</t>
  </si>
  <si>
    <t xml:space="preserve">Cleared short leg the cash supports, MWh</t>
  </si>
  <si>
    <t xml:space="preserve">Held less supported, MWh (positive: over)</t>
  </si>
  <si>
    <t xml:space="preserve">Facility needed</t>
  </si>
  <si>
    <t xml:space="preserve">steps, kept in the blank set</t>
  </si>
  <si>
    <t xml:space="preserve">the declared move on the Inputs sheet</t>
  </si>
  <si>
    <t xml:space="preserve">Checks</t>
  </si>
  <si>
    <t xml:space="preserve">The figure printed in the book beside the figure this workbook computes. Change an input and the rows that depend on it stop matching.</t>
  </si>
  <si>
    <t xml:space="preserve">What the book prints</t>
  </si>
  <si>
    <t xml:space="preserve">Printed</t>
  </si>
  <si>
    <t xml:space="preserve">Computed here</t>
  </si>
  <si>
    <t xml:space="preserve">Status</t>
  </si>
  <si>
    <t xml:space="preserve">Note</t>
  </si>
  <si>
    <t xml:space="preserve">Sold forward against the plant, MWh (now computed)</t>
  </si>
  <si>
    <t xml:space="preserve">tolerance 0.5</t>
  </si>
  <si>
    <t xml:space="preserve">Plant output, MWh (now computed)</t>
  </si>
  <si>
    <t xml:space="preserve">Reported hedge ratio (Chapter 1)</t>
  </si>
  <si>
    <t xml:space="preserve">tolerance 5e-07</t>
  </si>
  <si>
    <t xml:space="preserve">True short position, MWh (Chapter 10)</t>
  </si>
  <si>
    <t xml:space="preserve">tolerance 5e-05</t>
  </si>
  <si>
    <t xml:space="preserve">Variation margin, day one (Chapter 12)</t>
  </si>
  <si>
    <t xml:space="preserve">tolerance 0.005</t>
  </si>
  <si>
    <t xml:space="preserve">Value gained on the bilateral leg</t>
  </si>
  <si>
    <t xml:space="preserve">Collateral received after the threshold</t>
  </si>
  <si>
    <t xml:space="preserve">If the collateral arrived the same morning</t>
  </si>
  <si>
    <t xml:space="preserve">Both legs cleared (Chapter 13)</t>
  </si>
  <si>
    <t xml:space="preserve">Difference between the two documentations</t>
  </si>
  <si>
    <t xml:space="preserve">Day-one position, both cleared</t>
  </si>
  <si>
    <t xml:space="preserve">Move that exhausts liquidity</t>
  </si>
  <si>
    <t xml:space="preserve">Same, both cleared</t>
  </si>
  <si>
    <t xml:space="preserve">Position limit at the declared move (Chapter 14)</t>
  </si>
  <si>
    <t xml:space="preserve">Excess over the limit</t>
  </si>
  <si>
    <t xml:space="preserve">Share of the cash capacity used</t>
  </si>
  <si>
    <t xml:space="preserve">Facility needed at 40.00</t>
  </si>
  <si>
    <t xml:space="preserve">Limit at a move of 20.00</t>
  </si>
  <si>
    <t xml:space="preserve">Limit at a move of 60.00</t>
  </si>
  <si>
    <t xml:space="preserve">  over by</t>
  </si>
  <si>
    <t xml:space="preserve">Facility needed at 60.00</t>
  </si>
  <si>
    <t xml:space="preserve">Output gain over the year at 40.00</t>
  </si>
  <si>
    <t xml:space="preserve">The physical short, unhedged</t>
  </si>
  <si>
    <t xml:space="preserve">Effect on the year, documented</t>
  </si>
  <si>
    <t xml:space="preserve">  output gain less cleared loss gives the same (must be zero)</t>
  </si>
  <si>
    <t xml:space="preserve">holds for any inputs</t>
  </si>
  <si>
    <t xml:space="preserve">  unhedged less the mark-to-market gives the same (must be zero)</t>
  </si>
  <si>
    <t xml:space="preserve">The curve's highest hour as a move: the leg the cash supports</t>
  </si>
  <si>
    <t xml:space="preserve">All checks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</si>
</sst>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[RED]\-#,##0"/>
    <numFmt numFmtId="166" formatCode="#,##0.00;[RED]\-#,##0.00"/>
    <numFmt numFmtId="167" formatCode="0.00"/>
    <numFmt numFmtId="168" formatCode="0.0000"/>
    <numFmt numFmtId="169" formatCode="0.0000%"/>
    <numFmt numFmtId="170" formatCode="0.000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46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f aca="false">B15*Curve!B19</f>
        <v>4960000</v>
      </c>
      <c r="C4" s="5" t="s">
        <v>3</v>
      </c>
    </row>
    <row r="5" customFormat="false" ht="15" hidden="false" customHeight="false" outlineLevel="0" collapsed="false">
      <c r="A5" s="3" t="s">
        <v>4</v>
      </c>
      <c r="B5" s="6" t="n">
        <v>4200000</v>
      </c>
    </row>
    <row r="6" customFormat="false" ht="15" hidden="false" customHeight="false" outlineLevel="0" collapsed="false">
      <c r="A6" s="3" t="s">
        <v>5</v>
      </c>
      <c r="B6" s="4" t="n">
        <f aca="false">B15*SUMPRODUCT((Curve!B5:B12&gt;B19)*Curve!D5:D12)</f>
        <v>2418000</v>
      </c>
      <c r="C6" s="2" t="s">
        <v>6</v>
      </c>
    </row>
    <row r="7" customFormat="false" ht="15" hidden="false" customHeight="false" outlineLevel="0" collapsed="false">
      <c r="A7" s="3" t="s">
        <v>7</v>
      </c>
      <c r="B7" s="7" t="n">
        <v>40</v>
      </c>
      <c r="C7" s="2" t="s">
        <v>8</v>
      </c>
    </row>
    <row r="8" customFormat="false" ht="15" hidden="false" customHeight="false" outlineLevel="0" collapsed="false">
      <c r="A8" s="3" t="s">
        <v>9</v>
      </c>
      <c r="B8" s="8" t="n">
        <v>38000000</v>
      </c>
    </row>
    <row r="9" customFormat="false" ht="15" hidden="false" customHeight="false" outlineLevel="0" collapsed="false">
      <c r="A9" s="3" t="s">
        <v>10</v>
      </c>
      <c r="B9" s="8" t="n">
        <v>120000000</v>
      </c>
    </row>
    <row r="10" customFormat="false" ht="15" hidden="false" customHeight="false" outlineLevel="0" collapsed="false">
      <c r="A10" s="3" t="s">
        <v>11</v>
      </c>
      <c r="B10" s="8" t="n">
        <v>210000000</v>
      </c>
    </row>
    <row r="11" customFormat="false" ht="15" hidden="false" customHeight="false" outlineLevel="0" collapsed="false">
      <c r="A11" s="3" t="s">
        <v>12</v>
      </c>
      <c r="B11" s="7" t="n">
        <v>25000000</v>
      </c>
    </row>
    <row r="12" customFormat="false" ht="15" hidden="false" customHeight="false" outlineLevel="0" collapsed="false">
      <c r="A12" s="3" t="s">
        <v>13</v>
      </c>
      <c r="B12" s="6" t="n">
        <v>10</v>
      </c>
    </row>
    <row r="14" customFormat="false" ht="15" hidden="false" customHeight="false" outlineLevel="0" collapsed="false">
      <c r="A14" s="9" t="s">
        <v>14</v>
      </c>
    </row>
    <row r="15" customFormat="false" ht="15" hidden="false" customHeight="false" outlineLevel="0" collapsed="false">
      <c r="A15" s="3" t="s">
        <v>15</v>
      </c>
      <c r="B15" s="10" t="n">
        <v>620</v>
      </c>
    </row>
    <row r="16" customFormat="false" ht="15" hidden="false" customHeight="false" outlineLevel="0" collapsed="false">
      <c r="A16" s="3" t="s">
        <v>16</v>
      </c>
      <c r="B16" s="11" t="n">
        <v>7.2</v>
      </c>
    </row>
    <row r="17" customFormat="false" ht="15" hidden="false" customHeight="false" outlineLevel="0" collapsed="false">
      <c r="A17" s="3" t="s">
        <v>17</v>
      </c>
      <c r="B17" s="11" t="n">
        <v>8.6</v>
      </c>
    </row>
    <row r="18" customFormat="false" ht="15" hidden="false" customHeight="false" outlineLevel="0" collapsed="false">
      <c r="A18" s="3" t="s">
        <v>18</v>
      </c>
      <c r="B18" s="12" t="n">
        <v>3.4</v>
      </c>
    </row>
    <row r="19" customFormat="false" ht="15" hidden="false" customHeight="false" outlineLevel="0" collapsed="false">
      <c r="A19" s="3" t="s">
        <v>19</v>
      </c>
      <c r="B19" s="13" t="n">
        <f aca="false">B16*B17+B18</f>
        <v>65.32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2"/>
  </cols>
  <sheetData>
    <row r="1" customFormat="false" ht="16.1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15" hidden="false" customHeight="false" outlineLevel="0" collapsed="false">
      <c r="A4" s="14" t="s">
        <v>22</v>
      </c>
      <c r="B4" s="14" t="s">
        <v>23</v>
      </c>
      <c r="C4" s="14" t="s">
        <v>24</v>
      </c>
      <c r="D4" s="14" t="s">
        <v>25</v>
      </c>
      <c r="E4" s="14" t="s">
        <v>26</v>
      </c>
    </row>
    <row r="5" customFormat="false" ht="15" hidden="false" customHeight="false" outlineLevel="0" collapsed="false">
      <c r="A5" s="10" t="n">
        <v>100</v>
      </c>
      <c r="B5" s="7" t="n">
        <v>260</v>
      </c>
      <c r="C5" s="13" t="n">
        <f aca="false">A5*B5</f>
        <v>26000</v>
      </c>
      <c r="D5" s="4" t="n">
        <f aca="false">MAX(0,MIN(A5,$B$19))</f>
        <v>100</v>
      </c>
      <c r="E5" s="13" t="n">
        <f aca="false">D5*B5</f>
        <v>26000</v>
      </c>
    </row>
    <row r="6" customFormat="false" ht="15" hidden="false" customHeight="false" outlineLevel="0" collapsed="false">
      <c r="A6" s="10" t="n">
        <v>250</v>
      </c>
      <c r="B6" s="7" t="n">
        <v>155</v>
      </c>
      <c r="C6" s="13" t="n">
        <f aca="false">A6*B6</f>
        <v>38750</v>
      </c>
      <c r="D6" s="4" t="n">
        <f aca="false">MAX(0,MIN(A6,$B$19-SUM($A$4:A5)))</f>
        <v>250</v>
      </c>
      <c r="E6" s="13" t="n">
        <f aca="false">D6*B6</f>
        <v>38750</v>
      </c>
    </row>
    <row r="7" customFormat="false" ht="15" hidden="false" customHeight="false" outlineLevel="0" collapsed="false">
      <c r="A7" s="10" t="n">
        <v>550</v>
      </c>
      <c r="B7" s="7" t="n">
        <v>105</v>
      </c>
      <c r="C7" s="13" t="n">
        <f aca="false">A7*B7</f>
        <v>57750</v>
      </c>
      <c r="D7" s="4" t="n">
        <f aca="false">MAX(0,MIN(A7,$B$19-SUM($A$4:A6)))</f>
        <v>550</v>
      </c>
      <c r="E7" s="13" t="n">
        <f aca="false">D7*B7</f>
        <v>57750</v>
      </c>
    </row>
    <row r="8" customFormat="false" ht="15" hidden="false" customHeight="false" outlineLevel="0" collapsed="false">
      <c r="A8" s="10" t="n">
        <v>1100</v>
      </c>
      <c r="B8" s="7" t="n">
        <v>85</v>
      </c>
      <c r="C8" s="13" t="n">
        <f aca="false">A8*B8</f>
        <v>93500</v>
      </c>
      <c r="D8" s="4" t="n">
        <f aca="false">MAX(0,MIN(A8,$B$19-SUM($A$4:A7)))</f>
        <v>1100</v>
      </c>
      <c r="E8" s="13" t="n">
        <f aca="false">D8*B8</f>
        <v>93500</v>
      </c>
    </row>
    <row r="9" customFormat="false" ht="15" hidden="false" customHeight="false" outlineLevel="0" collapsed="false">
      <c r="A9" s="10" t="n">
        <v>1900</v>
      </c>
      <c r="B9" s="7" t="n">
        <v>72</v>
      </c>
      <c r="C9" s="13" t="n">
        <f aca="false">A9*B9</f>
        <v>136800</v>
      </c>
      <c r="D9" s="4" t="n">
        <f aca="false">MAX(0,MIN(A9,$B$19-SUM($A$4:A8)))</f>
        <v>1900</v>
      </c>
      <c r="E9" s="13" t="n">
        <f aca="false">D9*B9</f>
        <v>136800</v>
      </c>
    </row>
    <row r="10" customFormat="false" ht="15" hidden="false" customHeight="false" outlineLevel="0" collapsed="false">
      <c r="A10" s="10" t="n">
        <v>2400</v>
      </c>
      <c r="B10" s="7" t="n">
        <v>63</v>
      </c>
      <c r="C10" s="13" t="n">
        <f aca="false">A10*B10</f>
        <v>151200</v>
      </c>
      <c r="D10" s="4" t="n">
        <f aca="false">MAX(0,MIN(A10,$B$19-SUM($A$4:A9)))</f>
        <v>2400</v>
      </c>
      <c r="E10" s="13" t="n">
        <f aca="false">D10*B10</f>
        <v>151200</v>
      </c>
    </row>
    <row r="11" customFormat="false" ht="15" hidden="false" customHeight="false" outlineLevel="0" collapsed="false">
      <c r="A11" s="10" t="n">
        <v>1700</v>
      </c>
      <c r="B11" s="7" t="n">
        <v>50</v>
      </c>
      <c r="C11" s="13" t="n">
        <f aca="false">A11*B11</f>
        <v>85000</v>
      </c>
      <c r="D11" s="4" t="n">
        <f aca="false">MAX(0,MIN(A11,$B$19-SUM($A$4:A10)))</f>
        <v>1700</v>
      </c>
      <c r="E11" s="13" t="n">
        <f aca="false">D11*B11</f>
        <v>85000</v>
      </c>
    </row>
    <row r="12" customFormat="false" ht="15" hidden="false" customHeight="false" outlineLevel="0" collapsed="false">
      <c r="A12" s="10" t="n">
        <v>760</v>
      </c>
      <c r="B12" s="7" t="n">
        <v>34</v>
      </c>
      <c r="C12" s="13" t="n">
        <f aca="false">A12*B12</f>
        <v>25840</v>
      </c>
      <c r="D12" s="4" t="n">
        <f aca="false">MAX(0,MIN(A12,$B$19-SUM($A$4:A11)))</f>
        <v>0</v>
      </c>
      <c r="E12" s="13" t="n">
        <f aca="false">D12*B12</f>
        <v>0</v>
      </c>
    </row>
    <row r="13" customFormat="false" ht="15" hidden="false" customHeight="false" outlineLevel="0" collapsed="false">
      <c r="A13" s="15" t="n">
        <f aca="false">SUM(A5:A12)</f>
        <v>8760</v>
      </c>
      <c r="C13" s="16" t="n">
        <f aca="false">SUM(C5:C12)</f>
        <v>614840</v>
      </c>
      <c r="D13" s="15" t="n">
        <f aca="false">SUM(D5:D12)</f>
        <v>8000</v>
      </c>
      <c r="E13" s="16" t="n">
        <f aca="false">SUM(E5:E12)</f>
        <v>589000</v>
      </c>
    </row>
    <row r="15" customFormat="false" ht="15" hidden="false" customHeight="false" outlineLevel="0" collapsed="false">
      <c r="A15" s="9" t="s">
        <v>27</v>
      </c>
      <c r="B15" s="17" t="n">
        <f aca="false">C13/A13</f>
        <v>70.1872146118722</v>
      </c>
    </row>
    <row r="16" customFormat="false" ht="15" hidden="false" customHeight="false" outlineLevel="0" collapsed="false">
      <c r="A16" s="3" t="s">
        <v>28</v>
      </c>
      <c r="B16" s="18" t="n">
        <f aca="false">B15</f>
        <v>70.1872146118722</v>
      </c>
    </row>
    <row r="18" customFormat="false" ht="15" hidden="false" customHeight="false" outlineLevel="0" collapsed="false">
      <c r="A18" s="3" t="s">
        <v>29</v>
      </c>
      <c r="B18" s="10" t="n">
        <v>760</v>
      </c>
    </row>
    <row r="19" customFormat="false" ht="15" hidden="false" customHeight="false" outlineLevel="0" collapsed="false">
      <c r="A19" s="3" t="s">
        <v>25</v>
      </c>
      <c r="B19" s="4" t="n">
        <f aca="false">A13-B18</f>
        <v>8000</v>
      </c>
    </row>
    <row r="20" customFormat="false" ht="15" hidden="false" customHeight="false" outlineLevel="0" collapsed="false">
      <c r="A20" s="3" t="s">
        <v>30</v>
      </c>
      <c r="B20" s="13" t="n">
        <f aca="false">E13</f>
        <v>589000</v>
      </c>
    </row>
    <row r="21" customFormat="false" ht="15" hidden="false" customHeight="false" outlineLevel="0" collapsed="false">
      <c r="A21" s="9" t="s">
        <v>31</v>
      </c>
      <c r="B21" s="17" t="n">
        <f aca="false">B20/B19</f>
        <v>73.625</v>
      </c>
    </row>
    <row r="22" customFormat="false" ht="15" hidden="false" customHeight="false" outlineLevel="0" collapsed="false">
      <c r="A22" s="3" t="s">
        <v>32</v>
      </c>
      <c r="B22" s="18" t="n">
        <f aca="false">B21-B16</f>
        <v>3.43778538812785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0"/>
  </cols>
  <sheetData>
    <row r="1" customFormat="false" ht="16.15" hidden="false" customHeight="false" outlineLevel="0" collapsed="false">
      <c r="A1" s="1" t="s">
        <v>33</v>
      </c>
    </row>
    <row r="3" customFormat="false" ht="15" hidden="false" customHeight="false" outlineLevel="0" collapsed="false">
      <c r="A3" s="3" t="s">
        <v>34</v>
      </c>
      <c r="B3" s="4" t="n">
        <f aca="false">Inputs!B4-Inputs!B5</f>
        <v>760000</v>
      </c>
    </row>
    <row r="4" customFormat="false" ht="15" hidden="false" customHeight="false" outlineLevel="0" collapsed="false">
      <c r="A4" s="3" t="s">
        <v>35</v>
      </c>
      <c r="B4" s="4" t="n">
        <f aca="false">Inputs!B4+Inputs!B5</f>
        <v>9160000</v>
      </c>
    </row>
    <row r="5" customFormat="false" ht="15" hidden="false" customHeight="false" outlineLevel="0" collapsed="false">
      <c r="A5" s="9" t="s">
        <v>36</v>
      </c>
      <c r="B5" s="19" t="n">
        <f aca="false">1-ABS(B3)/B4</f>
        <v>0.91703056768559</v>
      </c>
    </row>
    <row r="7" customFormat="false" ht="15" hidden="false" customHeight="false" outlineLevel="0" collapsed="false">
      <c r="A7" s="3" t="s">
        <v>37</v>
      </c>
      <c r="B7" s="4" t="n">
        <f aca="false">Inputs!B5-Inputs!B6</f>
        <v>1782000</v>
      </c>
    </row>
    <row r="8" customFormat="false" ht="15" hidden="false" customHeight="false" outlineLevel="0" collapsed="false">
      <c r="A8" s="9" t="s">
        <v>38</v>
      </c>
      <c r="B8" s="15" t="n">
        <f aca="false">B7+ABS(B3)</f>
        <v>2542000</v>
      </c>
    </row>
    <row r="9" customFormat="false" ht="15" hidden="false" customHeight="false" outlineLevel="0" collapsed="false">
      <c r="A9" s="9" t="s">
        <v>39</v>
      </c>
      <c r="B9" s="20" t="n">
        <f aca="false">B8/ABS(B3)</f>
        <v>3.34473684210526</v>
      </c>
    </row>
    <row r="10" customFormat="false" ht="15" hidden="false" customHeight="false" outlineLevel="0" collapsed="false">
      <c r="A10" s="3" t="s">
        <v>40</v>
      </c>
      <c r="B10" s="21" t="n">
        <f aca="false">1-B8/B4</f>
        <v>0.722489082969432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22"/>
  </cols>
  <sheetData>
    <row r="1" customFormat="false" ht="16.1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15" hidden="false" customHeight="false" outlineLevel="0" collapsed="false">
      <c r="A4" s="9" t="s">
        <v>43</v>
      </c>
      <c r="B4" s="16" t="n">
        <f aca="false">Inputs!B4*Inputs!B7</f>
        <v>198400000</v>
      </c>
    </row>
    <row r="5" customFormat="false" ht="15" hidden="false" customHeight="false" outlineLevel="0" collapsed="false">
      <c r="A5" s="3" t="s">
        <v>44</v>
      </c>
      <c r="B5" s="13" t="n">
        <f aca="false">Inputs!B5*Inputs!B7</f>
        <v>168000000</v>
      </c>
    </row>
    <row r="6" customFormat="false" ht="15" hidden="false" customHeight="false" outlineLevel="0" collapsed="false">
      <c r="A6" s="3" t="s">
        <v>45</v>
      </c>
      <c r="B6" s="13" t="n">
        <f aca="false">MAX(0,B5-Inputs!B11)</f>
        <v>143000000</v>
      </c>
    </row>
    <row r="7" customFormat="false" ht="15" hidden="false" customHeight="false" outlineLevel="0" collapsed="false">
      <c r="A7" s="3" t="s">
        <v>46</v>
      </c>
      <c r="B7" s="13" t="n">
        <f aca="false">Inputs!B8+Inputs!B9</f>
        <v>158000000</v>
      </c>
    </row>
    <row r="8" customFormat="false" ht="15" hidden="false" customHeight="false" outlineLevel="0" collapsed="false">
      <c r="A8" s="9" t="s">
        <v>47</v>
      </c>
      <c r="B8" s="16" t="n">
        <f aca="false">B7-B4</f>
        <v>-40400000</v>
      </c>
    </row>
    <row r="9" customFormat="false" ht="15" hidden="false" customHeight="false" outlineLevel="0" collapsed="false">
      <c r="A9" s="3" t="s">
        <v>48</v>
      </c>
      <c r="B9" s="21" t="n">
        <f aca="false">B4/Inputs!B10</f>
        <v>0.944761904761905</v>
      </c>
    </row>
    <row r="11" customFormat="false" ht="15" hidden="false" customHeight="false" outlineLevel="0" collapsed="false">
      <c r="A11" s="9" t="s">
        <v>49</v>
      </c>
      <c r="B11" s="16" t="n">
        <f aca="false">ABS(Position!B3)*Inputs!B7</f>
        <v>30400000</v>
      </c>
    </row>
    <row r="12" customFormat="false" ht="15" hidden="false" customHeight="false" outlineLevel="0" collapsed="false">
      <c r="A12" s="9" t="s">
        <v>50</v>
      </c>
      <c r="B12" s="20" t="n">
        <f aca="false">B4/B11</f>
        <v>6.52631578947368</v>
      </c>
    </row>
    <row r="13" customFormat="false" ht="15" hidden="false" customHeight="false" outlineLevel="0" collapsed="false">
      <c r="A13" s="3" t="s">
        <v>51</v>
      </c>
      <c r="B13" s="13" t="n">
        <f aca="false">B4-B11</f>
        <v>168000000</v>
      </c>
    </row>
    <row r="15" customFormat="false" ht="15" hidden="false" customHeight="false" outlineLevel="0" collapsed="false">
      <c r="A15" s="9" t="s">
        <v>52</v>
      </c>
      <c r="B15" s="17" t="n">
        <f aca="false">B7/Inputs!B4</f>
        <v>31.8548387096774</v>
      </c>
    </row>
    <row r="16" customFormat="false" ht="15" hidden="false" customHeight="false" outlineLevel="0" collapsed="false">
      <c r="A16" s="3" t="s">
        <v>53</v>
      </c>
      <c r="B16" s="21" t="n">
        <f aca="false">B15/Curve!B16</f>
        <v>0.453855290964762</v>
      </c>
    </row>
    <row r="17" customFormat="false" ht="15" hidden="false" customHeight="false" outlineLevel="0" collapsed="false">
      <c r="A17" s="3" t="s">
        <v>54</v>
      </c>
      <c r="B17" s="18" t="n">
        <f aca="false">B7/ABS(Position!B3)</f>
        <v>207.894736842105</v>
      </c>
    </row>
    <row r="19" customFormat="false" ht="15" hidden="false" customHeight="false" outlineLevel="0" collapsed="false">
      <c r="A19" s="9" t="s">
        <v>55</v>
      </c>
      <c r="B19" s="15" t="n">
        <f aca="false">B7/Inputs!B7</f>
        <v>3950000</v>
      </c>
    </row>
    <row r="20" customFormat="false" ht="15" hidden="false" customHeight="false" outlineLevel="0" collapsed="false">
      <c r="A20" s="3" t="s">
        <v>56</v>
      </c>
      <c r="B20" s="4" t="n">
        <f aca="false">Inputs!B4-B19</f>
        <v>1010000</v>
      </c>
    </row>
    <row r="22" customFormat="false" ht="15" hidden="false" customHeight="false" outlineLevel="0" collapsed="false">
      <c r="A22" s="3" t="s">
        <v>57</v>
      </c>
      <c r="B22" s="13" t="n">
        <f aca="false">-Position!B8*Inputs!B7</f>
        <v>-101680000</v>
      </c>
    </row>
    <row r="24" customFormat="false" ht="15" hidden="false" customHeight="false" outlineLevel="0" collapsed="false">
      <c r="A24" s="9" t="s">
        <v>58</v>
      </c>
    </row>
    <row r="25" customFormat="false" ht="15" hidden="false" customHeight="false" outlineLevel="0" collapsed="false">
      <c r="A25" s="3" t="s">
        <v>59</v>
      </c>
      <c r="B25" s="21" t="n">
        <f aca="false">Inputs!B7/Curve!B16</f>
        <v>0.569904365363347</v>
      </c>
    </row>
    <row r="26" customFormat="false" ht="15" hidden="false" customHeight="false" outlineLevel="0" collapsed="false">
      <c r="A26" s="3" t="s">
        <v>60</v>
      </c>
      <c r="B26" s="13" t="n">
        <f aca="false">B4-B6</f>
        <v>55400000</v>
      </c>
    </row>
    <row r="27" customFormat="false" ht="15" hidden="false" customHeight="false" outlineLevel="0" collapsed="false">
      <c r="A27" s="3" t="s">
        <v>61</v>
      </c>
      <c r="B27" s="13" t="n">
        <f aca="false">B7-B11</f>
        <v>127600000</v>
      </c>
    </row>
    <row r="28" customFormat="false" ht="15" hidden="false" customHeight="false" outlineLevel="0" collapsed="false">
      <c r="A28" s="3" t="s">
        <v>62</v>
      </c>
      <c r="B28" s="21" t="n">
        <f aca="false">Inputs!B4/B19</f>
        <v>1.25569620253165</v>
      </c>
    </row>
    <row r="29" customFormat="false" ht="15" hidden="false" customHeight="false" outlineLevel="0" collapsed="false">
      <c r="A29" s="3" t="s">
        <v>63</v>
      </c>
      <c r="B29" s="21" t="n">
        <f aca="false">ABS(Position!B3)/B19</f>
        <v>0.192405063291139</v>
      </c>
    </row>
    <row r="30" customFormat="false" ht="15" hidden="false" customHeight="false" outlineLevel="0" collapsed="false">
      <c r="A30" s="3" t="s">
        <v>64</v>
      </c>
      <c r="B30" s="13" t="n">
        <f aca="false">MAX(0,B4-B7)</f>
        <v>40400000</v>
      </c>
    </row>
    <row r="31" customFormat="false" ht="15" hidden="false" customHeight="false" outlineLevel="0" collapsed="false">
      <c r="A31" s="3" t="s">
        <v>65</v>
      </c>
      <c r="B31" s="13" t="n">
        <f aca="false">Inputs!B6*Inputs!B7</f>
        <v>96720000</v>
      </c>
    </row>
    <row r="32" customFormat="false" ht="15" hidden="false" customHeight="false" outlineLevel="0" collapsed="false">
      <c r="A32" s="3" t="s">
        <v>66</v>
      </c>
      <c r="B32" s="13" t="n">
        <f aca="false">Inputs!B5*Inputs!B7</f>
        <v>168000000</v>
      </c>
    </row>
    <row r="33" customFormat="false" ht="15" hidden="false" customHeight="false" outlineLevel="0" collapsed="false">
      <c r="A33" s="3" t="s">
        <v>67</v>
      </c>
      <c r="B33" s="13" t="n">
        <f aca="false">-Position!B7*Inputs!B7</f>
        <v>-71280000</v>
      </c>
    </row>
    <row r="34" customFormat="false" ht="15" hidden="false" customHeight="false" outlineLevel="0" collapsed="false">
      <c r="A34" s="3" t="s">
        <v>68</v>
      </c>
      <c r="B34" s="13" t="n">
        <f aca="false">ABS(Position!B3)*Inputs!B7</f>
        <v>30400000</v>
      </c>
    </row>
    <row r="35" customFormat="false" ht="15" hidden="false" customHeight="false" outlineLevel="0" collapsed="false">
      <c r="A35" s="9" t="s">
        <v>69</v>
      </c>
      <c r="B35" s="16" t="n">
        <f aca="false">B31-B4</f>
        <v>-101680000</v>
      </c>
    </row>
    <row r="36" customFormat="false" ht="15" hidden="false" customHeight="false" outlineLevel="0" collapsed="false">
      <c r="A36" s="3" t="s">
        <v>70</v>
      </c>
      <c r="B36" s="13" t="n">
        <f aca="false">B7/MAX(Curve!B5:B12)</f>
        <v>607692.307692308</v>
      </c>
    </row>
    <row r="37" customFormat="false" ht="15" hidden="false" customHeight="false" outlineLevel="0" collapsed="false">
      <c r="A37" s="3" t="s">
        <v>71</v>
      </c>
      <c r="B37" s="21" t="n">
        <f aca="false">B17/Curve!B16</f>
        <v>2.9620029515595</v>
      </c>
    </row>
    <row r="38" customFormat="false" ht="15" hidden="false" customHeight="false" outlineLevel="0" collapsed="false">
      <c r="A38" s="3" t="s">
        <v>72</v>
      </c>
      <c r="B38" s="21" t="n">
        <f aca="false">Inputs!B6/Inputs!B5</f>
        <v>0.575714285714286</v>
      </c>
    </row>
    <row r="39" customFormat="false" ht="15" hidden="false" customHeight="false" outlineLevel="0" collapsed="false">
      <c r="A39" s="3" t="s">
        <v>73</v>
      </c>
      <c r="B39" s="22" t="n">
        <f aca="false">Curve!B19/(Inputs!B6/Inputs!B15)</f>
        <v>2.05128205128205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24"/>
    <col collapsed="false" customWidth="true" hidden="false" outlineLevel="0" max="5" min="4" style="0" width="20"/>
  </cols>
  <sheetData>
    <row r="1" customFormat="false" ht="16.15" hidden="false" customHeight="false" outlineLevel="0" collapsed="false">
      <c r="A1" s="1" t="s">
        <v>74</v>
      </c>
    </row>
    <row r="2" customFormat="false" ht="15" hidden="false" customHeight="false" outlineLevel="0" collapsed="false">
      <c r="A2" s="5" t="s">
        <v>75</v>
      </c>
    </row>
    <row r="4" customFormat="false" ht="23.85" hidden="false" customHeight="false" outlineLevel="0" collapsed="false">
      <c r="A4" s="23" t="s">
        <v>76</v>
      </c>
      <c r="B4" s="23" t="s">
        <v>77</v>
      </c>
      <c r="C4" s="23" t="s">
        <v>78</v>
      </c>
      <c r="D4" s="23" t="s">
        <v>47</v>
      </c>
      <c r="E4" s="23" t="s">
        <v>79</v>
      </c>
    </row>
    <row r="5" customFormat="false" ht="15" hidden="false" customHeight="false" outlineLevel="0" collapsed="false">
      <c r="A5" s="12" t="n">
        <v>20</v>
      </c>
      <c r="B5" s="13" t="n">
        <f aca="false">Liquidity!$B$7/A5</f>
        <v>7900000</v>
      </c>
      <c r="C5" s="13" t="n">
        <f aca="false">Inputs!$B$4-B5</f>
        <v>-2940000</v>
      </c>
      <c r="D5" s="13" t="n">
        <f aca="false">Liquidity!$B$7-Inputs!$B$4*A5</f>
        <v>58800000</v>
      </c>
      <c r="E5" s="13" t="n">
        <f aca="false">MAX(0,Inputs!$B$4*A5-Liquidity!$B$7)</f>
        <v>0</v>
      </c>
      <c r="F5" s="5" t="s">
        <v>80</v>
      </c>
    </row>
    <row r="6" customFormat="false" ht="15" hidden="false" customHeight="false" outlineLevel="0" collapsed="false">
      <c r="A6" s="12" t="n">
        <v>40</v>
      </c>
      <c r="B6" s="13" t="n">
        <f aca="false">Liquidity!$B$7/A6</f>
        <v>3950000</v>
      </c>
      <c r="C6" s="13" t="n">
        <f aca="false">Inputs!$B$4-B6</f>
        <v>1010000</v>
      </c>
      <c r="D6" s="13" t="n">
        <f aca="false">Liquidity!$B$7-Inputs!$B$4*A6</f>
        <v>-40400000</v>
      </c>
      <c r="E6" s="13" t="n">
        <f aca="false">MAX(0,Inputs!$B$4*A6-Liquidity!$B$7)</f>
        <v>40400000</v>
      </c>
    </row>
    <row r="7" customFormat="false" ht="15" hidden="false" customHeight="false" outlineLevel="0" collapsed="false">
      <c r="A7" s="12" t="n">
        <v>60</v>
      </c>
      <c r="B7" s="13" t="n">
        <f aca="false">Liquidity!$B$7/A7</f>
        <v>2633333.33333333</v>
      </c>
      <c r="C7" s="13" t="n">
        <f aca="false">Inputs!$B$4-B7</f>
        <v>2326666.66666667</v>
      </c>
      <c r="D7" s="13" t="n">
        <f aca="false">Liquidity!$B$7-Inputs!$B$4*A7</f>
        <v>-139600000</v>
      </c>
      <c r="E7" s="13" t="n">
        <f aca="false">MAX(0,Inputs!$B$4*A7-Liquidity!$B$7)</f>
        <v>139600000</v>
      </c>
    </row>
    <row r="8" customFormat="false" ht="15" hidden="false" customHeight="false" outlineLevel="0" collapsed="false">
      <c r="A8" s="24" t="n">
        <f aca="false">Inputs!B7</f>
        <v>40</v>
      </c>
      <c r="B8" s="13" t="n">
        <f aca="false">Liquidity!$B$7/A8</f>
        <v>3950000</v>
      </c>
      <c r="C8" s="13" t="n">
        <f aca="false">Inputs!$B$4-B8</f>
        <v>1010000</v>
      </c>
      <c r="D8" s="13" t="n">
        <f aca="false">Liquidity!$B$7-Inputs!$B$4*A8</f>
        <v>-40400000</v>
      </c>
      <c r="E8" s="13" t="n">
        <f aca="false">MAX(0,Inputs!$B$4*A8-Liquidity!$B$7)</f>
        <v>40400000</v>
      </c>
      <c r="F8" s="5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20"/>
    <col collapsed="false" customWidth="true" hidden="false" outlineLevel="0" max="4" min="4" style="0" width="9"/>
    <col collapsed="false" customWidth="true" hidden="false" outlineLevel="0" max="5" min="5" style="0" width="48"/>
    <col collapsed="false" customWidth="true" hidden="false" outlineLevel="0" max="6" min="6" style="0" width="2"/>
  </cols>
  <sheetData>
    <row r="1" customFormat="false" ht="16.15" hidden="false" customHeight="false" outlineLevel="0" collapsed="false">
      <c r="A1" s="1" t="s">
        <v>82</v>
      </c>
    </row>
    <row r="2" customFormat="false" ht="15" hidden="false" customHeight="false" outlineLevel="0" collapsed="false">
      <c r="A2" s="5" t="s">
        <v>83</v>
      </c>
    </row>
    <row r="4" customFormat="false" ht="15" hidden="false" customHeight="false" outlineLevel="0" collapsed="false">
      <c r="A4" s="23" t="s">
        <v>84</v>
      </c>
      <c r="B4" s="23" t="s">
        <v>85</v>
      </c>
      <c r="C4" s="23" t="s">
        <v>86</v>
      </c>
      <c r="D4" s="23" t="s">
        <v>87</v>
      </c>
      <c r="E4" s="23" t="s">
        <v>88</v>
      </c>
    </row>
    <row r="5" customFormat="false" ht="15" hidden="false" customHeight="false" outlineLevel="0" collapsed="false">
      <c r="A5" s="3" t="s">
        <v>89</v>
      </c>
      <c r="B5" s="4" t="n">
        <v>4960000</v>
      </c>
      <c r="C5" s="4" t="n">
        <f aca="false">Inputs!B4</f>
        <v>4960000</v>
      </c>
      <c r="D5" s="9" t="str">
        <f aca="false">IF(ISNUMBER(C5)=FALSE(),"CHECK",IF(ABS(C5-B5)&lt;=0.5,"OK","CHECK"))</f>
        <v>OK</v>
      </c>
      <c r="E5" s="5" t="s">
        <v>90</v>
      </c>
    </row>
    <row r="6" customFormat="false" ht="15" hidden="false" customHeight="false" outlineLevel="0" collapsed="false">
      <c r="A6" s="3" t="s">
        <v>91</v>
      </c>
      <c r="B6" s="4" t="n">
        <v>2418000</v>
      </c>
      <c r="C6" s="4" t="n">
        <f aca="false">Inputs!B6</f>
        <v>2418000</v>
      </c>
      <c r="D6" s="9" t="str">
        <f aca="false">IF(ISNUMBER(C6)=FALSE(),"CHECK",IF(ABS(C6-B6)&lt;=0.5,"OK","CHECK"))</f>
        <v>OK</v>
      </c>
      <c r="E6" s="5" t="s">
        <v>90</v>
      </c>
    </row>
    <row r="7" customFormat="false" ht="15" hidden="false" customHeight="false" outlineLevel="0" collapsed="false">
      <c r="A7" s="3" t="s">
        <v>92</v>
      </c>
      <c r="B7" s="21" t="n">
        <v>0.917031</v>
      </c>
      <c r="C7" s="21" t="n">
        <f aca="false">Position!B5</f>
        <v>0.91703056768559</v>
      </c>
      <c r="D7" s="9" t="str">
        <f aca="false">IF(ISNUMBER(C7)=FALSE(),"CHECK",IF(ABS(C7-B7)&lt;=0.0000005,"OK","CHECK"))</f>
        <v>OK</v>
      </c>
      <c r="E7" s="5" t="s">
        <v>93</v>
      </c>
    </row>
    <row r="8" customFormat="false" ht="15" hidden="false" customHeight="false" outlineLevel="0" collapsed="false">
      <c r="A8" s="3" t="s">
        <v>94</v>
      </c>
      <c r="B8" s="4" t="n">
        <v>2542000</v>
      </c>
      <c r="C8" s="4" t="n">
        <f aca="false">Position!B8</f>
        <v>2542000</v>
      </c>
      <c r="D8" s="9" t="str">
        <f aca="false">IF(ISNUMBER(C8)=FALSE(),"CHECK",IF(ABS(C8-B8)&lt;=0.5,"OK","CHECK"))</f>
        <v>OK</v>
      </c>
      <c r="E8" s="5" t="s">
        <v>90</v>
      </c>
    </row>
    <row r="9" customFormat="false" ht="15" hidden="false" customHeight="false" outlineLevel="0" collapsed="false">
      <c r="A9" s="3" t="s">
        <v>39</v>
      </c>
      <c r="B9" s="22" t="n">
        <v>3.3447</v>
      </c>
      <c r="C9" s="22" t="n">
        <f aca="false">Position!B9</f>
        <v>3.34473684210526</v>
      </c>
      <c r="D9" s="9" t="str">
        <f aca="false">IF(ISNUMBER(C9)=FALSE(),"CHECK",IF(ABS(C9-B9)&lt;=0.00005,"OK","CHECK"))</f>
        <v>OK</v>
      </c>
      <c r="E9" s="5" t="s">
        <v>95</v>
      </c>
    </row>
    <row r="10" customFormat="false" ht="15" hidden="false" customHeight="false" outlineLevel="0" collapsed="false">
      <c r="A10" s="3" t="s">
        <v>40</v>
      </c>
      <c r="B10" s="21" t="n">
        <v>0.722489</v>
      </c>
      <c r="C10" s="21" t="n">
        <f aca="false">Position!B10</f>
        <v>0.722489082969432</v>
      </c>
      <c r="D10" s="9" t="str">
        <f aca="false">IF(ISNUMBER(C10)=FALSE(),"CHECK",IF(ABS(C10-B10)&lt;=0.0000005,"OK","CHECK"))</f>
        <v>OK</v>
      </c>
      <c r="E10" s="5" t="s">
        <v>93</v>
      </c>
    </row>
    <row r="11" customFormat="false" ht="15" hidden="false" customHeight="false" outlineLevel="0" collapsed="false">
      <c r="A11" s="3" t="s">
        <v>37</v>
      </c>
      <c r="B11" s="4" t="n">
        <v>1782000</v>
      </c>
      <c r="C11" s="4" t="n">
        <f aca="false">Position!B7</f>
        <v>1782000</v>
      </c>
      <c r="D11" s="9" t="str">
        <f aca="false">IF(ISNUMBER(C11)=FALSE(),"CHECK",IF(ABS(C11-B11)&lt;=0.5,"OK","CHECK"))</f>
        <v>OK</v>
      </c>
      <c r="E11" s="5" t="s">
        <v>90</v>
      </c>
    </row>
    <row r="12" customFormat="false" ht="15" hidden="false" customHeight="false" outlineLevel="0" collapsed="false">
      <c r="A12" s="3" t="s">
        <v>72</v>
      </c>
      <c r="B12" s="21" t="n">
        <v>0.575714</v>
      </c>
      <c r="C12" s="21" t="n">
        <f aca="false">Liquidity!B38</f>
        <v>0.575714285714286</v>
      </c>
      <c r="D12" s="9" t="str">
        <f aca="false">IF(ISNUMBER(C12)=FALSE(),"CHECK",IF(ABS(C12-B12)&lt;=0.0000005,"OK","CHECK"))</f>
        <v>OK</v>
      </c>
      <c r="E12" s="5" t="s">
        <v>93</v>
      </c>
    </row>
    <row r="13" customFormat="false" ht="15" hidden="false" customHeight="false" outlineLevel="0" collapsed="false">
      <c r="A13" s="3" t="s">
        <v>73</v>
      </c>
      <c r="B13" s="22" t="n">
        <v>2.0513</v>
      </c>
      <c r="C13" s="22" t="n">
        <f aca="false">Liquidity!B39</f>
        <v>2.05128205128205</v>
      </c>
      <c r="D13" s="9" t="str">
        <f aca="false">IF(ISNUMBER(C13)=FALSE(),"CHECK",IF(ABS(C13-B13)&lt;=0.00005,"OK","CHECK"))</f>
        <v>OK</v>
      </c>
      <c r="E13" s="5" t="s">
        <v>95</v>
      </c>
    </row>
    <row r="14" customFormat="false" ht="15" hidden="false" customHeight="false" outlineLevel="0" collapsed="false">
      <c r="A14" s="3" t="s">
        <v>96</v>
      </c>
      <c r="B14" s="13" t="n">
        <v>198400000</v>
      </c>
      <c r="C14" s="13" t="n">
        <f aca="false">Liquidity!B4</f>
        <v>198400000</v>
      </c>
      <c r="D14" s="9" t="str">
        <f aca="false">IF(ISNUMBER(C14)=FALSE(),"CHECK",IF(ABS(C14-B14)&lt;=0.005,"OK","CHECK"))</f>
        <v>OK</v>
      </c>
      <c r="E14" s="5" t="s">
        <v>97</v>
      </c>
    </row>
    <row r="15" customFormat="false" ht="15" hidden="false" customHeight="false" outlineLevel="0" collapsed="false">
      <c r="A15" s="3" t="s">
        <v>98</v>
      </c>
      <c r="B15" s="13" t="n">
        <v>168000000</v>
      </c>
      <c r="C15" s="13" t="n">
        <f aca="false">Liquidity!B5</f>
        <v>168000000</v>
      </c>
      <c r="D15" s="9" t="str">
        <f aca="false">IF(ISNUMBER(C15)=FALSE(),"CHECK",IF(ABS(C15-B15)&lt;=0.005,"OK","CHECK"))</f>
        <v>OK</v>
      </c>
      <c r="E15" s="5" t="s">
        <v>97</v>
      </c>
    </row>
    <row r="16" customFormat="false" ht="15" hidden="false" customHeight="false" outlineLevel="0" collapsed="false">
      <c r="A16" s="3" t="s">
        <v>99</v>
      </c>
      <c r="B16" s="13" t="n">
        <v>143000000</v>
      </c>
      <c r="C16" s="13" t="n">
        <f aca="false">Liquidity!B6</f>
        <v>143000000</v>
      </c>
      <c r="D16" s="9" t="str">
        <f aca="false">IF(ISNUMBER(C16)=FALSE(),"CHECK",IF(ABS(C16-B16)&lt;=0.005,"OK","CHECK"))</f>
        <v>OK</v>
      </c>
      <c r="E16" s="5" t="s">
        <v>97</v>
      </c>
    </row>
    <row r="17" customFormat="false" ht="15" hidden="false" customHeight="false" outlineLevel="0" collapsed="false">
      <c r="A17" s="3" t="s">
        <v>47</v>
      </c>
      <c r="B17" s="13" t="n">
        <v>-40400000</v>
      </c>
      <c r="C17" s="13" t="n">
        <f aca="false">Liquidity!B8</f>
        <v>-40400000</v>
      </c>
      <c r="D17" s="9" t="str">
        <f aca="false">IF(ISNUMBER(C17)=FALSE(),"CHECK",IF(ABS(C17-B17)&lt;=0.005,"OK","CHECK"))</f>
        <v>OK</v>
      </c>
      <c r="E17" s="5" t="s">
        <v>97</v>
      </c>
    </row>
    <row r="18" customFormat="false" ht="15" hidden="false" customHeight="false" outlineLevel="0" collapsed="false">
      <c r="A18" s="3" t="s">
        <v>100</v>
      </c>
      <c r="B18" s="13" t="n">
        <v>55400000</v>
      </c>
      <c r="C18" s="13" t="n">
        <f aca="false">Liquidity!B26</f>
        <v>55400000</v>
      </c>
      <c r="D18" s="9" t="str">
        <f aca="false">IF(ISNUMBER(C18)=FALSE(),"CHECK",IF(ABS(C18-B18)&lt;=0.005,"OK","CHECK"))</f>
        <v>OK</v>
      </c>
      <c r="E18" s="5" t="s">
        <v>97</v>
      </c>
    </row>
    <row r="19" customFormat="false" ht="15" hidden="false" customHeight="false" outlineLevel="0" collapsed="false">
      <c r="A19" s="3" t="s">
        <v>48</v>
      </c>
      <c r="B19" s="21" t="n">
        <v>0.944762</v>
      </c>
      <c r="C19" s="21" t="n">
        <f aca="false">Liquidity!B9</f>
        <v>0.944761904761905</v>
      </c>
      <c r="D19" s="9" t="str">
        <f aca="false">IF(ISNUMBER(C19)=FALSE(),"CHECK",IF(ABS(C19-B19)&lt;=0.0000005,"OK","CHECK"))</f>
        <v>OK</v>
      </c>
      <c r="E19" s="5" t="s">
        <v>93</v>
      </c>
    </row>
    <row r="20" customFormat="false" ht="15" hidden="false" customHeight="false" outlineLevel="0" collapsed="false">
      <c r="A20" s="3" t="s">
        <v>59</v>
      </c>
      <c r="B20" s="21" t="n">
        <v>0.569904</v>
      </c>
      <c r="C20" s="21" t="n">
        <f aca="false">Liquidity!B25</f>
        <v>0.569904365363347</v>
      </c>
      <c r="D20" s="9" t="str">
        <f aca="false">IF(ISNUMBER(C20)=FALSE(),"CHECK",IF(ABS(C20-B20)&lt;=0.0000005,"OK","CHECK"))</f>
        <v>OK</v>
      </c>
      <c r="E20" s="5" t="s">
        <v>93</v>
      </c>
    </row>
    <row r="21" customFormat="false" ht="15" hidden="false" customHeight="false" outlineLevel="0" collapsed="false">
      <c r="A21" s="3" t="s">
        <v>101</v>
      </c>
      <c r="B21" s="13" t="n">
        <v>30400000</v>
      </c>
      <c r="C21" s="13" t="n">
        <f aca="false">Liquidity!B11</f>
        <v>30400000</v>
      </c>
      <c r="D21" s="9" t="str">
        <f aca="false">IF(ISNUMBER(C21)=FALSE(),"CHECK",IF(ABS(C21-B21)&lt;=0.005,"OK","CHECK"))</f>
        <v>OK</v>
      </c>
      <c r="E21" s="5" t="s">
        <v>97</v>
      </c>
    </row>
    <row r="22" customFormat="false" ht="15" hidden="false" customHeight="false" outlineLevel="0" collapsed="false">
      <c r="A22" s="3" t="s">
        <v>50</v>
      </c>
      <c r="B22" s="22" t="n">
        <v>6.5263</v>
      </c>
      <c r="C22" s="22" t="n">
        <f aca="false">Liquidity!B12</f>
        <v>6.52631578947368</v>
      </c>
      <c r="D22" s="9" t="str">
        <f aca="false">IF(ISNUMBER(C22)=FALSE(),"CHECK",IF(ABS(C22-B22)&lt;=0.00005,"OK","CHECK"))</f>
        <v>OK</v>
      </c>
      <c r="E22" s="5" t="s">
        <v>95</v>
      </c>
    </row>
    <row r="23" customFormat="false" ht="15" hidden="false" customHeight="false" outlineLevel="0" collapsed="false">
      <c r="A23" s="3" t="s">
        <v>102</v>
      </c>
      <c r="B23" s="13" t="n">
        <v>168000000</v>
      </c>
      <c r="C23" s="13" t="n">
        <f aca="false">Liquidity!B13</f>
        <v>168000000</v>
      </c>
      <c r="D23" s="9" t="str">
        <f aca="false">IF(ISNUMBER(C23)=FALSE(),"CHECK",IF(ABS(C23-B23)&lt;=0.005,"OK","CHECK"))</f>
        <v>OK</v>
      </c>
      <c r="E23" s="5" t="s">
        <v>97</v>
      </c>
    </row>
    <row r="24" customFormat="false" ht="15" hidden="false" customHeight="false" outlineLevel="0" collapsed="false">
      <c r="A24" s="3" t="s">
        <v>103</v>
      </c>
      <c r="B24" s="13" t="n">
        <v>127600000</v>
      </c>
      <c r="C24" s="13" t="n">
        <f aca="false">Liquidity!B27</f>
        <v>127600000</v>
      </c>
      <c r="D24" s="9" t="str">
        <f aca="false">IF(ISNUMBER(C24)=FALSE(),"CHECK",IF(ABS(C24-B24)&lt;=0.005,"OK","CHECK"))</f>
        <v>OK</v>
      </c>
      <c r="E24" s="5" t="s">
        <v>97</v>
      </c>
    </row>
    <row r="25" customFormat="false" ht="15" hidden="false" customHeight="false" outlineLevel="0" collapsed="false">
      <c r="A25" s="3" t="s">
        <v>104</v>
      </c>
      <c r="B25" s="18" t="n">
        <v>31.8548</v>
      </c>
      <c r="C25" s="18" t="n">
        <f aca="false">Liquidity!B15</f>
        <v>31.8548387096774</v>
      </c>
      <c r="D25" s="9" t="str">
        <f aca="false">IF(ISNUMBER(C25)=FALSE(),"CHECK",IF(ABS(C25-B25)&lt;=0.00005,"OK","CHECK"))</f>
        <v>OK</v>
      </c>
      <c r="E25" s="5" t="s">
        <v>95</v>
      </c>
    </row>
    <row r="26" customFormat="false" ht="15" hidden="false" customHeight="false" outlineLevel="0" collapsed="false">
      <c r="A26" s="3" t="s">
        <v>53</v>
      </c>
      <c r="B26" s="21" t="n">
        <v>0.453855</v>
      </c>
      <c r="C26" s="21" t="n">
        <f aca="false">Liquidity!B16</f>
        <v>0.453855290964762</v>
      </c>
      <c r="D26" s="9" t="str">
        <f aca="false">IF(ISNUMBER(C26)=FALSE(),"CHECK",IF(ABS(C26-B26)&lt;=0.0000005,"OK","CHECK"))</f>
        <v>OK</v>
      </c>
      <c r="E26" s="5" t="s">
        <v>93</v>
      </c>
    </row>
    <row r="27" customFormat="false" ht="15" hidden="false" customHeight="false" outlineLevel="0" collapsed="false">
      <c r="A27" s="3" t="s">
        <v>105</v>
      </c>
      <c r="B27" s="18" t="n">
        <v>207.8947</v>
      </c>
      <c r="C27" s="18" t="n">
        <f aca="false">Liquidity!B17</f>
        <v>207.894736842105</v>
      </c>
      <c r="D27" s="9" t="str">
        <f aca="false">IF(ISNUMBER(C27)=FALSE(),"CHECK",IF(ABS(C27-B27)&lt;=0.00005,"OK","CHECK"))</f>
        <v>OK</v>
      </c>
      <c r="E27" s="5" t="s">
        <v>95</v>
      </c>
    </row>
    <row r="28" customFormat="false" ht="15" hidden="false" customHeight="false" outlineLevel="0" collapsed="false">
      <c r="A28" s="3" t="s">
        <v>53</v>
      </c>
      <c r="B28" s="21" t="n">
        <v>2.962003</v>
      </c>
      <c r="C28" s="21" t="n">
        <f aca="false">Liquidity!B37</f>
        <v>2.9620029515595</v>
      </c>
      <c r="D28" s="9" t="str">
        <f aca="false">IF(ISNUMBER(C28)=FALSE(),"CHECK",IF(ABS(C28-B28)&lt;=0.0000005,"OK","CHECK"))</f>
        <v>OK</v>
      </c>
      <c r="E28" s="5" t="s">
        <v>93</v>
      </c>
    </row>
    <row r="29" customFormat="false" ht="15" hidden="false" customHeight="false" outlineLevel="0" collapsed="false">
      <c r="A29" s="3" t="s">
        <v>106</v>
      </c>
      <c r="B29" s="4" t="n">
        <v>3950000</v>
      </c>
      <c r="C29" s="4" t="n">
        <f aca="false">Liquidity!B19</f>
        <v>3950000</v>
      </c>
      <c r="D29" s="9" t="str">
        <f aca="false">IF(ISNUMBER(C29)=FALSE(),"CHECK",IF(ABS(C29-B29)&lt;=0.5,"OK","CHECK"))</f>
        <v>OK</v>
      </c>
      <c r="E29" s="5" t="s">
        <v>90</v>
      </c>
    </row>
    <row r="30" customFormat="false" ht="15" hidden="false" customHeight="false" outlineLevel="0" collapsed="false">
      <c r="A30" s="3" t="s">
        <v>107</v>
      </c>
      <c r="B30" s="4" t="n">
        <v>1010000</v>
      </c>
      <c r="C30" s="4" t="n">
        <f aca="false">Liquidity!B20</f>
        <v>1010000</v>
      </c>
      <c r="D30" s="9" t="str">
        <f aca="false">IF(ISNUMBER(C30)=FALSE(),"CHECK",IF(ABS(C30-B30)&lt;=0.5,"OK","CHECK"))</f>
        <v>OK</v>
      </c>
      <c r="E30" s="5" t="s">
        <v>90</v>
      </c>
    </row>
    <row r="31" customFormat="false" ht="15" hidden="false" customHeight="false" outlineLevel="0" collapsed="false">
      <c r="A31" s="3" t="s">
        <v>108</v>
      </c>
      <c r="B31" s="21" t="n">
        <v>1.255696</v>
      </c>
      <c r="C31" s="21" t="n">
        <f aca="false">Liquidity!B28</f>
        <v>1.25569620253165</v>
      </c>
      <c r="D31" s="9" t="str">
        <f aca="false">IF(ISNUMBER(C31)=FALSE(),"CHECK",IF(ABS(C31-B31)&lt;=0.0000005,"OK","CHECK"))</f>
        <v>OK</v>
      </c>
      <c r="E31" s="5" t="s">
        <v>93</v>
      </c>
    </row>
    <row r="32" customFormat="false" ht="15" hidden="false" customHeight="false" outlineLevel="0" collapsed="false">
      <c r="A32" s="3" t="s">
        <v>109</v>
      </c>
      <c r="B32" s="13" t="n">
        <v>40400000</v>
      </c>
      <c r="C32" s="13" t="n">
        <f aca="false">Liquidity!B30</f>
        <v>40400000</v>
      </c>
      <c r="D32" s="9" t="str">
        <f aca="false">IF(ISNUMBER(C32)=FALSE(),"CHECK",IF(ABS(C32-B32)&lt;=0.005,"OK","CHECK"))</f>
        <v>OK</v>
      </c>
      <c r="E32" s="5" t="s">
        <v>97</v>
      </c>
    </row>
    <row r="33" customFormat="false" ht="15" hidden="false" customHeight="false" outlineLevel="0" collapsed="false">
      <c r="A33" s="3" t="s">
        <v>110</v>
      </c>
      <c r="B33" s="13" t="n">
        <v>7900000</v>
      </c>
      <c r="C33" s="13" t="n">
        <f aca="false">'At Other Moves'!B5</f>
        <v>7900000</v>
      </c>
      <c r="D33" s="9" t="str">
        <f aca="false">IF(ISNUMBER(C33)=FALSE(),"CHECK",IF(ABS(C33-B33)&lt;=0.005,"OK","CHECK"))</f>
        <v>OK</v>
      </c>
      <c r="E33" s="5" t="s">
        <v>97</v>
      </c>
    </row>
    <row r="34" customFormat="false" ht="15" hidden="false" customHeight="false" outlineLevel="0" collapsed="false">
      <c r="A34" s="3" t="s">
        <v>111</v>
      </c>
      <c r="B34" s="13" t="n">
        <v>2633333.33</v>
      </c>
      <c r="C34" s="13" t="n">
        <f aca="false">'At Other Moves'!B7</f>
        <v>2633333.33333333</v>
      </c>
      <c r="D34" s="9" t="str">
        <f aca="false">IF(ISNUMBER(C34)=FALSE(),"CHECK",IF(ABS(C34-B34)&lt;=0.005,"OK","CHECK"))</f>
        <v>OK</v>
      </c>
      <c r="E34" s="5" t="s">
        <v>97</v>
      </c>
    </row>
    <row r="35" customFormat="false" ht="15" hidden="false" customHeight="false" outlineLevel="0" collapsed="false">
      <c r="A35" s="3" t="s">
        <v>112</v>
      </c>
      <c r="B35" s="13" t="n">
        <v>2326666.67</v>
      </c>
      <c r="C35" s="13" t="n">
        <f aca="false">'At Other Moves'!C7</f>
        <v>2326666.66666667</v>
      </c>
      <c r="D35" s="9" t="str">
        <f aca="false">IF(ISNUMBER(C35)=FALSE(),"CHECK",IF(ABS(C35-B35)&lt;=0.005,"OK","CHECK"))</f>
        <v>OK</v>
      </c>
      <c r="E35" s="5" t="s">
        <v>97</v>
      </c>
    </row>
    <row r="36" customFormat="false" ht="15" hidden="false" customHeight="false" outlineLevel="0" collapsed="false">
      <c r="A36" s="3" t="s">
        <v>113</v>
      </c>
      <c r="B36" s="13" t="n">
        <v>139600000</v>
      </c>
      <c r="C36" s="13" t="n">
        <f aca="false">'At Other Moves'!E7</f>
        <v>139600000</v>
      </c>
      <c r="D36" s="9" t="str">
        <f aca="false">IF(ISNUMBER(C36)=FALSE(),"CHECK",IF(ABS(C36-B36)&lt;=0.005,"OK","CHECK"))</f>
        <v>OK</v>
      </c>
      <c r="E36" s="5" t="s">
        <v>97</v>
      </c>
    </row>
    <row r="37" customFormat="false" ht="15" hidden="false" customHeight="false" outlineLevel="0" collapsed="false">
      <c r="A37" s="3" t="s">
        <v>114</v>
      </c>
      <c r="B37" s="13" t="n">
        <v>96720000</v>
      </c>
      <c r="C37" s="13" t="n">
        <f aca="false">Liquidity!B31</f>
        <v>96720000</v>
      </c>
      <c r="D37" s="9" t="str">
        <f aca="false">IF(ISNUMBER(C37)=FALSE(),"CHECK",IF(ABS(C37-B37)&lt;=0.005,"OK","CHECK"))</f>
        <v>OK</v>
      </c>
      <c r="E37" s="5" t="s">
        <v>97</v>
      </c>
    </row>
    <row r="38" customFormat="false" ht="15" hidden="false" customHeight="false" outlineLevel="0" collapsed="false">
      <c r="A38" s="3" t="s">
        <v>115</v>
      </c>
      <c r="B38" s="13" t="n">
        <v>-71280000</v>
      </c>
      <c r="C38" s="13" t="n">
        <f aca="false">Liquidity!B33</f>
        <v>-71280000</v>
      </c>
      <c r="D38" s="9" t="str">
        <f aca="false">IF(ISNUMBER(C38)=FALSE(),"CHECK",IF(ABS(C38-B38)&lt;=0.005,"OK","CHECK"))</f>
        <v>OK</v>
      </c>
      <c r="E38" s="5" t="s">
        <v>97</v>
      </c>
    </row>
    <row r="39" customFormat="false" ht="15" hidden="false" customHeight="false" outlineLevel="0" collapsed="false">
      <c r="A39" s="3" t="s">
        <v>116</v>
      </c>
      <c r="B39" s="13" t="n">
        <v>-101680000</v>
      </c>
      <c r="C39" s="13" t="n">
        <f aca="false">Liquidity!B22</f>
        <v>-101680000</v>
      </c>
      <c r="D39" s="9" t="str">
        <f aca="false">IF(ISNUMBER(C39)=FALSE(),"CHECK",IF(ABS(C39-B39)&lt;=0.005,"OK","CHECK"))</f>
        <v>OK</v>
      </c>
      <c r="E39" s="5" t="s">
        <v>97</v>
      </c>
    </row>
    <row r="40" customFormat="false" ht="15" hidden="false" customHeight="false" outlineLevel="0" collapsed="false">
      <c r="A40" s="3" t="s">
        <v>117</v>
      </c>
      <c r="B40" s="13" t="n">
        <v>0</v>
      </c>
      <c r="C40" s="13" t="n">
        <f aca="false">Liquidity!B35-Liquidity!B22</f>
        <v>0</v>
      </c>
      <c r="D40" s="9" t="str">
        <f aca="false">IF(ISNUMBER(C40)=FALSE(),"CHECK",IF(ABS(C40-B40)&lt;=0.000001,"OK","CHECK"))</f>
        <v>OK</v>
      </c>
      <c r="E40" s="5" t="s">
        <v>118</v>
      </c>
    </row>
    <row r="41" customFormat="false" ht="15" hidden="false" customHeight="false" outlineLevel="0" collapsed="false">
      <c r="A41" s="3" t="s">
        <v>119</v>
      </c>
      <c r="B41" s="13" t="n">
        <v>0</v>
      </c>
      <c r="C41" s="13" t="n">
        <f aca="false">Liquidity!B33-Liquidity!B34-Liquidity!B22</f>
        <v>0</v>
      </c>
      <c r="D41" s="9" t="str">
        <f aca="false">IF(ISNUMBER(C41)=FALSE(),"CHECK",IF(ABS(C41-B41)&lt;=0.000001,"OK","CHECK"))</f>
        <v>OK</v>
      </c>
      <c r="E41" s="5" t="s">
        <v>118</v>
      </c>
    </row>
    <row r="42" customFormat="false" ht="15" hidden="false" customHeight="false" outlineLevel="0" collapsed="false">
      <c r="A42" s="3" t="s">
        <v>120</v>
      </c>
      <c r="B42" s="13" t="n">
        <v>607692.31</v>
      </c>
      <c r="C42" s="13" t="n">
        <f aca="false">Liquidity!B36</f>
        <v>607692.307692308</v>
      </c>
      <c r="D42" s="9" t="str">
        <f aca="false">IF(ISNUMBER(C42)=FALSE(),"CHECK",IF(ABS(C42-B42)&lt;=0.005,"OK","CHECK"))</f>
        <v>OK</v>
      </c>
      <c r="E42" s="5" t="s">
        <v>97</v>
      </c>
    </row>
    <row r="44" customFormat="false" ht="15" hidden="false" customHeight="false" outlineLevel="0" collapsed="false">
      <c r="A44" s="9" t="s">
        <v>121</v>
      </c>
      <c r="C44" s="9" t="str">
        <f aca="false">COUNTIF(D5:D42,"OK")&amp;" / 38"</f>
        <v>38 / 38</v>
      </c>
      <c r="D44" s="9" t="str">
        <f aca="false">IF(COUNTIF(D5:D42,"OK")=38,"ALL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2026-09-09T07:00:29Z</dcterms:created>
  <dc:creator>openpyxl</dc:creator>
  <dc:description/>
  <dc:language>en-US</dc:language>
  <cp:lastModifiedBy/>
  <dcterms:modified xsi:type="dcterms:W3CDTF">2026-09-24T02:10:27Z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