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urve" sheetId="1" state="visible" r:id="rId3"/>
    <sheet name="Shape" sheetId="2" state="visible" r:id="rId4"/>
    <sheet name="Amplitude" sheetId="3" state="visible" r:id="rId5"/>
    <sheet name="Group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<sst xmlns="http://schemas.openxmlformats.org/spreadsheetml/2006/main" count="203" uniqueCount="138">
  <si>
    <t xml:space="preserve">The price duration curve</t>
  </si>
  <si>
    <t xml:space="preserve">The year's 8,760 hourly prices, sorted and grouped. Blue cells are inputs: change an hour count or a price and everything in this workbook moves.</t>
  </si>
  <si>
    <t xml:space="preserve">Hours</t>
  </si>
  <si>
    <t xml:space="preserve">Price per MWh</t>
  </si>
  <si>
    <t xml:space="preserve">Hours x price</t>
  </si>
  <si>
    <t xml:space="preserve">Available hours</t>
  </si>
  <si>
    <t xml:space="preserve">Available hours x price</t>
  </si>
  <si>
    <t xml:space="preserve">Time-weighted average price</t>
  </si>
  <si>
    <t xml:space="preserve">Annual baseload forward (set equal to it by construction)</t>
  </si>
  <si>
    <t xml:space="preserve">Outage hours, taken at the bottom of the curve</t>
  </si>
  <si>
    <t xml:space="preserve">Hours x price over the available hours (the outage takes the cheapest hours first)</t>
  </si>
  <si>
    <t xml:space="preserve">Average price over the available hours</t>
  </si>
  <si>
    <t xml:space="preserve">Difference from the annual forward</t>
  </si>
  <si>
    <t xml:space="preserve">The load has a shape, and the shape is not free</t>
  </si>
  <si>
    <t xml:space="preserve">The shape multipliers are the input; the level is set by the contracted volume.</t>
  </si>
  <si>
    <t xml:space="preserve">Retail volume, MWh</t>
  </si>
  <si>
    <t xml:space="preserve">Retail price, per MWh</t>
  </si>
  <si>
    <t xml:space="preserve">Cost to serve, per MWh</t>
  </si>
  <si>
    <t xml:space="preserve">Average load, MW</t>
  </si>
  <si>
    <t xml:space="preserve">Price</t>
  </si>
  <si>
    <t xml:space="preserve">Shape multiplier</t>
  </si>
  <si>
    <t xml:space="preserve">Normalised</t>
  </si>
  <si>
    <t xml:space="preserve">Load MW</t>
  </si>
  <si>
    <t xml:space="preserve">Volume MWh</t>
  </si>
  <si>
    <t xml:space="preserve">Cost at spot</t>
  </si>
  <si>
    <t xml:space="preserve">Cost at the forward</t>
  </si>
  <si>
    <t xml:space="preserve">Flat block MWh</t>
  </si>
  <si>
    <t xml:space="preserve">Block less load, MWh</t>
  </si>
  <si>
    <t xml:space="preserve">Total</t>
  </si>
  <si>
    <t xml:space="preserve">Hours-weighted mean of the raw multipliers</t>
  </si>
  <si>
    <t xml:space="preserve">Normalisation factor</t>
  </si>
  <si>
    <t xml:space="preserve">Revenue</t>
  </si>
  <si>
    <t xml:space="preserve">Flat block bought at the forward</t>
  </si>
  <si>
    <t xml:space="preserve">Cost to serve</t>
  </si>
  <si>
    <t xml:space="preserve">Margin as the desk books it</t>
  </si>
  <si>
    <t xml:space="preserve">  per MWh</t>
  </si>
  <si>
    <t xml:space="preserve">Cost hour by hour</t>
  </si>
  <si>
    <t xml:space="preserve">Shape cost</t>
  </si>
  <si>
    <t xml:space="preserve">Load-weighted price</t>
  </si>
  <si>
    <t xml:space="preserve">Premium over the forward</t>
  </si>
  <si>
    <t xml:space="preserve">Margin once the hours are put back</t>
  </si>
  <si>
    <t xml:space="preserve">Share of the booked margin the shape takes</t>
  </si>
  <si>
    <t xml:space="preserve">The amplitude of the shape</t>
  </si>
  <si>
    <t xml:space="preserve">Chapter 9. Scale every multiplier's distance from 1.00, re-normalise so the year is still the contracted volume, and recompute.</t>
  </si>
  <si>
    <t xml:space="preserve">Amplitude (1 is the book's shape; 0 is flat)</t>
  </si>
  <si>
    <t xml:space="preserve">a step, not data: try 0, 0.5, 1 and 1.5</t>
  </si>
  <si>
    <t xml:space="preserve">Scaled multiplier</t>
  </si>
  <si>
    <t xml:space="preserve">Hours-weighted mean of the scaled multipliers</t>
  </si>
  <si>
    <t xml:space="preserve">Shape cost at this amplitude</t>
  </si>
  <si>
    <t xml:space="preserve">  share of the booked margin</t>
  </si>
  <si>
    <t xml:space="preserve">Each row's deviation from average load, against the book's shape</t>
  </si>
  <si>
    <t xml:space="preserve">Offset: the plant's convexity over this shape cost</t>
  </si>
  <si>
    <t xml:space="preserve">Where the shape takes the whole margin</t>
  </si>
  <si>
    <t xml:space="preserve">The shortcut: booked margin divided by the shape cost</t>
  </si>
  <si>
    <t xml:space="preserve">Amplitude at which the shape takes the whole booked margin (after the cost to serve)</t>
  </si>
  <si>
    <t xml:space="preserve">  shape cost at that amplitude</t>
  </si>
  <si>
    <t xml:space="preserve">Amplitude at which it also takes the cost to serve (margin before the cost to serve is zero)</t>
  </si>
  <si>
    <t xml:space="preserve">The shape cost is not proportional to the amplitude: the raw multipliers average 1.0058333, not 1.00, and the normalisation moves with them. Row 24 solves it exactly; row 23 is the shortcut the chapter warns about three sentences earlier.</t>
  </si>
  <si>
    <t xml:space="preserve">The group, flat and hour by hour</t>
  </si>
  <si>
    <t xml:space="preserve">Chapter 15. The plant on the same curve, beside the retail book. The plant inputs are here because this file does not otherwise carry them.</t>
  </si>
  <si>
    <t xml:space="preserve">Plant capacity, MW</t>
  </si>
  <si>
    <t xml:space="preserve">Heat rate, MMBtu per MWh</t>
  </si>
  <si>
    <t xml:space="preserve">Gas, per MMBtu</t>
  </si>
  <si>
    <t xml:space="preserve">Variable operating cost, per MWh</t>
  </si>
  <si>
    <t xml:space="preserve">Marginal cost per MWh</t>
  </si>
  <si>
    <t xml:space="preserve">Runs</t>
  </si>
  <si>
    <t xml:space="preserve">Margin per MW</t>
  </si>
  <si>
    <t xml:space="preserve">Plant output MWh</t>
  </si>
  <si>
    <t xml:space="preserve">Retail volume MWh</t>
  </si>
  <si>
    <t xml:space="preserve">Plant less load, in running hours</t>
  </si>
  <si>
    <t xml:space="preserve">Plant gross margin, hour by hour</t>
  </si>
  <si>
    <t xml:space="preserve">Block volume across the available hours, MWh</t>
  </si>
  <si>
    <t xml:space="preserve">(c') must-run block priced on its own hours</t>
  </si>
  <si>
    <t xml:space="preserve">(c) must-run block at the annual forward</t>
  </si>
  <si>
    <t xml:space="preserve">Flat reading</t>
  </si>
  <si>
    <t xml:space="preserve">Hour by hour</t>
  </si>
  <si>
    <t xml:space="preserve">Effect of the hours</t>
  </si>
  <si>
    <t xml:space="preserve">Plant gross margin</t>
  </si>
  <si>
    <t xml:space="preserve">Retail margin</t>
  </si>
  <si>
    <t xml:space="preserve">The plant's convexity</t>
  </si>
  <si>
    <t xml:space="preserve">Convexity over the retail book's shape cost</t>
  </si>
  <si>
    <t xml:space="preserve">The flat reading overstates the group by</t>
  </si>
  <si>
    <t xml:space="preserve">  as a share of the flat reading</t>
  </si>
  <si>
    <t xml:space="preserve">The smaller correction over the movement in the total</t>
  </si>
  <si>
    <t xml:space="preserve">Flat total with the must-run block at the annual forward instead</t>
  </si>
  <si>
    <t xml:space="preserve">The coverage claim</t>
  </si>
  <si>
    <t xml:space="preserve">Retail volume in the hours the plant runs</t>
  </si>
  <si>
    <t xml:space="preserve">Plant output less that volume: the year total</t>
  </si>
  <si>
    <t xml:space="preserve">  deficit in the running rows where load exceeds output</t>
  </si>
  <si>
    <t xml:space="preserve">  surplus in the others</t>
  </si>
  <si>
    <t xml:space="preserve">Retail volume in hours the plant does not run</t>
  </si>
  <si>
    <t xml:space="preserve">Checks</t>
  </si>
  <si>
    <t xml:space="preserve">The figure printed in the book beside the figure this workbook computes. Change an input and the rows that depend on it stop matching.</t>
  </si>
  <si>
    <t xml:space="preserve">What the book prints</t>
  </si>
  <si>
    <t xml:space="preserve">Printed</t>
  </si>
  <si>
    <t xml:space="preserve">Computed here</t>
  </si>
  <si>
    <t xml:space="preserve">Status</t>
  </si>
  <si>
    <t xml:space="preserve">Note</t>
  </si>
  <si>
    <t xml:space="preserve">Normalisation factor (Chapter 9)</t>
  </si>
  <si>
    <t xml:space="preserve">tolerance 5e-07</t>
  </si>
  <si>
    <t xml:space="preserve">tolerance 5e-08</t>
  </si>
  <si>
    <t xml:space="preserve">tolerance 0.005</t>
  </si>
  <si>
    <t xml:space="preserve">Flat block volume, MWh (revised: the book's table multiplies a rounded 479.45)</t>
  </si>
  <si>
    <t xml:space="preserve">the book's column sums to 4,199,982</t>
  </si>
  <si>
    <t xml:space="preserve">Flat block in the top 100 hours, MWh</t>
  </si>
  <si>
    <t xml:space="preserve">revised: the book prints 47,945.00</t>
  </si>
  <si>
    <t xml:space="preserve">Flat block in the bottom 760 hours, MWh</t>
  </si>
  <si>
    <t xml:space="preserve">revised: the book prints 364,382.00</t>
  </si>
  <si>
    <t xml:space="preserve">Load in the top 100 hours, MW</t>
  </si>
  <si>
    <t xml:space="preserve">Load in the bottom 760 hours, MW</t>
  </si>
  <si>
    <t xml:space="preserve">Top load over bottom load</t>
  </si>
  <si>
    <t xml:space="preserve">tolerance 5e-05</t>
  </si>
  <si>
    <t xml:space="preserve">Retail volume, sum of the rows</t>
  </si>
  <si>
    <t xml:space="preserve">Flat block cost (Chapter 8)</t>
  </si>
  <si>
    <t xml:space="preserve">Shape cost per MWh</t>
  </si>
  <si>
    <t xml:space="preserve">Covariance per hour (shape cost over 8,760)</t>
  </si>
  <si>
    <t xml:space="preserve">Half the amplitude: shape cost</t>
  </si>
  <si>
    <t xml:space="preserve">at an amplitude of 0.5 on the Amplitude sheet</t>
  </si>
  <si>
    <t xml:space="preserve">  deviation scale</t>
  </si>
  <si>
    <t xml:space="preserve">The shortcut ratio, booked margin over shape cost</t>
  </si>
  <si>
    <t xml:space="preserve">Amplitude at which the shape takes the whole booked margin</t>
  </si>
  <si>
    <t xml:space="preserve">revised: the book prints 1.1616, the shortcut</t>
  </si>
  <si>
    <t xml:space="preserve">  the shape cost there equals the booked margin (must be zero)</t>
  </si>
  <si>
    <t xml:space="preserve">holds for any inputs</t>
  </si>
  <si>
    <t xml:space="preserve">Group: flat reading (Chapter 15)</t>
  </si>
  <si>
    <t xml:space="preserve">Group: hour by hour</t>
  </si>
  <si>
    <t xml:space="preserve">Group: effect of the hours</t>
  </si>
  <si>
    <t xml:space="preserve">Plant's convexity covers of the shape cost</t>
  </si>
  <si>
    <t xml:space="preserve">Flat reading overstates by, as a share</t>
  </si>
  <si>
    <t xml:space="preserve">Flat total with (c) instead</t>
  </si>
  <si>
    <t xml:space="preserve">Offset at half the amplitude</t>
  </si>
  <si>
    <t xml:space="preserve">Retail volume in the running hours</t>
  </si>
  <si>
    <t xml:space="preserve">the book adds the rounded rows: a cent apart</t>
  </si>
  <si>
    <t xml:space="preserve">  plant output to spare over the year</t>
  </si>
  <si>
    <t xml:space="preserve">  deficit in the three dearest rows</t>
  </si>
  <si>
    <t xml:space="preserve">  surplus in the two cheapest running rows</t>
  </si>
  <si>
    <t xml:space="preserve">Group plant margin equals the hour-by-hour plant margin of the book</t>
  </si>
  <si>
    <t xml:space="preserve">All checks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</si>
</sst>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[RED]\-#,##0"/>
    <numFmt numFmtId="166" formatCode="#,##0.00;[RED]\-#,##0.00"/>
    <numFmt numFmtId="167" formatCode="0.0000"/>
    <numFmt numFmtId="168" formatCode="0.0000000"/>
    <numFmt numFmtId="169" formatCode="0.000000"/>
    <numFmt numFmtId="170" formatCode="0.0000%"/>
    <numFmt numFmtId="171" formatCode="0.00"/>
    <numFmt numFmtId="172" formatCode="0.000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v>100</v>
      </c>
      <c r="B5" s="5" t="n">
        <v>260</v>
      </c>
      <c r="C5" s="6" t="n">
        <f aca="false">A5*B5</f>
        <v>26000</v>
      </c>
      <c r="D5" s="7" t="n">
        <f aca="false">MAX(0,MIN(A5,$B$19))</f>
        <v>100</v>
      </c>
      <c r="E5" s="6" t="n">
        <f aca="false">D5*B5</f>
        <v>26000</v>
      </c>
    </row>
    <row r="6" customFormat="false" ht="15" hidden="false" customHeight="false" outlineLevel="0" collapsed="false">
      <c r="A6" s="4" t="n">
        <v>250</v>
      </c>
      <c r="B6" s="5" t="n">
        <v>155</v>
      </c>
      <c r="C6" s="6" t="n">
        <f aca="false">A6*B6</f>
        <v>38750</v>
      </c>
      <c r="D6" s="7" t="n">
        <f aca="false">MAX(0,MIN(A6,$B$19-SUM($A$4:A5)))</f>
        <v>250</v>
      </c>
      <c r="E6" s="6" t="n">
        <f aca="false">D6*B6</f>
        <v>38750</v>
      </c>
    </row>
    <row r="7" customFormat="false" ht="15" hidden="false" customHeight="false" outlineLevel="0" collapsed="false">
      <c r="A7" s="4" t="n">
        <v>550</v>
      </c>
      <c r="B7" s="5" t="n">
        <v>105</v>
      </c>
      <c r="C7" s="6" t="n">
        <f aca="false">A7*B7</f>
        <v>57750</v>
      </c>
      <c r="D7" s="7" t="n">
        <f aca="false">MAX(0,MIN(A7,$B$19-SUM($A$4:A6)))</f>
        <v>550</v>
      </c>
      <c r="E7" s="6" t="n">
        <f aca="false">D7*B7</f>
        <v>57750</v>
      </c>
    </row>
    <row r="8" customFormat="false" ht="15" hidden="false" customHeight="false" outlineLevel="0" collapsed="false">
      <c r="A8" s="4" t="n">
        <v>1100</v>
      </c>
      <c r="B8" s="5" t="n">
        <v>85</v>
      </c>
      <c r="C8" s="6" t="n">
        <f aca="false">A8*B8</f>
        <v>93500</v>
      </c>
      <c r="D8" s="7" t="n">
        <f aca="false">MAX(0,MIN(A8,$B$19-SUM($A$4:A7)))</f>
        <v>1100</v>
      </c>
      <c r="E8" s="6" t="n">
        <f aca="false">D8*B8</f>
        <v>93500</v>
      </c>
    </row>
    <row r="9" customFormat="false" ht="15" hidden="false" customHeight="false" outlineLevel="0" collapsed="false">
      <c r="A9" s="4" t="n">
        <v>1900</v>
      </c>
      <c r="B9" s="5" t="n">
        <v>72</v>
      </c>
      <c r="C9" s="6" t="n">
        <f aca="false">A9*B9</f>
        <v>136800</v>
      </c>
      <c r="D9" s="7" t="n">
        <f aca="false">MAX(0,MIN(A9,$B$19-SUM($A$4:A8)))</f>
        <v>1900</v>
      </c>
      <c r="E9" s="6" t="n">
        <f aca="false">D9*B9</f>
        <v>136800</v>
      </c>
    </row>
    <row r="10" customFormat="false" ht="15" hidden="false" customHeight="false" outlineLevel="0" collapsed="false">
      <c r="A10" s="4" t="n">
        <v>2400</v>
      </c>
      <c r="B10" s="5" t="n">
        <v>63</v>
      </c>
      <c r="C10" s="6" t="n">
        <f aca="false">A10*B10</f>
        <v>151200</v>
      </c>
      <c r="D10" s="7" t="n">
        <f aca="false">MAX(0,MIN(A10,$B$19-SUM($A$4:A9)))</f>
        <v>2400</v>
      </c>
      <c r="E10" s="6" t="n">
        <f aca="false">D10*B10</f>
        <v>151200</v>
      </c>
    </row>
    <row r="11" customFormat="false" ht="15" hidden="false" customHeight="false" outlineLevel="0" collapsed="false">
      <c r="A11" s="4" t="n">
        <v>1700</v>
      </c>
      <c r="B11" s="5" t="n">
        <v>50</v>
      </c>
      <c r="C11" s="6" t="n">
        <f aca="false">A11*B11</f>
        <v>85000</v>
      </c>
      <c r="D11" s="7" t="n">
        <f aca="false">MAX(0,MIN(A11,$B$19-SUM($A$4:A10)))</f>
        <v>1700</v>
      </c>
      <c r="E11" s="6" t="n">
        <f aca="false">D11*B11</f>
        <v>85000</v>
      </c>
    </row>
    <row r="12" customFormat="false" ht="15" hidden="false" customHeight="false" outlineLevel="0" collapsed="false">
      <c r="A12" s="4" t="n">
        <v>760</v>
      </c>
      <c r="B12" s="5" t="n">
        <v>34</v>
      </c>
      <c r="C12" s="6" t="n">
        <f aca="false">A12*B12</f>
        <v>25840</v>
      </c>
      <c r="D12" s="7" t="n">
        <f aca="false">MAX(0,MIN(A12,$B$19-SUM($A$4:A11)))</f>
        <v>0</v>
      </c>
      <c r="E12" s="6" t="n">
        <f aca="false">D12*B12</f>
        <v>0</v>
      </c>
    </row>
    <row r="13" customFormat="false" ht="15" hidden="false" customHeight="false" outlineLevel="0" collapsed="false">
      <c r="A13" s="8" t="n">
        <f aca="false">SUM(A5:A12)</f>
        <v>8760</v>
      </c>
      <c r="C13" s="9" t="n">
        <f aca="false">SUM(C5:C12)</f>
        <v>614840</v>
      </c>
      <c r="D13" s="8" t="n">
        <f aca="false">SUM(D5:D12)</f>
        <v>8000</v>
      </c>
      <c r="E13" s="9" t="n">
        <f aca="false">SUM(E5:E12)</f>
        <v>589000</v>
      </c>
    </row>
    <row r="15" customFormat="false" ht="15" hidden="false" customHeight="false" outlineLevel="0" collapsed="false">
      <c r="A15" s="10" t="s">
        <v>7</v>
      </c>
      <c r="B15" s="11" t="n">
        <f aca="false">C13/A13</f>
        <v>70.1872146118722</v>
      </c>
    </row>
    <row r="16" customFormat="false" ht="15" hidden="false" customHeight="false" outlineLevel="0" collapsed="false">
      <c r="A16" s="12" t="s">
        <v>8</v>
      </c>
      <c r="B16" s="13" t="n">
        <f aca="false">B15</f>
        <v>70.1872146118722</v>
      </c>
    </row>
    <row r="18" customFormat="false" ht="15" hidden="false" customHeight="false" outlineLevel="0" collapsed="false">
      <c r="A18" s="12" t="s">
        <v>9</v>
      </c>
      <c r="B18" s="4" t="n">
        <v>760</v>
      </c>
    </row>
    <row r="19" customFormat="false" ht="15" hidden="false" customHeight="false" outlineLevel="0" collapsed="false">
      <c r="A19" s="12" t="s">
        <v>5</v>
      </c>
      <c r="B19" s="7" t="n">
        <f aca="false">A13-B18</f>
        <v>8000</v>
      </c>
    </row>
    <row r="20" customFormat="false" ht="15" hidden="false" customHeight="false" outlineLevel="0" collapsed="false">
      <c r="A20" s="12" t="s">
        <v>10</v>
      </c>
      <c r="B20" s="6" t="n">
        <f aca="false">E13</f>
        <v>589000</v>
      </c>
    </row>
    <row r="21" customFormat="false" ht="15" hidden="false" customHeight="false" outlineLevel="0" collapsed="false">
      <c r="A21" s="10" t="s">
        <v>11</v>
      </c>
      <c r="B21" s="11" t="n">
        <f aca="false">B20/B19</f>
        <v>73.625</v>
      </c>
    </row>
    <row r="22" customFormat="false" ht="15" hidden="false" customHeight="false" outlineLevel="0" collapsed="false">
      <c r="A22" s="12" t="s">
        <v>12</v>
      </c>
      <c r="B22" s="13" t="n">
        <f aca="false">B21-B16</f>
        <v>3.43778538812785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8" min="7" style="0" width="20"/>
    <col collapsed="false" customWidth="true" hidden="false" outlineLevel="0" max="9" min="9" style="0" width="16"/>
    <col collapsed="false" customWidth="true" hidden="false" outlineLevel="0" max="10" min="10" style="0" width="18"/>
  </cols>
  <sheetData>
    <row r="1" customFormat="false" ht="16.15" hidden="false" customHeight="false" outlineLevel="0" collapsed="false">
      <c r="A1" s="1" t="s">
        <v>13</v>
      </c>
    </row>
    <row r="2" customFormat="false" ht="15" hidden="false" customHeight="false" outlineLevel="0" collapsed="false">
      <c r="A2" s="2" t="s">
        <v>14</v>
      </c>
    </row>
    <row r="4" customFormat="false" ht="15" hidden="false" customHeight="false" outlineLevel="0" collapsed="false">
      <c r="A4" s="12" t="s">
        <v>15</v>
      </c>
      <c r="B4" s="4" t="n">
        <v>4200000</v>
      </c>
    </row>
    <row r="5" customFormat="false" ht="15" hidden="false" customHeight="false" outlineLevel="0" collapsed="false">
      <c r="A5" s="12" t="s">
        <v>16</v>
      </c>
      <c r="B5" s="5" t="n">
        <v>78.5</v>
      </c>
    </row>
    <row r="6" customFormat="false" ht="15" hidden="false" customHeight="false" outlineLevel="0" collapsed="false">
      <c r="A6" s="12" t="s">
        <v>17</v>
      </c>
      <c r="B6" s="14" t="n">
        <v>2.15</v>
      </c>
    </row>
    <row r="7" customFormat="false" ht="15" hidden="false" customHeight="false" outlineLevel="0" collapsed="false">
      <c r="A7" s="12" t="s">
        <v>18</v>
      </c>
      <c r="B7" s="6" t="n">
        <f aca="false">B4/Curve!A13</f>
        <v>479.452054794521</v>
      </c>
    </row>
    <row r="9" customFormat="false" ht="15" hidden="false" customHeight="false" outlineLevel="0" collapsed="false">
      <c r="A9" s="3" t="s">
        <v>2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</row>
    <row r="10" customFormat="false" ht="15" hidden="false" customHeight="false" outlineLevel="0" collapsed="false">
      <c r="A10" s="7" t="n">
        <f aca="false">Curve!A5</f>
        <v>100</v>
      </c>
      <c r="B10" s="6" t="n">
        <f aca="false">Curve!B5</f>
        <v>260</v>
      </c>
      <c r="C10" s="15" t="n">
        <v>1.62</v>
      </c>
      <c r="D10" s="13" t="n">
        <f aca="false">C10*$B$21</f>
        <v>1.6106048053024</v>
      </c>
      <c r="E10" s="6" t="n">
        <f aca="false">D10*$B$7</f>
        <v>772.207783364166</v>
      </c>
      <c r="F10" s="6" t="n">
        <f aca="false">A10*E10</f>
        <v>77220.7783364166</v>
      </c>
      <c r="G10" s="6" t="n">
        <f aca="false">F10*B10</f>
        <v>20077402.3674683</v>
      </c>
      <c r="H10" s="6" t="n">
        <f aca="false">F10*Curve!$B$16</f>
        <v>5419911.34159388</v>
      </c>
      <c r="I10" s="6" t="n">
        <f aca="false">A10*$B$7</f>
        <v>47945.2054794521</v>
      </c>
      <c r="J10" s="6" t="n">
        <f aca="false">I10-F10</f>
        <v>-29275.5728569645</v>
      </c>
    </row>
    <row r="11" customFormat="false" ht="15" hidden="false" customHeight="false" outlineLevel="0" collapsed="false">
      <c r="A11" s="7" t="n">
        <f aca="false">Curve!A6</f>
        <v>250</v>
      </c>
      <c r="B11" s="6" t="n">
        <f aca="false">Curve!B6</f>
        <v>155</v>
      </c>
      <c r="C11" s="15" t="n">
        <v>1.48</v>
      </c>
      <c r="D11" s="13" t="n">
        <f aca="false">C11*$B$21</f>
        <v>1.47141673570837</v>
      </c>
      <c r="E11" s="6" t="n">
        <f aca="false">D11*$B$7</f>
        <v>705.473777394423</v>
      </c>
      <c r="F11" s="6" t="n">
        <f aca="false">A11*E11</f>
        <v>176368.444348606</v>
      </c>
      <c r="G11" s="6" t="n">
        <f aca="false">F11*B11</f>
        <v>27337108.8740339</v>
      </c>
      <c r="H11" s="6" t="n">
        <f aca="false">F11*Curve!$B$16</f>
        <v>12378809.8542576</v>
      </c>
      <c r="I11" s="6" t="n">
        <f aca="false">A11*$B$7</f>
        <v>119863.01369863</v>
      </c>
      <c r="J11" s="6" t="n">
        <f aca="false">I11-F11</f>
        <v>-56505.4306499756</v>
      </c>
    </row>
    <row r="12" customFormat="false" ht="15" hidden="false" customHeight="false" outlineLevel="0" collapsed="false">
      <c r="A12" s="7" t="n">
        <f aca="false">Curve!A7</f>
        <v>550</v>
      </c>
      <c r="B12" s="6" t="n">
        <f aca="false">Curve!B7</f>
        <v>105</v>
      </c>
      <c r="C12" s="15" t="n">
        <v>1.33</v>
      </c>
      <c r="D12" s="13" t="n">
        <f aca="false">C12*$B$21</f>
        <v>1.32228666114333</v>
      </c>
      <c r="E12" s="6" t="n">
        <f aca="false">D12*$B$7</f>
        <v>633.973056712556</v>
      </c>
      <c r="F12" s="6" t="n">
        <f aca="false">A12*E12</f>
        <v>348685.181191906</v>
      </c>
      <c r="G12" s="6" t="n">
        <f aca="false">F12*B12</f>
        <v>36611944.0251501</v>
      </c>
      <c r="H12" s="6" t="n">
        <f aca="false">F12*Curve!$B$16</f>
        <v>24473241.6442958</v>
      </c>
      <c r="I12" s="6" t="n">
        <f aca="false">A12*$B$7</f>
        <v>263698.630136986</v>
      </c>
      <c r="J12" s="6" t="n">
        <f aca="false">I12-F12</f>
        <v>-84986.5510549194</v>
      </c>
    </row>
    <row r="13" customFormat="false" ht="15" hidden="false" customHeight="false" outlineLevel="0" collapsed="false">
      <c r="A13" s="7" t="n">
        <f aca="false">Curve!A8</f>
        <v>1100</v>
      </c>
      <c r="B13" s="6" t="n">
        <f aca="false">Curve!B8</f>
        <v>85</v>
      </c>
      <c r="C13" s="15" t="n">
        <v>1.2</v>
      </c>
      <c r="D13" s="13" t="n">
        <f aca="false">C13*$B$21</f>
        <v>1.1930405965203</v>
      </c>
      <c r="E13" s="6" t="n">
        <f aca="false">D13*$B$7</f>
        <v>572.005765454937</v>
      </c>
      <c r="F13" s="6" t="n">
        <f aca="false">A13*E13</f>
        <v>629206.342000431</v>
      </c>
      <c r="G13" s="6" t="n">
        <f aca="false">F13*B13</f>
        <v>53482539.0700367</v>
      </c>
      <c r="H13" s="6" t="n">
        <f aca="false">F13*Curve!$B$16</f>
        <v>44162240.5611353</v>
      </c>
      <c r="I13" s="6" t="n">
        <f aca="false">A13*$B$7</f>
        <v>527397.260273973</v>
      </c>
      <c r="J13" s="6" t="n">
        <f aca="false">I13-F13</f>
        <v>-101809.081726459</v>
      </c>
    </row>
    <row r="14" customFormat="false" ht="15" hidden="false" customHeight="false" outlineLevel="0" collapsed="false">
      <c r="A14" s="7" t="n">
        <f aca="false">Curve!A9</f>
        <v>1900</v>
      </c>
      <c r="B14" s="6" t="n">
        <f aca="false">Curve!B9</f>
        <v>72</v>
      </c>
      <c r="C14" s="15" t="n">
        <v>1.06</v>
      </c>
      <c r="D14" s="13" t="n">
        <f aca="false">C14*$B$21</f>
        <v>1.05385252692626</v>
      </c>
      <c r="E14" s="6" t="n">
        <f aca="false">D14*$B$7</f>
        <v>505.271759485195</v>
      </c>
      <c r="F14" s="6" t="n">
        <f aca="false">A14*E14</f>
        <v>960016.34302187</v>
      </c>
      <c r="G14" s="6" t="n">
        <f aca="false">F14*B14</f>
        <v>69121176.6975747</v>
      </c>
      <c r="H14" s="6" t="n">
        <f aca="false">F14*Curve!$B$16</f>
        <v>67380873.0985807</v>
      </c>
      <c r="I14" s="6" t="n">
        <f aca="false">A14*$B$7</f>
        <v>910958.904109589</v>
      </c>
      <c r="J14" s="6" t="n">
        <f aca="false">I14-F14</f>
        <v>-49057.4389122812</v>
      </c>
    </row>
    <row r="15" customFormat="false" ht="15" hidden="false" customHeight="false" outlineLevel="0" collapsed="false">
      <c r="A15" s="7" t="n">
        <f aca="false">Curve!A10</f>
        <v>2400</v>
      </c>
      <c r="B15" s="6" t="n">
        <f aca="false">Curve!B10</f>
        <v>63</v>
      </c>
      <c r="C15" s="15" t="n">
        <v>0.95</v>
      </c>
      <c r="D15" s="13" t="n">
        <f aca="false">C15*$B$21</f>
        <v>0.944490472245236</v>
      </c>
      <c r="E15" s="6" t="n">
        <f aca="false">D15*$B$7</f>
        <v>452.837897651826</v>
      </c>
      <c r="F15" s="6" t="n">
        <f aca="false">A15*E15</f>
        <v>1086810.95436438</v>
      </c>
      <c r="G15" s="6" t="n">
        <f aca="false">F15*B15</f>
        <v>68469090.124956</v>
      </c>
      <c r="H15" s="6" t="n">
        <f aca="false">F15*Curve!$B$16</f>
        <v>76280233.6965064</v>
      </c>
      <c r="I15" s="6" t="n">
        <f aca="false">A15*$B$7</f>
        <v>1150684.93150685</v>
      </c>
      <c r="J15" s="6" t="n">
        <f aca="false">I15-F15</f>
        <v>63873.9771424681</v>
      </c>
    </row>
    <row r="16" customFormat="false" ht="15" hidden="false" customHeight="false" outlineLevel="0" collapsed="false">
      <c r="A16" s="7" t="n">
        <f aca="false">Curve!A11</f>
        <v>1700</v>
      </c>
      <c r="B16" s="6" t="n">
        <f aca="false">Curve!B11</f>
        <v>50</v>
      </c>
      <c r="C16" s="15" t="n">
        <v>0.82</v>
      </c>
      <c r="D16" s="13" t="n">
        <f aca="false">C16*$B$21</f>
        <v>0.815244407622204</v>
      </c>
      <c r="E16" s="6" t="n">
        <f aca="false">D16*$B$7</f>
        <v>390.870606394207</v>
      </c>
      <c r="F16" s="6" t="n">
        <f aca="false">A16*E16</f>
        <v>664480.030870152</v>
      </c>
      <c r="G16" s="6" t="n">
        <f aca="false">F16*B16</f>
        <v>33224001.5435076</v>
      </c>
      <c r="H16" s="6" t="n">
        <f aca="false">F16*Curve!$B$16</f>
        <v>46638002.5319868</v>
      </c>
      <c r="I16" s="6" t="n">
        <f aca="false">A16*$B$7</f>
        <v>815068.493150685</v>
      </c>
      <c r="J16" s="6" t="n">
        <f aca="false">I16-F16</f>
        <v>150588.462280533</v>
      </c>
    </row>
    <row r="17" customFormat="false" ht="15" hidden="false" customHeight="false" outlineLevel="0" collapsed="false">
      <c r="A17" s="7" t="n">
        <f aca="false">Curve!A12</f>
        <v>760</v>
      </c>
      <c r="B17" s="6" t="n">
        <f aca="false">Curve!B12</f>
        <v>34</v>
      </c>
      <c r="C17" s="15" t="n">
        <v>0.71</v>
      </c>
      <c r="D17" s="13" t="n">
        <f aca="false">C17*$B$21</f>
        <v>0.705882352941176</v>
      </c>
      <c r="E17" s="6" t="n">
        <f aca="false">D17*$B$7</f>
        <v>338.436744560838</v>
      </c>
      <c r="F17" s="6" t="n">
        <f aca="false">A17*E17</f>
        <v>257211.925866237</v>
      </c>
      <c r="G17" s="6" t="n">
        <f aca="false">F17*B17</f>
        <v>8745205.47945205</v>
      </c>
      <c r="H17" s="6" t="n">
        <f aca="false">F17*Curve!$B$16</f>
        <v>18052988.6415065</v>
      </c>
      <c r="I17" s="6" t="n">
        <f aca="false">A17*$B$7</f>
        <v>364383.561643836</v>
      </c>
      <c r="J17" s="6" t="n">
        <f aca="false">I17-F17</f>
        <v>107171.635777599</v>
      </c>
    </row>
    <row r="18" customFormat="false" ht="15" hidden="false" customHeight="false" outlineLevel="0" collapsed="false">
      <c r="A18" s="10" t="s">
        <v>28</v>
      </c>
      <c r="F18" s="9" t="n">
        <f aca="false">SUM(F10:F17)</f>
        <v>4200000</v>
      </c>
      <c r="G18" s="9" t="n">
        <f aca="false">SUM(G10:G17)</f>
        <v>317068468.182179</v>
      </c>
      <c r="H18" s="9" t="n">
        <f aca="false">SUM(H10:H17)</f>
        <v>294786301.369863</v>
      </c>
      <c r="I18" s="9" t="n">
        <f aca="false">SUM(I10:I17)</f>
        <v>4200000</v>
      </c>
      <c r="J18" s="9" t="n">
        <f aca="false">SUM(J10:J17)</f>
        <v>0</v>
      </c>
    </row>
    <row r="20" customFormat="false" ht="15" hidden="false" customHeight="false" outlineLevel="0" collapsed="false">
      <c r="A20" s="12" t="s">
        <v>29</v>
      </c>
      <c r="B20" s="16" t="n">
        <f aca="false">SUMPRODUCT(A10:A17,C10:C17)/Curve!A13</f>
        <v>1.00583333333333</v>
      </c>
    </row>
    <row r="21" customFormat="false" ht="15" hidden="false" customHeight="false" outlineLevel="0" collapsed="false">
      <c r="A21" s="10" t="s">
        <v>30</v>
      </c>
      <c r="B21" s="17" t="n">
        <f aca="false">1/B20</f>
        <v>0.994200497100249</v>
      </c>
    </row>
    <row r="23" customFormat="false" ht="15" hidden="false" customHeight="false" outlineLevel="0" collapsed="false">
      <c r="A23" s="12" t="s">
        <v>31</v>
      </c>
      <c r="B23" s="6" t="n">
        <f aca="false">B4*B5</f>
        <v>329700000</v>
      </c>
    </row>
    <row r="24" customFormat="false" ht="15" hidden="false" customHeight="false" outlineLevel="0" collapsed="false">
      <c r="A24" s="12" t="s">
        <v>32</v>
      </c>
      <c r="B24" s="6" t="n">
        <f aca="false">H18</f>
        <v>294786301.369863</v>
      </c>
    </row>
    <row r="25" customFormat="false" ht="15" hidden="false" customHeight="false" outlineLevel="0" collapsed="false">
      <c r="A25" s="12" t="s">
        <v>33</v>
      </c>
      <c r="B25" s="6" t="n">
        <f aca="false">B4*B6</f>
        <v>9030000</v>
      </c>
    </row>
    <row r="26" customFormat="false" ht="15" hidden="false" customHeight="false" outlineLevel="0" collapsed="false">
      <c r="A26" s="10" t="s">
        <v>34</v>
      </c>
      <c r="B26" s="9" t="n">
        <f aca="false">B23-B24-B25</f>
        <v>25883698.630137</v>
      </c>
    </row>
    <row r="27" customFormat="false" ht="15" hidden="false" customHeight="false" outlineLevel="0" collapsed="false">
      <c r="A27" s="12" t="s">
        <v>35</v>
      </c>
      <c r="B27" s="13" t="n">
        <f aca="false">B26/B4</f>
        <v>6.16278538812786</v>
      </c>
    </row>
    <row r="29" customFormat="false" ht="15" hidden="false" customHeight="false" outlineLevel="0" collapsed="false">
      <c r="A29" s="12" t="s">
        <v>36</v>
      </c>
      <c r="B29" s="6" t="n">
        <f aca="false">G18</f>
        <v>317068468.182179</v>
      </c>
    </row>
    <row r="30" customFormat="false" ht="15" hidden="false" customHeight="false" outlineLevel="0" collapsed="false">
      <c r="A30" s="10" t="s">
        <v>37</v>
      </c>
      <c r="B30" s="9" t="n">
        <f aca="false">B29-B24</f>
        <v>22282166.8123164</v>
      </c>
    </row>
    <row r="31" customFormat="false" ht="15" hidden="false" customHeight="false" outlineLevel="0" collapsed="false">
      <c r="A31" s="10" t="s">
        <v>35</v>
      </c>
      <c r="B31" s="11" t="n">
        <f aca="false">B30/B4</f>
        <v>5.30527781245628</v>
      </c>
    </row>
    <row r="32" customFormat="false" ht="15" hidden="false" customHeight="false" outlineLevel="0" collapsed="false">
      <c r="A32" s="10" t="s">
        <v>38</v>
      </c>
      <c r="B32" s="11" t="n">
        <f aca="false">B29/B4</f>
        <v>75.4924924243284</v>
      </c>
    </row>
    <row r="33" customFormat="false" ht="15" hidden="false" customHeight="false" outlineLevel="0" collapsed="false">
      <c r="A33" s="12" t="s">
        <v>39</v>
      </c>
      <c r="B33" s="13" t="n">
        <f aca="false">B32-Curve!B16</f>
        <v>5.30527781245627</v>
      </c>
    </row>
    <row r="34" customFormat="false" ht="15" hidden="false" customHeight="false" outlineLevel="0" collapsed="false">
      <c r="A34" s="10" t="s">
        <v>40</v>
      </c>
      <c r="B34" s="9" t="n">
        <f aca="false">B23-B29-B25</f>
        <v>3601531.81782067</v>
      </c>
    </row>
    <row r="35" customFormat="false" ht="15" hidden="false" customHeight="false" outlineLevel="0" collapsed="false">
      <c r="A35" s="12" t="s">
        <v>35</v>
      </c>
      <c r="B35" s="13" t="n">
        <f aca="false">B34/B4</f>
        <v>0.857507575671588</v>
      </c>
    </row>
    <row r="36" customFormat="false" ht="15" hidden="false" customHeight="false" outlineLevel="0" collapsed="false">
      <c r="A36" s="10" t="s">
        <v>41</v>
      </c>
      <c r="B36" s="18" t="n">
        <f aca="false">B30/B26</f>
        <v>0.86085714142772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20"/>
  </cols>
  <sheetData>
    <row r="1" customFormat="false" ht="16.15" hidden="false" customHeight="false" outlineLevel="0" collapsed="false">
      <c r="A1" s="1" t="s">
        <v>42</v>
      </c>
    </row>
    <row r="2" customFormat="false" ht="15" hidden="false" customHeight="false" outlineLevel="0" collapsed="false">
      <c r="A2" s="19" t="s">
        <v>43</v>
      </c>
    </row>
    <row r="4" customFormat="false" ht="15" hidden="false" customHeight="false" outlineLevel="0" collapsed="false">
      <c r="A4" s="12" t="s">
        <v>44</v>
      </c>
      <c r="B4" s="20" t="n">
        <v>0.5</v>
      </c>
      <c r="C4" s="19" t="s">
        <v>45</v>
      </c>
    </row>
    <row r="6" customFormat="false" ht="15" hidden="false" customHeight="false" outlineLevel="0" collapsed="false">
      <c r="A6" s="21" t="s">
        <v>2</v>
      </c>
      <c r="B6" s="21" t="s">
        <v>19</v>
      </c>
      <c r="C6" s="21" t="s">
        <v>46</v>
      </c>
      <c r="D6" s="21" t="s">
        <v>22</v>
      </c>
      <c r="E6" s="21" t="s">
        <v>23</v>
      </c>
      <c r="F6" s="21" t="s">
        <v>24</v>
      </c>
    </row>
    <row r="7" customFormat="false" ht="15" hidden="false" customHeight="false" outlineLevel="0" collapsed="false">
      <c r="A7" s="7" t="n">
        <f aca="false">Shape!A10</f>
        <v>100</v>
      </c>
      <c r="B7" s="6" t="n">
        <f aca="false">Shape!B10</f>
        <v>260</v>
      </c>
      <c r="C7" s="13" t="n">
        <f aca="false">1+$B$4*(Shape!C10-1)</f>
        <v>1.31</v>
      </c>
      <c r="D7" s="6" t="n">
        <f aca="false">C7/$B$16*Shape!$B$7</f>
        <v>626.255612909835</v>
      </c>
      <c r="E7" s="6" t="n">
        <f aca="false">A7*D7</f>
        <v>62625.5612909835</v>
      </c>
      <c r="F7" s="6" t="n">
        <f aca="false">E7*B7</f>
        <v>16282645.9356557</v>
      </c>
    </row>
    <row r="8" customFormat="false" ht="15" hidden="false" customHeight="false" outlineLevel="0" collapsed="false">
      <c r="A8" s="7" t="n">
        <f aca="false">Shape!A11</f>
        <v>250</v>
      </c>
      <c r="B8" s="6" t="n">
        <f aca="false">Shape!B11</f>
        <v>155</v>
      </c>
      <c r="C8" s="13" t="n">
        <f aca="false">1+$B$4*(Shape!C11-1)</f>
        <v>1.24</v>
      </c>
      <c r="D8" s="6" t="n">
        <f aca="false">C8/$B$16*Shape!$B$7</f>
        <v>592.79157252534</v>
      </c>
      <c r="E8" s="6" t="n">
        <f aca="false">A8*D8</f>
        <v>148197.893131335</v>
      </c>
      <c r="F8" s="6" t="n">
        <f aca="false">E8*B8</f>
        <v>22970673.4353569</v>
      </c>
    </row>
    <row r="9" customFormat="false" ht="15" hidden="false" customHeight="false" outlineLevel="0" collapsed="false">
      <c r="A9" s="7" t="n">
        <f aca="false">Shape!A12</f>
        <v>550</v>
      </c>
      <c r="B9" s="6" t="n">
        <f aca="false">Shape!B12</f>
        <v>105</v>
      </c>
      <c r="C9" s="13" t="n">
        <f aca="false">1+$B$4*(Shape!C12-1)</f>
        <v>1.165</v>
      </c>
      <c r="D9" s="6" t="n">
        <f aca="false">C9/$B$16*Shape!$B$7</f>
        <v>556.937243541952</v>
      </c>
      <c r="E9" s="6" t="n">
        <f aca="false">A9*D9</f>
        <v>306315.483948074</v>
      </c>
      <c r="F9" s="6" t="n">
        <f aca="false">E9*B9</f>
        <v>32163125.8145478</v>
      </c>
    </row>
    <row r="10" customFormat="false" ht="15" hidden="false" customHeight="false" outlineLevel="0" collapsed="false">
      <c r="A10" s="7" t="n">
        <f aca="false">Shape!A13</f>
        <v>1100</v>
      </c>
      <c r="B10" s="6" t="n">
        <f aca="false">Shape!B13</f>
        <v>85</v>
      </c>
      <c r="C10" s="13" t="n">
        <f aca="false">1+$B$4*(Shape!C13-1)</f>
        <v>1.1</v>
      </c>
      <c r="D10" s="6" t="n">
        <f aca="false">C10/$B$16*Shape!$B$7</f>
        <v>525.86349175635</v>
      </c>
      <c r="E10" s="6" t="n">
        <f aca="false">A10*D10</f>
        <v>578449.840931985</v>
      </c>
      <c r="F10" s="6" t="n">
        <f aca="false">E10*B10</f>
        <v>49168236.4792187</v>
      </c>
    </row>
    <row r="11" customFormat="false" ht="15" hidden="false" customHeight="false" outlineLevel="0" collapsed="false">
      <c r="A11" s="7" t="n">
        <f aca="false">Shape!A14</f>
        <v>1900</v>
      </c>
      <c r="B11" s="6" t="n">
        <f aca="false">Shape!B14</f>
        <v>72</v>
      </c>
      <c r="C11" s="13" t="n">
        <f aca="false">1+$B$4*(Shape!C14-1)</f>
        <v>1.03</v>
      </c>
      <c r="D11" s="6" t="n">
        <f aca="false">C11/$B$16*Shape!$B$7</f>
        <v>492.399451371855</v>
      </c>
      <c r="E11" s="6" t="n">
        <f aca="false">A11*D11</f>
        <v>935558.957606524</v>
      </c>
      <c r="F11" s="6" t="n">
        <f aca="false">E11*B11</f>
        <v>67360244.9476698</v>
      </c>
    </row>
    <row r="12" customFormat="false" ht="15" hidden="false" customHeight="false" outlineLevel="0" collapsed="false">
      <c r="A12" s="7" t="n">
        <f aca="false">Shape!A15</f>
        <v>2400</v>
      </c>
      <c r="B12" s="6" t="n">
        <f aca="false">Shape!B15</f>
        <v>63</v>
      </c>
      <c r="C12" s="13" t="n">
        <f aca="false">1+$B$4*(Shape!C15-1)</f>
        <v>0.975</v>
      </c>
      <c r="D12" s="6" t="n">
        <f aca="false">C12/$B$16*Shape!$B$7</f>
        <v>466.106276784037</v>
      </c>
      <c r="E12" s="6" t="n">
        <f aca="false">A12*D12</f>
        <v>1118655.06428169</v>
      </c>
      <c r="F12" s="6" t="n">
        <f aca="false">E12*B12</f>
        <v>70475269.0497465</v>
      </c>
    </row>
    <row r="13" customFormat="false" ht="15" hidden="false" customHeight="false" outlineLevel="0" collapsed="false">
      <c r="A13" s="7" t="n">
        <f aca="false">Shape!A16</f>
        <v>1700</v>
      </c>
      <c r="B13" s="6" t="n">
        <f aca="false">Shape!B16</f>
        <v>50</v>
      </c>
      <c r="C13" s="13" t="n">
        <f aca="false">1+$B$4*(Shape!C16-1)</f>
        <v>0.91</v>
      </c>
      <c r="D13" s="6" t="n">
        <f aca="false">C13/$B$16*Shape!$B$7</f>
        <v>435.032524998435</v>
      </c>
      <c r="E13" s="6" t="n">
        <f aca="false">A13*D13</f>
        <v>739555.292497339</v>
      </c>
      <c r="F13" s="6" t="n">
        <f aca="false">E13*B13</f>
        <v>36977764.624867</v>
      </c>
    </row>
    <row r="14" customFormat="false" ht="15" hidden="false" customHeight="false" outlineLevel="0" collapsed="false">
      <c r="A14" s="7" t="n">
        <f aca="false">Shape!A17</f>
        <v>760</v>
      </c>
      <c r="B14" s="6" t="n">
        <f aca="false">Shape!B17</f>
        <v>34</v>
      </c>
      <c r="C14" s="13" t="n">
        <f aca="false">1+$B$4*(Shape!C17-1)</f>
        <v>0.855</v>
      </c>
      <c r="D14" s="6" t="n">
        <f aca="false">C14/$B$16*Shape!$B$7</f>
        <v>408.739350410617</v>
      </c>
      <c r="E14" s="6" t="n">
        <f aca="false">A14*D14</f>
        <v>310641.906312069</v>
      </c>
      <c r="F14" s="6" t="n">
        <f aca="false">E14*B14</f>
        <v>10561824.8146104</v>
      </c>
    </row>
    <row r="15" customFormat="false" ht="15" hidden="false" customHeight="false" outlineLevel="0" collapsed="false">
      <c r="A15" s="10" t="s">
        <v>28</v>
      </c>
      <c r="E15" s="9" t="n">
        <f aca="false">SUM(E7:E14)</f>
        <v>4200000</v>
      </c>
      <c r="F15" s="9" t="n">
        <f aca="false">SUM(F7:F14)</f>
        <v>305959785.101673</v>
      </c>
    </row>
    <row r="16" customFormat="false" ht="15" hidden="false" customHeight="false" outlineLevel="0" collapsed="false">
      <c r="A16" s="12" t="s">
        <v>47</v>
      </c>
      <c r="B16" s="16" t="n">
        <f aca="false">SUMPRODUCT(A7:A14,C7:C14)/Curve!A13</f>
        <v>1.00291666666667</v>
      </c>
    </row>
    <row r="17" customFormat="false" ht="15" hidden="false" customHeight="false" outlineLevel="0" collapsed="false">
      <c r="A17" s="10" t="s">
        <v>48</v>
      </c>
      <c r="B17" s="9" t="n">
        <f aca="false">F15-Shape!B24</f>
        <v>11173483.7318097</v>
      </c>
    </row>
    <row r="18" customFormat="false" ht="15" hidden="false" customHeight="false" outlineLevel="0" collapsed="false">
      <c r="A18" s="12" t="s">
        <v>49</v>
      </c>
      <c r="B18" s="22" t="n">
        <f aca="false">B17/Shape!B26</f>
        <v>0.431680336395206</v>
      </c>
    </row>
    <row r="19" customFormat="false" ht="15" hidden="false" customHeight="false" outlineLevel="0" collapsed="false">
      <c r="A19" s="12" t="s">
        <v>35</v>
      </c>
      <c r="B19" s="13" t="n">
        <f aca="false">B17/Shape!B4</f>
        <v>2.66035326947849</v>
      </c>
    </row>
    <row r="20" customFormat="false" ht="15" hidden="false" customHeight="false" outlineLevel="0" collapsed="false">
      <c r="A20" s="12" t="s">
        <v>50</v>
      </c>
      <c r="B20" s="23" t="n">
        <f aca="false">B4*Shape!B20/(1+B4*(Shape!B20-1))</f>
        <v>0.501454092230993</v>
      </c>
    </row>
    <row r="21" customFormat="false" ht="15" hidden="false" customHeight="false" outlineLevel="0" collapsed="false">
      <c r="A21" s="12" t="s">
        <v>51</v>
      </c>
      <c r="B21" s="24" t="n">
        <f aca="false">Group!B30/B17</f>
        <v>1.75410288057274</v>
      </c>
    </row>
    <row r="22" customFormat="false" ht="15" hidden="false" customHeight="false" outlineLevel="0" collapsed="false">
      <c r="A22" s="10" t="s">
        <v>52</v>
      </c>
    </row>
    <row r="23" customFormat="false" ht="15" hidden="false" customHeight="false" outlineLevel="0" collapsed="false">
      <c r="A23" s="12" t="s">
        <v>53</v>
      </c>
      <c r="B23" s="13" t="n">
        <f aca="false">Shape!B26/Shape!B30</f>
        <v>1.16163292592487</v>
      </c>
    </row>
    <row r="24" customFormat="false" ht="15" hidden="false" customHeight="false" outlineLevel="0" collapsed="false">
      <c r="A24" s="10" t="s">
        <v>54</v>
      </c>
      <c r="B24" s="11" t="n">
        <f aca="false">B23/(Shape!B20-B23*(Shape!B20-1))</f>
        <v>1.16272921532146</v>
      </c>
    </row>
    <row r="25" customFormat="false" ht="15" hidden="false" customHeight="false" outlineLevel="0" collapsed="false">
      <c r="A25" s="12" t="s">
        <v>55</v>
      </c>
      <c r="B25" s="6" t="n">
        <f aca="false">Shape!B30*B24*Shape!B20/(1+B24*(Shape!B20-1))</f>
        <v>25883698.630137</v>
      </c>
    </row>
    <row r="26" customFormat="false" ht="15" hidden="false" customHeight="false" outlineLevel="0" collapsed="false">
      <c r="A26" s="12" t="s">
        <v>56</v>
      </c>
      <c r="B26" s="13" t="n">
        <f aca="false">((Shape!B26+Shape!B25)/Shape!B30)/(Shape!B20-((Shape!B26+Shape!B25)/Shape!B30)*(Shape!B20-1))</f>
        <v>1.5720884143215</v>
      </c>
    </row>
    <row r="28" customFormat="false" ht="15" hidden="false" customHeight="false" outlineLevel="0" collapsed="false">
      <c r="A28" s="19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6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7" min="6" style="0" width="18"/>
    <col collapsed="false" customWidth="true" hidden="false" outlineLevel="0" max="8" min="8" style="0" width="22"/>
  </cols>
  <sheetData>
    <row r="1" customFormat="false" ht="16.15" hidden="false" customHeight="false" outlineLevel="0" collapsed="false">
      <c r="A1" s="1" t="s">
        <v>58</v>
      </c>
    </row>
    <row r="2" customFormat="false" ht="15" hidden="false" customHeight="false" outlineLevel="0" collapsed="false">
      <c r="A2" s="19" t="s">
        <v>59</v>
      </c>
    </row>
    <row r="4" customFormat="false" ht="15" hidden="false" customHeight="false" outlineLevel="0" collapsed="false">
      <c r="A4" s="12" t="s">
        <v>60</v>
      </c>
      <c r="B4" s="4" t="n">
        <v>620</v>
      </c>
    </row>
    <row r="5" customFormat="false" ht="15" hidden="false" customHeight="false" outlineLevel="0" collapsed="false">
      <c r="A5" s="12" t="s">
        <v>61</v>
      </c>
      <c r="B5" s="25" t="n">
        <v>7.2</v>
      </c>
    </row>
    <row r="6" customFormat="false" ht="15" hidden="false" customHeight="false" outlineLevel="0" collapsed="false">
      <c r="A6" s="12" t="s">
        <v>62</v>
      </c>
      <c r="B6" s="25" t="n">
        <v>8.6</v>
      </c>
    </row>
    <row r="7" customFormat="false" ht="15" hidden="false" customHeight="false" outlineLevel="0" collapsed="false">
      <c r="A7" s="12" t="s">
        <v>63</v>
      </c>
      <c r="B7" s="20" t="n">
        <v>3.4</v>
      </c>
    </row>
    <row r="8" customFormat="false" ht="15" hidden="false" customHeight="false" outlineLevel="0" collapsed="false">
      <c r="A8" s="10" t="s">
        <v>64</v>
      </c>
      <c r="B8" s="9" t="n">
        <f aca="false">B5*B6+B7</f>
        <v>65.32</v>
      </c>
    </row>
    <row r="10" customFormat="false" ht="23.85" hidden="false" customHeight="false" outlineLevel="0" collapsed="false">
      <c r="A10" s="21" t="s">
        <v>2</v>
      </c>
      <c r="B10" s="21" t="s">
        <v>19</v>
      </c>
      <c r="C10" s="21" t="s">
        <v>5</v>
      </c>
      <c r="D10" s="21" t="s">
        <v>65</v>
      </c>
      <c r="E10" s="21" t="s">
        <v>66</v>
      </c>
      <c r="F10" s="21" t="s">
        <v>67</v>
      </c>
      <c r="G10" s="21" t="s">
        <v>68</v>
      </c>
      <c r="H10" s="21" t="s">
        <v>69</v>
      </c>
    </row>
    <row r="11" customFormat="false" ht="15" hidden="false" customHeight="false" outlineLevel="0" collapsed="false">
      <c r="A11" s="7" t="n">
        <f aca="false">Curve!A5</f>
        <v>100</v>
      </c>
      <c r="B11" s="6" t="n">
        <f aca="false">Curve!B5</f>
        <v>260</v>
      </c>
      <c r="C11" s="7" t="n">
        <f aca="false">Curve!D5</f>
        <v>100</v>
      </c>
      <c r="D11" s="12" t="str">
        <f aca="false">IF(B11&gt;$B$8,"yes","no")</f>
        <v>yes</v>
      </c>
      <c r="E11" s="6" t="n">
        <f aca="false">IF(D11="yes",C11*(B11-$B$8),0)</f>
        <v>19468</v>
      </c>
      <c r="F11" s="6" t="n">
        <f aca="false">IF(D11="yes",C11*$B$4,0)</f>
        <v>62000</v>
      </c>
      <c r="G11" s="6" t="n">
        <f aca="false">Shape!F10</f>
        <v>77220.7783364166</v>
      </c>
      <c r="H11" s="6" t="n">
        <f aca="false">IF(D11="yes",F11-G11,"")</f>
        <v>-15220.7783364166</v>
      </c>
    </row>
    <row r="12" customFormat="false" ht="15" hidden="false" customHeight="false" outlineLevel="0" collapsed="false">
      <c r="A12" s="7" t="n">
        <f aca="false">Curve!A6</f>
        <v>250</v>
      </c>
      <c r="B12" s="6" t="n">
        <f aca="false">Curve!B6</f>
        <v>155</v>
      </c>
      <c r="C12" s="7" t="n">
        <f aca="false">Curve!D6</f>
        <v>250</v>
      </c>
      <c r="D12" s="12" t="str">
        <f aca="false">IF(B12&gt;$B$8,"yes","no")</f>
        <v>yes</v>
      </c>
      <c r="E12" s="6" t="n">
        <f aca="false">IF(D12="yes",C12*(B12-$B$8),0)</f>
        <v>22420</v>
      </c>
      <c r="F12" s="6" t="n">
        <f aca="false">IF(D12="yes",C12*$B$4,0)</f>
        <v>155000</v>
      </c>
      <c r="G12" s="6" t="n">
        <f aca="false">Shape!F11</f>
        <v>176368.444348606</v>
      </c>
      <c r="H12" s="6" t="n">
        <f aca="false">IF(D12="yes",F12-G12,"")</f>
        <v>-21368.4443486058</v>
      </c>
    </row>
    <row r="13" customFormat="false" ht="15" hidden="false" customHeight="false" outlineLevel="0" collapsed="false">
      <c r="A13" s="7" t="n">
        <f aca="false">Curve!A7</f>
        <v>550</v>
      </c>
      <c r="B13" s="6" t="n">
        <f aca="false">Curve!B7</f>
        <v>105</v>
      </c>
      <c r="C13" s="7" t="n">
        <f aca="false">Curve!D7</f>
        <v>550</v>
      </c>
      <c r="D13" s="12" t="str">
        <f aca="false">IF(B13&gt;$B$8,"yes","no")</f>
        <v>yes</v>
      </c>
      <c r="E13" s="6" t="n">
        <f aca="false">IF(D13="yes",C13*(B13-$B$8),0)</f>
        <v>21824</v>
      </c>
      <c r="F13" s="6" t="n">
        <f aca="false">IF(D13="yes",C13*$B$4,0)</f>
        <v>341000</v>
      </c>
      <c r="G13" s="6" t="n">
        <f aca="false">Shape!F12</f>
        <v>348685.181191906</v>
      </c>
      <c r="H13" s="6" t="n">
        <f aca="false">IF(D13="yes",F13-G13,"")</f>
        <v>-7685.18119190569</v>
      </c>
    </row>
    <row r="14" customFormat="false" ht="15" hidden="false" customHeight="false" outlineLevel="0" collapsed="false">
      <c r="A14" s="7" t="n">
        <f aca="false">Curve!A8</f>
        <v>1100</v>
      </c>
      <c r="B14" s="6" t="n">
        <f aca="false">Curve!B8</f>
        <v>85</v>
      </c>
      <c r="C14" s="7" t="n">
        <f aca="false">Curve!D8</f>
        <v>1100</v>
      </c>
      <c r="D14" s="12" t="str">
        <f aca="false">IF(B14&gt;$B$8,"yes","no")</f>
        <v>yes</v>
      </c>
      <c r="E14" s="6" t="n">
        <f aca="false">IF(D14="yes",C14*(B14-$B$8),0)</f>
        <v>21648</v>
      </c>
      <c r="F14" s="6" t="n">
        <f aca="false">IF(D14="yes",C14*$B$4,0)</f>
        <v>682000</v>
      </c>
      <c r="G14" s="6" t="n">
        <f aca="false">Shape!F13</f>
        <v>629206.342000431</v>
      </c>
      <c r="H14" s="6" t="n">
        <f aca="false">IF(D14="yes",F14-G14,"")</f>
        <v>52793.6579995689</v>
      </c>
    </row>
    <row r="15" customFormat="false" ht="15" hidden="false" customHeight="false" outlineLevel="0" collapsed="false">
      <c r="A15" s="7" t="n">
        <f aca="false">Curve!A9</f>
        <v>1900</v>
      </c>
      <c r="B15" s="6" t="n">
        <f aca="false">Curve!B9</f>
        <v>72</v>
      </c>
      <c r="C15" s="7" t="n">
        <f aca="false">Curve!D9</f>
        <v>1900</v>
      </c>
      <c r="D15" s="12" t="str">
        <f aca="false">IF(B15&gt;$B$8,"yes","no")</f>
        <v>yes</v>
      </c>
      <c r="E15" s="6" t="n">
        <f aca="false">IF(D15="yes",C15*(B15-$B$8),0)</f>
        <v>12692</v>
      </c>
      <c r="F15" s="6" t="n">
        <f aca="false">IF(D15="yes",C15*$B$4,0)</f>
        <v>1178000</v>
      </c>
      <c r="G15" s="6" t="n">
        <f aca="false">Shape!F14</f>
        <v>960016.34302187</v>
      </c>
      <c r="H15" s="6" t="n">
        <f aca="false">IF(D15="yes",F15-G15,"")</f>
        <v>217983.65697813</v>
      </c>
    </row>
    <row r="16" customFormat="false" ht="15" hidden="false" customHeight="false" outlineLevel="0" collapsed="false">
      <c r="A16" s="7" t="n">
        <f aca="false">Curve!A10</f>
        <v>2400</v>
      </c>
      <c r="B16" s="6" t="n">
        <f aca="false">Curve!B10</f>
        <v>63</v>
      </c>
      <c r="C16" s="7" t="n">
        <f aca="false">Curve!D10</f>
        <v>2400</v>
      </c>
      <c r="D16" s="12" t="str">
        <f aca="false">IF(B16&gt;$B$8,"yes","no")</f>
        <v>no</v>
      </c>
      <c r="E16" s="6" t="n">
        <f aca="false">IF(D16="yes",C16*(B16-$B$8),0)</f>
        <v>0</v>
      </c>
      <c r="F16" s="6" t="n">
        <f aca="false">IF(D16="yes",C16*$B$4,0)</f>
        <v>0</v>
      </c>
      <c r="G16" s="6" t="n">
        <f aca="false">Shape!F15</f>
        <v>1086810.95436438</v>
      </c>
      <c r="H16" s="6" t="str">
        <f aca="false">IF(D16="yes",F16-G16,"")</f>
        <v/>
      </c>
    </row>
    <row r="17" customFormat="false" ht="15" hidden="false" customHeight="false" outlineLevel="0" collapsed="false">
      <c r="A17" s="7" t="n">
        <f aca="false">Curve!A11</f>
        <v>1700</v>
      </c>
      <c r="B17" s="6" t="n">
        <f aca="false">Curve!B11</f>
        <v>50</v>
      </c>
      <c r="C17" s="7" t="n">
        <f aca="false">Curve!D11</f>
        <v>1700</v>
      </c>
      <c r="D17" s="12" t="str">
        <f aca="false">IF(B17&gt;$B$8,"yes","no")</f>
        <v>no</v>
      </c>
      <c r="E17" s="6" t="n">
        <f aca="false">IF(D17="yes",C17*(B17-$B$8),0)</f>
        <v>0</v>
      </c>
      <c r="F17" s="6" t="n">
        <f aca="false">IF(D17="yes",C17*$B$4,0)</f>
        <v>0</v>
      </c>
      <c r="G17" s="6" t="n">
        <f aca="false">Shape!F16</f>
        <v>664480.030870152</v>
      </c>
      <c r="H17" s="6" t="str">
        <f aca="false">IF(D17="yes",F17-G17,"")</f>
        <v/>
      </c>
    </row>
    <row r="18" customFormat="false" ht="15" hidden="false" customHeight="false" outlineLevel="0" collapsed="false">
      <c r="A18" s="7" t="n">
        <f aca="false">Curve!A12</f>
        <v>760</v>
      </c>
      <c r="B18" s="6" t="n">
        <f aca="false">Curve!B12</f>
        <v>34</v>
      </c>
      <c r="C18" s="7" t="n">
        <f aca="false">Curve!D12</f>
        <v>0</v>
      </c>
      <c r="D18" s="12" t="str">
        <f aca="false">IF(B18&gt;$B$8,"yes","no")</f>
        <v>no</v>
      </c>
      <c r="E18" s="6" t="n">
        <f aca="false">IF(D18="yes",C18*(B18-$B$8),0)</f>
        <v>0</v>
      </c>
      <c r="F18" s="6" t="n">
        <f aca="false">IF(D18="yes",C18*$B$4,0)</f>
        <v>0</v>
      </c>
      <c r="G18" s="6" t="n">
        <f aca="false">Shape!F17</f>
        <v>257211.925866237</v>
      </c>
      <c r="H18" s="6" t="str">
        <f aca="false">IF(D18="yes",F18-G18,"")</f>
        <v/>
      </c>
    </row>
    <row r="19" customFormat="false" ht="15" hidden="false" customHeight="false" outlineLevel="0" collapsed="false">
      <c r="A19" s="10" t="s">
        <v>28</v>
      </c>
      <c r="C19" s="8" t="n">
        <f aca="false">SUM(C11:C18)</f>
        <v>8000</v>
      </c>
      <c r="E19" s="9" t="n">
        <f aca="false">SUM(E11:E18)</f>
        <v>98052</v>
      </c>
      <c r="F19" s="9" t="n">
        <f aca="false">SUM(F11:F18)</f>
        <v>2418000</v>
      </c>
      <c r="G19" s="9" t="n">
        <f aca="false">SUM(G11:G18)</f>
        <v>4200000</v>
      </c>
    </row>
    <row r="21" customFormat="false" ht="15" hidden="false" customHeight="false" outlineLevel="0" collapsed="false">
      <c r="A21" s="12" t="s">
        <v>70</v>
      </c>
      <c r="B21" s="6" t="n">
        <f aca="false">E19*B4</f>
        <v>60792240</v>
      </c>
    </row>
    <row r="22" customFormat="false" ht="15" hidden="false" customHeight="false" outlineLevel="0" collapsed="false">
      <c r="A22" s="12" t="s">
        <v>71</v>
      </c>
      <c r="B22" s="7" t="n">
        <f aca="false">C19*B4</f>
        <v>4960000</v>
      </c>
    </row>
    <row r="23" customFormat="false" ht="15" hidden="false" customHeight="false" outlineLevel="0" collapsed="false">
      <c r="A23" s="12" t="s">
        <v>72</v>
      </c>
      <c r="B23" s="6" t="n">
        <f aca="false">B22*(Curve!B21-B8)</f>
        <v>41192800</v>
      </c>
    </row>
    <row r="24" customFormat="false" ht="15" hidden="false" customHeight="false" outlineLevel="0" collapsed="false">
      <c r="A24" s="12" t="s">
        <v>73</v>
      </c>
      <c r="B24" s="6" t="n">
        <f aca="false">B22*(Curve!B16-B8)</f>
        <v>24141384.4748858</v>
      </c>
    </row>
    <row r="26" customFormat="false" ht="23.85" hidden="false" customHeight="false" outlineLevel="0" collapsed="false">
      <c r="A26" s="21"/>
      <c r="B26" s="21" t="s">
        <v>74</v>
      </c>
      <c r="C26" s="21" t="s">
        <v>75</v>
      </c>
      <c r="D26" s="21" t="s">
        <v>76</v>
      </c>
    </row>
    <row r="27" customFormat="false" ht="15" hidden="false" customHeight="false" outlineLevel="0" collapsed="false">
      <c r="A27" s="12" t="s">
        <v>77</v>
      </c>
      <c r="B27" s="6" t="n">
        <f aca="false">B23</f>
        <v>41192800</v>
      </c>
      <c r="C27" s="6" t="n">
        <f aca="false">B21</f>
        <v>60792240</v>
      </c>
      <c r="D27" s="6" t="n">
        <f aca="false">C27-B27</f>
        <v>19599440</v>
      </c>
    </row>
    <row r="28" customFormat="false" ht="15" hidden="false" customHeight="false" outlineLevel="0" collapsed="false">
      <c r="A28" s="12" t="s">
        <v>78</v>
      </c>
      <c r="B28" s="6" t="n">
        <f aca="false">Shape!B26</f>
        <v>25883698.630137</v>
      </c>
      <c r="C28" s="6" t="n">
        <f aca="false">Shape!B34</f>
        <v>3601531.81782067</v>
      </c>
      <c r="D28" s="6" t="n">
        <f aca="false">C28-B28</f>
        <v>-22282166.8123164</v>
      </c>
    </row>
    <row r="29" customFormat="false" ht="15" hidden="false" customHeight="false" outlineLevel="0" collapsed="false">
      <c r="A29" s="10" t="s">
        <v>28</v>
      </c>
      <c r="B29" s="9" t="n">
        <f aca="false">B27+B28</f>
        <v>67076498.630137</v>
      </c>
      <c r="C29" s="9" t="n">
        <f aca="false">C27+C28</f>
        <v>64393771.8178207</v>
      </c>
      <c r="D29" s="9" t="n">
        <f aca="false">C29-B29</f>
        <v>-2682726.81231634</v>
      </c>
    </row>
    <row r="30" customFormat="false" ht="15" hidden="false" customHeight="false" outlineLevel="0" collapsed="false">
      <c r="A30" s="12" t="s">
        <v>79</v>
      </c>
      <c r="B30" s="6" t="n">
        <f aca="false">D27</f>
        <v>19599440</v>
      </c>
    </row>
    <row r="31" customFormat="false" ht="15" hidden="false" customHeight="false" outlineLevel="0" collapsed="false">
      <c r="A31" s="10" t="s">
        <v>80</v>
      </c>
      <c r="B31" s="18" t="n">
        <f aca="false">-D27/D28</f>
        <v>0.879602067657376</v>
      </c>
    </row>
    <row r="32" customFormat="false" ht="15" hidden="false" customHeight="false" outlineLevel="0" collapsed="false">
      <c r="A32" s="10" t="s">
        <v>81</v>
      </c>
      <c r="B32" s="9" t="n">
        <f aca="false">B29-C29</f>
        <v>2682726.81231634</v>
      </c>
    </row>
    <row r="33" customFormat="false" ht="15" hidden="false" customHeight="false" outlineLevel="0" collapsed="false">
      <c r="A33" s="12" t="s">
        <v>82</v>
      </c>
      <c r="B33" s="22" t="n">
        <f aca="false">B32/B29</f>
        <v>0.0399950335378866</v>
      </c>
    </row>
    <row r="34" customFormat="false" ht="15" hidden="false" customHeight="false" outlineLevel="0" collapsed="false">
      <c r="A34" s="12" t="s">
        <v>83</v>
      </c>
      <c r="B34" s="24" t="n">
        <f aca="false">MIN(ABS(D27),ABS(D28))/ABS(D29)</f>
        <v>7.30579047781513</v>
      </c>
    </row>
    <row r="35" customFormat="false" ht="15" hidden="false" customHeight="false" outlineLevel="0" collapsed="false">
      <c r="A35" s="12" t="s">
        <v>84</v>
      </c>
      <c r="B35" s="6" t="n">
        <f aca="false">B24+B28</f>
        <v>50025083.1050229</v>
      </c>
    </row>
    <row r="36" customFormat="false" ht="15" hidden="false" customHeight="false" outlineLevel="0" collapsed="false">
      <c r="A36" s="10" t="s">
        <v>85</v>
      </c>
    </row>
    <row r="37" customFormat="false" ht="15" hidden="false" customHeight="false" outlineLevel="0" collapsed="false">
      <c r="A37" s="12" t="s">
        <v>86</v>
      </c>
      <c r="B37" s="6" t="n">
        <f aca="false">SUMIF(D11:D18,"yes",G11:G18)</f>
        <v>2191497.08889923</v>
      </c>
    </row>
    <row r="38" customFormat="false" ht="15" hidden="false" customHeight="false" outlineLevel="0" collapsed="false">
      <c r="A38" s="12" t="s">
        <v>87</v>
      </c>
      <c r="B38" s="6" t="n">
        <f aca="false">F19-B37</f>
        <v>226502.911100771</v>
      </c>
    </row>
    <row r="39" customFormat="false" ht="15" hidden="false" customHeight="false" outlineLevel="0" collapsed="false">
      <c r="A39" s="12" t="s">
        <v>88</v>
      </c>
      <c r="B39" s="6" t="n">
        <f aca="false">-SUMIF(H11:H18,"&lt;0")</f>
        <v>44274.403876928</v>
      </c>
    </row>
    <row r="40" customFormat="false" ht="15" hidden="false" customHeight="false" outlineLevel="0" collapsed="false">
      <c r="A40" s="12" t="s">
        <v>89</v>
      </c>
      <c r="B40" s="6" t="n">
        <f aca="false">SUMIF(H11:H18,"&gt;0")</f>
        <v>270777.314977699</v>
      </c>
    </row>
    <row r="41" customFormat="false" ht="15" hidden="false" customHeight="false" outlineLevel="0" collapsed="false">
      <c r="A41" s="12" t="s">
        <v>90</v>
      </c>
      <c r="B41" s="6" t="n">
        <f aca="false">Shape!B4-B37</f>
        <v>2008502.91110077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3" min="2" style="0" width="20"/>
    <col collapsed="false" customWidth="true" hidden="false" outlineLevel="0" max="4" min="4" style="0" width="9"/>
    <col collapsed="false" customWidth="true" hidden="false" outlineLevel="0" max="5" min="5" style="0" width="48"/>
    <col collapsed="false" customWidth="true" hidden="false" outlineLevel="0" max="6" min="6" style="0" width="2"/>
  </cols>
  <sheetData>
    <row r="1" customFormat="false" ht="16.15" hidden="false" customHeight="false" outlineLevel="0" collapsed="false">
      <c r="A1" s="1" t="s">
        <v>91</v>
      </c>
    </row>
    <row r="2" customFormat="false" ht="15" hidden="false" customHeight="false" outlineLevel="0" collapsed="false">
      <c r="A2" s="19" t="s">
        <v>92</v>
      </c>
    </row>
    <row r="4" customFormat="false" ht="15" hidden="false" customHeight="false" outlineLevel="0" collapsed="false">
      <c r="A4" s="21" t="s">
        <v>93</v>
      </c>
      <c r="B4" s="21" t="s">
        <v>94</v>
      </c>
      <c r="C4" s="21" t="s">
        <v>95</v>
      </c>
      <c r="D4" s="21" t="s">
        <v>96</v>
      </c>
      <c r="E4" s="21" t="s">
        <v>97</v>
      </c>
    </row>
    <row r="5" customFormat="false" ht="15" hidden="false" customHeight="false" outlineLevel="0" collapsed="false">
      <c r="A5" s="12" t="s">
        <v>98</v>
      </c>
      <c r="B5" s="23" t="n">
        <v>0.9942</v>
      </c>
      <c r="C5" s="23" t="n">
        <f aca="false">Shape!B21</f>
        <v>0.994200497100249</v>
      </c>
      <c r="D5" s="10" t="str">
        <f aca="false">IF(ISNUMBER(C5)=FALSE(),"CHECK",IF(ABS(C5-B5)&lt;=0.0000005,"OK","CHECK"))</f>
        <v>OK</v>
      </c>
      <c r="E5" s="19" t="s">
        <v>99</v>
      </c>
    </row>
    <row r="6" customFormat="false" ht="15" hidden="false" customHeight="false" outlineLevel="0" collapsed="false">
      <c r="A6" s="12" t="s">
        <v>29</v>
      </c>
      <c r="B6" s="16" t="n">
        <v>1.0058333</v>
      </c>
      <c r="C6" s="16" t="n">
        <f aca="false">Shape!B20</f>
        <v>1.00583333333333</v>
      </c>
      <c r="D6" s="10" t="str">
        <f aca="false">IF(ISNUMBER(C6)=FALSE(),"CHECK",IF(ABS(C6-B6)&lt;=0.00000005,"OK","CHECK"))</f>
        <v>OK</v>
      </c>
      <c r="E6" s="19" t="s">
        <v>100</v>
      </c>
    </row>
    <row r="7" customFormat="false" ht="15" hidden="false" customHeight="false" outlineLevel="0" collapsed="false">
      <c r="A7" s="12" t="s">
        <v>18</v>
      </c>
      <c r="B7" s="6" t="n">
        <v>479.45</v>
      </c>
      <c r="C7" s="6" t="n">
        <f aca="false">Shape!B7</f>
        <v>479.452054794521</v>
      </c>
      <c r="D7" s="10" t="str">
        <f aca="false">IF(ISNUMBER(C7)=FALSE(),"CHECK",IF(ABS(C7-B7)&lt;=0.005,"OK","CHECK"))</f>
        <v>OK</v>
      </c>
      <c r="E7" s="19" t="s">
        <v>101</v>
      </c>
    </row>
    <row r="8" customFormat="false" ht="15" hidden="false" customHeight="false" outlineLevel="0" collapsed="false">
      <c r="A8" s="12" t="s">
        <v>102</v>
      </c>
      <c r="B8" s="6" t="n">
        <v>4200000</v>
      </c>
      <c r="C8" s="6" t="n">
        <f aca="false">Shape!I18</f>
        <v>4200000</v>
      </c>
      <c r="D8" s="10" t="str">
        <f aca="false">IF(ISNUMBER(C8)=FALSE(),"CHECK",IF(ABS(C8-B8)&lt;=0.005,"OK","CHECK"))</f>
        <v>OK</v>
      </c>
      <c r="E8" s="19" t="s">
        <v>103</v>
      </c>
    </row>
    <row r="9" customFormat="false" ht="15" hidden="false" customHeight="false" outlineLevel="0" collapsed="false">
      <c r="A9" s="12" t="s">
        <v>104</v>
      </c>
      <c r="B9" s="6" t="n">
        <v>47945.21</v>
      </c>
      <c r="C9" s="6" t="n">
        <f aca="false">Shape!I10</f>
        <v>47945.2054794521</v>
      </c>
      <c r="D9" s="10" t="str">
        <f aca="false">IF(ISNUMBER(C9)=FALSE(),"CHECK",IF(ABS(C9-B9)&lt;=0.005,"OK","CHECK"))</f>
        <v>OK</v>
      </c>
      <c r="E9" s="19" t="s">
        <v>105</v>
      </c>
    </row>
    <row r="10" customFormat="false" ht="15" hidden="false" customHeight="false" outlineLevel="0" collapsed="false">
      <c r="A10" s="12" t="s">
        <v>106</v>
      </c>
      <c r="B10" s="6" t="n">
        <v>364383.56</v>
      </c>
      <c r="C10" s="6" t="n">
        <f aca="false">Shape!I17</f>
        <v>364383.561643836</v>
      </c>
      <c r="D10" s="10" t="str">
        <f aca="false">IF(ISNUMBER(C10)=FALSE(),"CHECK",IF(ABS(C10-B10)&lt;=0.005,"OK","CHECK"))</f>
        <v>OK</v>
      </c>
      <c r="E10" s="19" t="s">
        <v>107</v>
      </c>
    </row>
    <row r="11" customFormat="false" ht="15" hidden="false" customHeight="false" outlineLevel="0" collapsed="false">
      <c r="A11" s="12" t="s">
        <v>108</v>
      </c>
      <c r="B11" s="6" t="n">
        <v>772.21</v>
      </c>
      <c r="C11" s="6" t="n">
        <f aca="false">Shape!E10</f>
        <v>772.207783364166</v>
      </c>
      <c r="D11" s="10" t="str">
        <f aca="false">IF(ISNUMBER(C11)=FALSE(),"CHECK",IF(ABS(C11-B11)&lt;=0.005,"OK","CHECK"))</f>
        <v>OK</v>
      </c>
      <c r="E11" s="19" t="s">
        <v>101</v>
      </c>
    </row>
    <row r="12" customFormat="false" ht="15" hidden="false" customHeight="false" outlineLevel="0" collapsed="false">
      <c r="A12" s="12" t="s">
        <v>109</v>
      </c>
      <c r="B12" s="6" t="n">
        <v>338.44</v>
      </c>
      <c r="C12" s="6" t="n">
        <f aca="false">Shape!E17</f>
        <v>338.436744560838</v>
      </c>
      <c r="D12" s="10" t="str">
        <f aca="false">IF(ISNUMBER(C12)=FALSE(),"CHECK",IF(ABS(C12-B12)&lt;=0.005,"OK","CHECK"))</f>
        <v>OK</v>
      </c>
      <c r="E12" s="19" t="s">
        <v>101</v>
      </c>
    </row>
    <row r="13" customFormat="false" ht="15" hidden="false" customHeight="false" outlineLevel="0" collapsed="false">
      <c r="A13" s="12" t="s">
        <v>110</v>
      </c>
      <c r="B13" s="24" t="n">
        <v>2.2817</v>
      </c>
      <c r="C13" s="24" t="n">
        <f aca="false">Shape!E10/Shape!E17</f>
        <v>2.28169014084507</v>
      </c>
      <c r="D13" s="10" t="str">
        <f aca="false">IF(ISNUMBER(C13)=FALSE(),"CHECK",IF(ABS(C13-B13)&lt;=0.00005,"OK","CHECK"))</f>
        <v>OK</v>
      </c>
      <c r="E13" s="19" t="s">
        <v>111</v>
      </c>
    </row>
    <row r="14" customFormat="false" ht="15" hidden="false" customHeight="false" outlineLevel="0" collapsed="false">
      <c r="A14" s="12" t="s">
        <v>112</v>
      </c>
      <c r="B14" s="6" t="n">
        <v>4200000</v>
      </c>
      <c r="C14" s="6" t="n">
        <f aca="false">Shape!F18</f>
        <v>4200000</v>
      </c>
      <c r="D14" s="10" t="str">
        <f aca="false">IF(ISNUMBER(C14)=FALSE(),"CHECK",IF(ABS(C14-B14)&lt;=0.005,"OK","CHECK"))</f>
        <v>OK</v>
      </c>
      <c r="E14" s="19" t="s">
        <v>101</v>
      </c>
    </row>
    <row r="15" customFormat="false" ht="15" hidden="false" customHeight="false" outlineLevel="0" collapsed="false">
      <c r="A15" s="12" t="s">
        <v>31</v>
      </c>
      <c r="B15" s="6" t="n">
        <v>329700000</v>
      </c>
      <c r="C15" s="6" t="n">
        <f aca="false">Shape!B23</f>
        <v>329700000</v>
      </c>
      <c r="D15" s="10" t="str">
        <f aca="false">IF(ISNUMBER(C15)=FALSE(),"CHECK",IF(ABS(C15-B15)&lt;=0.005,"OK","CHECK"))</f>
        <v>OK</v>
      </c>
      <c r="E15" s="19" t="s">
        <v>101</v>
      </c>
    </row>
    <row r="16" customFormat="false" ht="15" hidden="false" customHeight="false" outlineLevel="0" collapsed="false">
      <c r="A16" s="12" t="s">
        <v>113</v>
      </c>
      <c r="B16" s="6" t="n">
        <v>294786301.37</v>
      </c>
      <c r="C16" s="6" t="n">
        <f aca="false">Shape!B24</f>
        <v>294786301.369863</v>
      </c>
      <c r="D16" s="10" t="str">
        <f aca="false">IF(ISNUMBER(C16)=FALSE(),"CHECK",IF(ABS(C16-B16)&lt;=0.005,"OK","CHECK"))</f>
        <v>OK</v>
      </c>
      <c r="E16" s="19" t="s">
        <v>101</v>
      </c>
    </row>
    <row r="17" customFormat="false" ht="15" hidden="false" customHeight="false" outlineLevel="0" collapsed="false">
      <c r="A17" s="12" t="s">
        <v>33</v>
      </c>
      <c r="B17" s="6" t="n">
        <v>9030000</v>
      </c>
      <c r="C17" s="6" t="n">
        <f aca="false">Shape!B25</f>
        <v>9030000</v>
      </c>
      <c r="D17" s="10" t="str">
        <f aca="false">IF(ISNUMBER(C17)=FALSE(),"CHECK",IF(ABS(C17-B17)&lt;=0.005,"OK","CHECK"))</f>
        <v>OK</v>
      </c>
      <c r="E17" s="19" t="s">
        <v>101</v>
      </c>
    </row>
    <row r="18" customFormat="false" ht="15" hidden="false" customHeight="false" outlineLevel="0" collapsed="false">
      <c r="A18" s="12" t="s">
        <v>36</v>
      </c>
      <c r="B18" s="6" t="n">
        <v>317068468.18</v>
      </c>
      <c r="C18" s="6" t="n">
        <f aca="false">Shape!B29</f>
        <v>317068468.182179</v>
      </c>
      <c r="D18" s="10" t="str">
        <f aca="false">IF(ISNUMBER(C18)=FALSE(),"CHECK",IF(ABS(C18-B18)&lt;=0.005,"OK","CHECK"))</f>
        <v>OK</v>
      </c>
      <c r="E18" s="19" t="s">
        <v>101</v>
      </c>
    </row>
    <row r="19" customFormat="false" ht="15" hidden="false" customHeight="false" outlineLevel="0" collapsed="false">
      <c r="A19" s="12" t="s">
        <v>37</v>
      </c>
      <c r="B19" s="6" t="n">
        <v>22282166.81</v>
      </c>
      <c r="C19" s="6" t="n">
        <f aca="false">Shape!B30</f>
        <v>22282166.8123164</v>
      </c>
      <c r="D19" s="10" t="str">
        <f aca="false">IF(ISNUMBER(C19)=FALSE(),"CHECK",IF(ABS(C19-B19)&lt;=0.005,"OK","CHECK"))</f>
        <v>OK</v>
      </c>
      <c r="E19" s="19" t="s">
        <v>101</v>
      </c>
    </row>
    <row r="20" customFormat="false" ht="15" hidden="false" customHeight="false" outlineLevel="0" collapsed="false">
      <c r="A20" s="12" t="s">
        <v>114</v>
      </c>
      <c r="B20" s="13" t="n">
        <v>5.3053</v>
      </c>
      <c r="C20" s="13" t="n">
        <f aca="false">Shape!B31</f>
        <v>5.30527781245628</v>
      </c>
      <c r="D20" s="10" t="str">
        <f aca="false">IF(ISNUMBER(C20)=FALSE(),"CHECK",IF(ABS(C20-B20)&lt;=0.00005,"OK","CHECK"))</f>
        <v>OK</v>
      </c>
      <c r="E20" s="19" t="s">
        <v>111</v>
      </c>
    </row>
    <row r="21" customFormat="false" ht="15" hidden="false" customHeight="false" outlineLevel="0" collapsed="false">
      <c r="A21" s="12" t="s">
        <v>38</v>
      </c>
      <c r="B21" s="13" t="n">
        <v>75.4925</v>
      </c>
      <c r="C21" s="13" t="n">
        <f aca="false">Shape!B32</f>
        <v>75.4924924243284</v>
      </c>
      <c r="D21" s="10" t="str">
        <f aca="false">IF(ISNUMBER(C21)=FALSE(),"CHECK",IF(ABS(C21-B21)&lt;=0.00005,"OK","CHECK"))</f>
        <v>OK</v>
      </c>
      <c r="E21" s="19" t="s">
        <v>111</v>
      </c>
    </row>
    <row r="22" customFormat="false" ht="15" hidden="false" customHeight="false" outlineLevel="0" collapsed="false">
      <c r="A22" s="12" t="s">
        <v>39</v>
      </c>
      <c r="B22" s="13" t="n">
        <v>5.3053</v>
      </c>
      <c r="C22" s="13" t="n">
        <f aca="false">Shape!B33</f>
        <v>5.30527781245627</v>
      </c>
      <c r="D22" s="10" t="str">
        <f aca="false">IF(ISNUMBER(C22)=FALSE(),"CHECK",IF(ABS(C22-B22)&lt;=0.00005,"OK","CHECK"))</f>
        <v>OK</v>
      </c>
      <c r="E22" s="19" t="s">
        <v>111</v>
      </c>
    </row>
    <row r="23" customFormat="false" ht="15" hidden="false" customHeight="false" outlineLevel="0" collapsed="false">
      <c r="A23" s="12" t="s">
        <v>34</v>
      </c>
      <c r="B23" s="6" t="n">
        <v>25883698.63</v>
      </c>
      <c r="C23" s="6" t="n">
        <f aca="false">Shape!B26</f>
        <v>25883698.630137</v>
      </c>
      <c r="D23" s="10" t="str">
        <f aca="false">IF(ISNUMBER(C23)=FALSE(),"CHECK",IF(ABS(C23-B23)&lt;=0.005,"OK","CHECK"))</f>
        <v>OK</v>
      </c>
      <c r="E23" s="19" t="s">
        <v>101</v>
      </c>
    </row>
    <row r="24" customFormat="false" ht="15" hidden="false" customHeight="false" outlineLevel="0" collapsed="false">
      <c r="A24" s="12" t="s">
        <v>35</v>
      </c>
      <c r="B24" s="13" t="n">
        <v>6.1628</v>
      </c>
      <c r="C24" s="13" t="n">
        <f aca="false">Shape!B27</f>
        <v>6.16278538812786</v>
      </c>
      <c r="D24" s="10" t="str">
        <f aca="false">IF(ISNUMBER(C24)=FALSE(),"CHECK",IF(ABS(C24-B24)&lt;=0.00005,"OK","CHECK"))</f>
        <v>OK</v>
      </c>
      <c r="E24" s="19" t="s">
        <v>111</v>
      </c>
    </row>
    <row r="25" customFormat="false" ht="15" hidden="false" customHeight="false" outlineLevel="0" collapsed="false">
      <c r="A25" s="12" t="s">
        <v>40</v>
      </c>
      <c r="B25" s="6" t="n">
        <v>3601531.82</v>
      </c>
      <c r="C25" s="6" t="n">
        <f aca="false">Shape!B34</f>
        <v>3601531.81782067</v>
      </c>
      <c r="D25" s="10" t="str">
        <f aca="false">IF(ISNUMBER(C25)=FALSE(),"CHECK",IF(ABS(C25-B25)&lt;=0.005,"OK","CHECK"))</f>
        <v>OK</v>
      </c>
      <c r="E25" s="19" t="s">
        <v>101</v>
      </c>
    </row>
    <row r="26" customFormat="false" ht="15" hidden="false" customHeight="false" outlineLevel="0" collapsed="false">
      <c r="A26" s="12" t="s">
        <v>35</v>
      </c>
      <c r="B26" s="13" t="n">
        <v>0.8575</v>
      </c>
      <c r="C26" s="13" t="n">
        <f aca="false">Shape!B35</f>
        <v>0.857507575671588</v>
      </c>
      <c r="D26" s="10" t="str">
        <f aca="false">IF(ISNUMBER(C26)=FALSE(),"CHECK",IF(ABS(C26-B26)&lt;=0.00005,"OK","CHECK"))</f>
        <v>OK</v>
      </c>
      <c r="E26" s="19" t="s">
        <v>111</v>
      </c>
    </row>
    <row r="27" customFormat="false" ht="15" hidden="false" customHeight="false" outlineLevel="0" collapsed="false">
      <c r="A27" s="12" t="s">
        <v>41</v>
      </c>
      <c r="B27" s="22" t="n">
        <v>0.860857</v>
      </c>
      <c r="C27" s="22" t="n">
        <f aca="false">Shape!B36</f>
        <v>0.86085714142772</v>
      </c>
      <c r="D27" s="10" t="str">
        <f aca="false">IF(ISNUMBER(C27)=FALSE(),"CHECK",IF(ABS(C27-B27)&lt;=0.0000005,"OK","CHECK"))</f>
        <v>OK</v>
      </c>
      <c r="E27" s="19" t="s">
        <v>99</v>
      </c>
    </row>
    <row r="28" customFormat="false" ht="15" hidden="false" customHeight="false" outlineLevel="0" collapsed="false">
      <c r="A28" s="12" t="s">
        <v>115</v>
      </c>
      <c r="B28" s="6" t="n">
        <v>2543.63</v>
      </c>
      <c r="C28" s="6" t="n">
        <f aca="false">Shape!B30/Curve!A13</f>
        <v>2543.62634843794</v>
      </c>
      <c r="D28" s="10" t="str">
        <f aca="false">IF(ISNUMBER(C28)=FALSE(),"CHECK",IF(ABS(C28-B28)&lt;=0.005,"OK","CHECK"))</f>
        <v>OK</v>
      </c>
      <c r="E28" s="19" t="s">
        <v>101</v>
      </c>
    </row>
    <row r="29" customFormat="false" ht="15" hidden="false" customHeight="false" outlineLevel="0" collapsed="false">
      <c r="A29" s="12" t="s">
        <v>116</v>
      </c>
      <c r="B29" s="6" t="n">
        <v>11173483.73</v>
      </c>
      <c r="C29" s="6" t="n">
        <f aca="false">Amplitude!B17</f>
        <v>11173483.7318097</v>
      </c>
      <c r="D29" s="10" t="str">
        <f aca="false">IF(ISNUMBER(C29)=FALSE(),"CHECK",IF(ABS(C29-B29)&lt;=0.005,"OK","CHECK"))</f>
        <v>OK</v>
      </c>
      <c r="E29" s="19" t="s">
        <v>117</v>
      </c>
    </row>
    <row r="30" customFormat="false" ht="15" hidden="false" customHeight="false" outlineLevel="0" collapsed="false">
      <c r="A30" s="12" t="s">
        <v>49</v>
      </c>
      <c r="B30" s="22" t="n">
        <v>0.43168</v>
      </c>
      <c r="C30" s="22" t="n">
        <f aca="false">Amplitude!B18</f>
        <v>0.431680336395206</v>
      </c>
      <c r="D30" s="10" t="str">
        <f aca="false">IF(ISNUMBER(C30)=FALSE(),"CHECK",IF(ABS(C30-B30)&lt;=0.0000005,"OK","CHECK"))</f>
        <v>OK</v>
      </c>
      <c r="E30" s="19" t="s">
        <v>99</v>
      </c>
    </row>
    <row r="31" customFormat="false" ht="15" hidden="false" customHeight="false" outlineLevel="0" collapsed="false">
      <c r="A31" s="12" t="s">
        <v>35</v>
      </c>
      <c r="B31" s="13" t="n">
        <v>2.6604</v>
      </c>
      <c r="C31" s="13" t="n">
        <f aca="false">Amplitude!B19</f>
        <v>2.66035326947849</v>
      </c>
      <c r="D31" s="10" t="str">
        <f aca="false">IF(ISNUMBER(C31)=FALSE(),"CHECK",IF(ABS(C31-B31)&lt;=0.00005,"OK","CHECK"))</f>
        <v>OK</v>
      </c>
      <c r="E31" s="19" t="s">
        <v>111</v>
      </c>
    </row>
    <row r="32" customFormat="false" ht="15" hidden="false" customHeight="false" outlineLevel="0" collapsed="false">
      <c r="A32" s="12" t="s">
        <v>118</v>
      </c>
      <c r="B32" s="23" t="n">
        <v>0.501454</v>
      </c>
      <c r="C32" s="23" t="n">
        <f aca="false">Amplitude!B20</f>
        <v>0.501454092230993</v>
      </c>
      <c r="D32" s="10" t="str">
        <f aca="false">IF(ISNUMBER(C32)=FALSE(),"CHECK",IF(ABS(C32-B32)&lt;=0.0000005,"OK","CHECK"))</f>
        <v>OK</v>
      </c>
      <c r="E32" s="19" t="s">
        <v>99</v>
      </c>
    </row>
    <row r="33" customFormat="false" ht="15" hidden="false" customHeight="false" outlineLevel="0" collapsed="false">
      <c r="A33" s="12" t="s">
        <v>119</v>
      </c>
      <c r="B33" s="13" t="n">
        <v>1.1616</v>
      </c>
      <c r="C33" s="13" t="n">
        <f aca="false">Amplitude!B23</f>
        <v>1.16163292592487</v>
      </c>
      <c r="D33" s="10" t="str">
        <f aca="false">IF(ISNUMBER(C33)=FALSE(),"CHECK",IF(ABS(C33-B33)&lt;=0.00005,"OK","CHECK"))</f>
        <v>OK</v>
      </c>
      <c r="E33" s="19" t="s">
        <v>111</v>
      </c>
    </row>
    <row r="34" customFormat="false" ht="15" hidden="false" customHeight="false" outlineLevel="0" collapsed="false">
      <c r="A34" s="12" t="s">
        <v>120</v>
      </c>
      <c r="B34" s="13" t="n">
        <v>1.1627</v>
      </c>
      <c r="C34" s="13" t="n">
        <f aca="false">Amplitude!B24</f>
        <v>1.16272921532146</v>
      </c>
      <c r="D34" s="10" t="str">
        <f aca="false">IF(ISNUMBER(C34)=FALSE(),"CHECK",IF(ABS(C34-B34)&lt;=0.00005,"OK","CHECK"))</f>
        <v>OK</v>
      </c>
      <c r="E34" s="19" t="s">
        <v>121</v>
      </c>
    </row>
    <row r="35" customFormat="false" ht="15" hidden="false" customHeight="false" outlineLevel="0" collapsed="false">
      <c r="A35" s="12" t="s">
        <v>122</v>
      </c>
      <c r="B35" s="6" t="n">
        <v>0</v>
      </c>
      <c r="C35" s="6" t="n">
        <f aca="false">Amplitude!B25-Shape!B26</f>
        <v>0</v>
      </c>
      <c r="D35" s="10" t="str">
        <f aca="false">IF(ISNUMBER(C35)=FALSE(),"CHECK",IF(ABS(C35-B35)&lt;=0.000001,"OK","CHECK"))</f>
        <v>OK</v>
      </c>
      <c r="E35" s="19" t="s">
        <v>123</v>
      </c>
    </row>
    <row r="36" customFormat="false" ht="15" hidden="false" customHeight="false" outlineLevel="0" collapsed="false">
      <c r="A36" s="12" t="s">
        <v>124</v>
      </c>
      <c r="B36" s="6" t="n">
        <v>67076498.63</v>
      </c>
      <c r="C36" s="6" t="n">
        <f aca="false">Group!B29</f>
        <v>67076498.630137</v>
      </c>
      <c r="D36" s="10" t="str">
        <f aca="false">IF(ISNUMBER(C36)=FALSE(),"CHECK",IF(ABS(C36-B36)&lt;=0.005,"OK","CHECK"))</f>
        <v>OK</v>
      </c>
      <c r="E36" s="19" t="s">
        <v>101</v>
      </c>
    </row>
    <row r="37" customFormat="false" ht="15" hidden="false" customHeight="false" outlineLevel="0" collapsed="false">
      <c r="A37" s="12" t="s">
        <v>125</v>
      </c>
      <c r="B37" s="6" t="n">
        <v>64393771.82</v>
      </c>
      <c r="C37" s="6" t="n">
        <f aca="false">Group!C29</f>
        <v>64393771.8178207</v>
      </c>
      <c r="D37" s="10" t="str">
        <f aca="false">IF(ISNUMBER(C37)=FALSE(),"CHECK",IF(ABS(C37-B37)&lt;=0.005,"OK","CHECK"))</f>
        <v>OK</v>
      </c>
      <c r="E37" s="19" t="s">
        <v>101</v>
      </c>
    </row>
    <row r="38" customFormat="false" ht="15" hidden="false" customHeight="false" outlineLevel="0" collapsed="false">
      <c r="A38" s="12" t="s">
        <v>126</v>
      </c>
      <c r="B38" s="6" t="n">
        <v>-2682726.81</v>
      </c>
      <c r="C38" s="6" t="n">
        <f aca="false">Group!D29</f>
        <v>-2682726.81231634</v>
      </c>
      <c r="D38" s="10" t="str">
        <f aca="false">IF(ISNUMBER(C38)=FALSE(),"CHECK",IF(ABS(C38-B38)&lt;=0.005,"OK","CHECK"))</f>
        <v>OK</v>
      </c>
      <c r="E38" s="19" t="s">
        <v>101</v>
      </c>
    </row>
    <row r="39" customFormat="false" ht="15" hidden="false" customHeight="false" outlineLevel="0" collapsed="false">
      <c r="A39" s="12" t="s">
        <v>127</v>
      </c>
      <c r="B39" s="22" t="n">
        <v>0.879602</v>
      </c>
      <c r="C39" s="22" t="n">
        <f aca="false">Group!B31</f>
        <v>0.879602067657376</v>
      </c>
      <c r="D39" s="10" t="str">
        <f aca="false">IF(ISNUMBER(C39)=FALSE(),"CHECK",IF(ABS(C39-B39)&lt;=0.0000005,"OK","CHECK"))</f>
        <v>OK</v>
      </c>
      <c r="E39" s="19" t="s">
        <v>99</v>
      </c>
    </row>
    <row r="40" customFormat="false" ht="15" hidden="false" customHeight="false" outlineLevel="0" collapsed="false">
      <c r="A40" s="12" t="s">
        <v>128</v>
      </c>
      <c r="B40" s="22" t="n">
        <v>0.039995</v>
      </c>
      <c r="C40" s="22" t="n">
        <f aca="false">Group!B33</f>
        <v>0.0399950335378866</v>
      </c>
      <c r="D40" s="10" t="str">
        <f aca="false">IF(ISNUMBER(C40)=FALSE(),"CHECK",IF(ABS(C40-B40)&lt;=0.0000005,"OK","CHECK"))</f>
        <v>OK</v>
      </c>
      <c r="E40" s="19" t="s">
        <v>99</v>
      </c>
    </row>
    <row r="41" customFormat="false" ht="15" hidden="false" customHeight="false" outlineLevel="0" collapsed="false">
      <c r="A41" s="12" t="s">
        <v>129</v>
      </c>
      <c r="B41" s="6" t="n">
        <v>50025083.11</v>
      </c>
      <c r="C41" s="6" t="n">
        <f aca="false">Group!B35</f>
        <v>50025083.1050229</v>
      </c>
      <c r="D41" s="10" t="str">
        <f aca="false">IF(ISNUMBER(C41)=FALSE(),"CHECK",IF(ABS(C41-B41)&lt;=0.005,"OK","CHECK"))</f>
        <v>OK</v>
      </c>
      <c r="E41" s="19" t="s">
        <v>101</v>
      </c>
    </row>
    <row r="42" customFormat="false" ht="15" hidden="false" customHeight="false" outlineLevel="0" collapsed="false">
      <c r="A42" s="12" t="s">
        <v>130</v>
      </c>
      <c r="B42" s="24" t="n">
        <v>1.7541</v>
      </c>
      <c r="C42" s="24" t="n">
        <f aca="false">Amplitude!B21</f>
        <v>1.75410288057274</v>
      </c>
      <c r="D42" s="10" t="str">
        <f aca="false">IF(ISNUMBER(C42)=FALSE(),"CHECK",IF(ABS(C42-B42)&lt;=0.00005,"OK","CHECK"))</f>
        <v>OK</v>
      </c>
      <c r="E42" s="19" t="s">
        <v>111</v>
      </c>
    </row>
    <row r="43" customFormat="false" ht="15" hidden="false" customHeight="false" outlineLevel="0" collapsed="false">
      <c r="A43" s="12" t="s">
        <v>131</v>
      </c>
      <c r="B43" s="6" t="n">
        <v>2191497.08</v>
      </c>
      <c r="C43" s="6" t="n">
        <f aca="false">Group!B37</f>
        <v>2191497.08889923</v>
      </c>
      <c r="D43" s="10" t="str">
        <f aca="false">IF(ISNUMBER(C43)=FALSE(),"CHECK",IF(ABS(C43-B43)&lt;=0.015,"OK","CHECK"))</f>
        <v>OK</v>
      </c>
      <c r="E43" s="19" t="s">
        <v>132</v>
      </c>
    </row>
    <row r="44" customFormat="false" ht="15" hidden="false" customHeight="false" outlineLevel="0" collapsed="false">
      <c r="A44" s="12" t="s">
        <v>133</v>
      </c>
      <c r="B44" s="6" t="n">
        <v>226502.92</v>
      </c>
      <c r="C44" s="6" t="n">
        <f aca="false">Group!B38</f>
        <v>226502.911100771</v>
      </c>
      <c r="D44" s="10" t="str">
        <f aca="false">IF(ISNUMBER(C44)=FALSE(),"CHECK",IF(ABS(C44-B44)&lt;=0.015,"OK","CHECK"))</f>
        <v>OK</v>
      </c>
      <c r="E44" s="19" t="s">
        <v>132</v>
      </c>
    </row>
    <row r="45" customFormat="false" ht="15" hidden="false" customHeight="false" outlineLevel="0" collapsed="false">
      <c r="A45" s="12" t="s">
        <v>134</v>
      </c>
      <c r="B45" s="6" t="n">
        <v>44274.4</v>
      </c>
      <c r="C45" s="6" t="n">
        <f aca="false">Group!B39</f>
        <v>44274.403876928</v>
      </c>
      <c r="D45" s="10" t="str">
        <f aca="false">IF(ISNUMBER(C45)=FALSE(),"CHECK",IF(ABS(C45-B45)&lt;=0.005,"OK","CHECK"))</f>
        <v>OK</v>
      </c>
      <c r="E45" s="19" t="s">
        <v>101</v>
      </c>
    </row>
    <row r="46" customFormat="false" ht="15" hidden="false" customHeight="false" outlineLevel="0" collapsed="false">
      <c r="A46" s="12" t="s">
        <v>135</v>
      </c>
      <c r="B46" s="6" t="n">
        <v>270777.32</v>
      </c>
      <c r="C46" s="6" t="n">
        <f aca="false">Group!B40</f>
        <v>270777.314977699</v>
      </c>
      <c r="D46" s="10" t="str">
        <f aca="false">IF(ISNUMBER(C46)=FALSE(),"CHECK",IF(ABS(C46-B46)&lt;=0.015,"OK","CHECK"))</f>
        <v>OK</v>
      </c>
      <c r="E46" s="19" t="s">
        <v>132</v>
      </c>
    </row>
    <row r="47" customFormat="false" ht="15" hidden="false" customHeight="false" outlineLevel="0" collapsed="false">
      <c r="A47" s="12" t="s">
        <v>90</v>
      </c>
      <c r="B47" s="6" t="n">
        <v>2008502.92</v>
      </c>
      <c r="C47" s="6" t="n">
        <f aca="false">Group!B41</f>
        <v>2008502.91110077</v>
      </c>
      <c r="D47" s="10" t="str">
        <f aca="false">IF(ISNUMBER(C47)=FALSE(),"CHECK",IF(ABS(C47-B47)&lt;=0.015,"OK","CHECK"))</f>
        <v>OK</v>
      </c>
      <c r="E47" s="19" t="s">
        <v>132</v>
      </c>
    </row>
    <row r="48" customFormat="false" ht="15" hidden="false" customHeight="false" outlineLevel="0" collapsed="false">
      <c r="A48" s="12" t="s">
        <v>136</v>
      </c>
      <c r="B48" s="6" t="n">
        <v>60792240</v>
      </c>
      <c r="C48" s="6" t="n">
        <f aca="false">Group!B21</f>
        <v>60792240</v>
      </c>
      <c r="D48" s="10" t="str">
        <f aca="false">IF(ISNUMBER(C48)=FALSE(),"CHECK",IF(ABS(C48-B48)&lt;=0.005,"OK","CHECK"))</f>
        <v>OK</v>
      </c>
      <c r="E48" s="19" t="s">
        <v>101</v>
      </c>
    </row>
    <row r="50" customFormat="false" ht="15" hidden="false" customHeight="false" outlineLevel="0" collapsed="false">
      <c r="A50" s="10" t="s">
        <v>137</v>
      </c>
      <c r="C50" s="10" t="str">
        <f aca="false">COUNTIF(D5:D48,"OK")&amp;" / 44"</f>
        <v>44 / 44</v>
      </c>
      <c r="D50" s="10" t="str">
        <f aca="false">IF(COUNTIF(D5:D48,"OK")=44,"ALL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2026-09-09T07:00:29Z</dcterms:created>
  <dc:creator>openpyxl</dc:creator>
  <dc:description/>
  <dc:language>en-US</dc:language>
  <cp:lastModifiedBy/>
  <dcterms:modified xsi:type="dcterms:W3CDTF">2026-09-24T02:10:27Z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