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Curve" sheetId="1" state="visible" r:id="rId3"/>
    <sheet name="Plant" sheetId="2" state="visible" r:id="rId4"/>
    <sheet name="Outage" sheetId="3" state="visible" r:id="rId5"/>
    <sheet name="Concentration" sheetId="4" state="visible" r:id="rId6"/>
    <sheet name="Buy-back and thresholds" sheetId="5" state="visible" r:id="rId7"/>
    <sheet name="Checks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<sst xmlns="http://schemas.openxmlformats.org/spreadsheetml/2006/main" count="225" uniqueCount="163">
  <si>
    <t xml:space="preserve">The price duration curve</t>
  </si>
  <si>
    <t xml:space="preserve">The year's 8,760 hourly prices, sorted and grouped. Blue cells are inputs: change an hour count or a price and everything in this workbook moves.</t>
  </si>
  <si>
    <t xml:space="preserve">Hours</t>
  </si>
  <si>
    <t xml:space="preserve">Price per MWh</t>
  </si>
  <si>
    <t xml:space="preserve">Hours x price</t>
  </si>
  <si>
    <t xml:space="preserve">Available hours</t>
  </si>
  <si>
    <t xml:space="preserve">Available hours x price</t>
  </si>
  <si>
    <t xml:space="preserve">Time-weighted average price</t>
  </si>
  <si>
    <t xml:space="preserve">Annual baseload forward (set equal to it by construction)</t>
  </si>
  <si>
    <t xml:space="preserve">Outage hours, taken at the bottom of the curve</t>
  </si>
  <si>
    <t xml:space="preserve">Hours x price over the available hours (the outage takes the cheapest hours first)</t>
  </si>
  <si>
    <t xml:space="preserve">Average price over the available hours</t>
  </si>
  <si>
    <t xml:space="preserve">Difference from the annual forward</t>
  </si>
  <si>
    <t xml:space="preserve">The plant, four ways</t>
  </si>
  <si>
    <t xml:space="preserve">Change the heat rate, the gas price or the capacity and every valuation moves.</t>
  </si>
  <si>
    <t xml:space="preserve">Capacity, MW</t>
  </si>
  <si>
    <t xml:space="preserve">Heat rate, MMBtu per MWh</t>
  </si>
  <si>
    <t xml:space="preserve">Gas, per MMBtu</t>
  </si>
  <si>
    <t xml:space="preserve">Variable operating cost, per MWh</t>
  </si>
  <si>
    <t xml:space="preserve">Fuel cost per MWh</t>
  </si>
  <si>
    <t xml:space="preserve">Marginal cost per MWh</t>
  </si>
  <si>
    <t xml:space="preserve">Price</t>
  </si>
  <si>
    <t xml:space="preserve">Available</t>
  </si>
  <si>
    <t xml:space="preserve">Runs</t>
  </si>
  <si>
    <t xml:space="preserve">Margin per MWh</t>
  </si>
  <si>
    <t xml:space="preserve">Margin per MW</t>
  </si>
  <si>
    <t xml:space="preserve">Output MWh</t>
  </si>
  <si>
    <t xml:space="preserve">Buy-back MWh</t>
  </si>
  <si>
    <t xml:space="preserve">Buy-back cost</t>
  </si>
  <si>
    <t xml:space="preserve">Total</t>
  </si>
  <si>
    <t xml:space="preserve">Running hours</t>
  </si>
  <si>
    <t xml:space="preserve">Block volume, MWh</t>
  </si>
  <si>
    <t xml:space="preserve">Gross margin, hour by hour (b)</t>
  </si>
  <si>
    <t xml:space="preserve">Treatment</t>
  </si>
  <si>
    <t xml:space="preserve">Block priced at</t>
  </si>
  <si>
    <t xml:space="preserve">Gross margin</t>
  </si>
  <si>
    <t xml:space="preserve">(c) Must-run, at the annual forward</t>
  </si>
  <si>
    <t xml:space="preserve">(c') Must-run, priced on its own hours</t>
  </si>
  <si>
    <t xml:space="preserve">(a) Baseload-hedged and dispatched, at the forward</t>
  </si>
  <si>
    <t xml:space="preserve">(a') Baseload-hedged and dispatched, on its own hours</t>
  </si>
  <si>
    <t xml:space="preserve">(b) Unhedged and dispatched</t>
  </si>
  <si>
    <t xml:space="preserve">Hedge gives up, once fairly priced</t>
  </si>
  <si>
    <t xml:space="preserve">Naive gap, (b) less (c)</t>
  </si>
  <si>
    <t xml:space="preserve">  of which wrong hour set in the price</t>
  </si>
  <si>
    <t xml:space="preserve">  of which convexity</t>
  </si>
  <si>
    <t xml:space="preserve">Convexity as a share of the honest flat reading</t>
  </si>
  <si>
    <t xml:space="preserve">Convexity ratio</t>
  </si>
  <si>
    <t xml:space="preserve">Naive gap as a multiple of the convexity</t>
  </si>
  <si>
    <t xml:space="preserve">Starts assumed</t>
  </si>
  <si>
    <t xml:space="preserve">Cost of one start</t>
  </si>
  <si>
    <t xml:space="preserve">Fixed cost</t>
  </si>
  <si>
    <t xml:space="preserve">Net, hour by hour</t>
  </si>
  <si>
    <t xml:space="preserve">Net, honestly priced block (no starts)</t>
  </si>
  <si>
    <t xml:space="preserve">The same 760 hours, moved</t>
  </si>
  <si>
    <t xml:space="preserve">At the bottom of the curve they cost nothing. Taken from the top, as many hours as the outage lasts, they cost this. The outage hours are on the Curve sheet.</t>
  </si>
  <si>
    <t xml:space="preserve">Hours in the row</t>
  </si>
  <si>
    <t xml:space="preserve">Hours taken from the top</t>
  </si>
  <si>
    <t xml:space="preserve">Margin per MW lost</t>
  </si>
  <si>
    <t xml:space="preserve">Total per MW</t>
  </si>
  <si>
    <t xml:space="preserve">Total, across the capacity</t>
  </si>
  <si>
    <t xml:space="preserve">As a share of the plant's annual gross margin</t>
  </si>
  <si>
    <t xml:space="preserve">What is left of the gross margin</t>
  </si>
  <si>
    <t xml:space="preserve">Below the honestly priced must-run block by</t>
  </si>
  <si>
    <t xml:space="preserve">Net of the 96 starts and the fixed cost (starts held, as Chapter 7 does)</t>
  </si>
  <si>
    <t xml:space="preserve">As a multiple of the convexity</t>
  </si>
  <si>
    <t xml:space="preserve">Where the margin is earned</t>
  </si>
  <si>
    <t xml:space="preserve">Chapter 5. The running rows, accumulated from the top of the curve.</t>
  </si>
  <si>
    <t xml:space="preserve">Top hours</t>
  </si>
  <si>
    <t xml:space="preserve">Down to a price of</t>
  </si>
  <si>
    <t xml:space="preserve">Cumulative margin</t>
  </si>
  <si>
    <t xml:space="preserve">Share of the year's margin</t>
  </si>
  <si>
    <t xml:space="preserve">Share of available hours</t>
  </si>
  <si>
    <t xml:space="preserve">Margin per running hour in the row</t>
  </si>
  <si>
    <t xml:space="preserve">Top running row over the marginal running row, per hour</t>
  </si>
  <si>
    <t xml:space="preserve">The average running hour</t>
  </si>
  <si>
    <t xml:space="preserve">Availability, as a share of the year</t>
  </si>
  <si>
    <t xml:space="preserve">Running hours, as a share of the available hours</t>
  </si>
  <si>
    <t xml:space="preserve">One per cent more available hours, all in the top row: the ceiling</t>
  </si>
  <si>
    <t xml:space="preserve">  the hours that one per cent is</t>
  </si>
  <si>
    <t xml:space="preserve">  a point of availability, measured on the year, would be</t>
  </si>
  <si>
    <t xml:space="preserve">The buy-back, and the thresholds</t>
  </si>
  <si>
    <t xml:space="preserve">Chapters 4, 6 and 10: the two legs of the forward sale, the fuel and efficiency thresholds, and the starts.</t>
  </si>
  <si>
    <t xml:space="preserve">Buy-back volume, MWh</t>
  </si>
  <si>
    <t xml:space="preserve">Buy-back cost, at the prices of the idle hours</t>
  </si>
  <si>
    <t xml:space="preserve">  average price paid</t>
  </si>
  <si>
    <t xml:space="preserve">The price the block was sold at (the annual forward)</t>
  </si>
  <si>
    <t xml:space="preserve">Gain on the buy-back leg</t>
  </si>
  <si>
    <t xml:space="preserve">  per MWh</t>
  </si>
  <si>
    <t xml:space="preserve">Output valued at the prices of the hours it is made in</t>
  </si>
  <si>
    <t xml:space="preserve">The same output at the forward</t>
  </si>
  <si>
    <t xml:space="preserve">Given up on the leg the plant delivers</t>
  </si>
  <si>
    <t xml:space="preserve">The two legs together: the wrong-hour-set mispricing</t>
  </si>
  <si>
    <t xml:space="preserve">Thresholds</t>
  </si>
  <si>
    <t xml:space="preserve">Gas price that erases the forward spark spread</t>
  </si>
  <si>
    <t xml:space="preserve">  above the hedged gas price by</t>
  </si>
  <si>
    <t xml:space="preserve">  as a share of it</t>
  </si>
  <si>
    <t xml:space="preserve">Extra fuel cost per MMBtu that stops the marginal running row</t>
  </si>
  <si>
    <t xml:space="preserve">  the margin of that row</t>
  </si>
  <si>
    <t xml:space="preserve">  as a share of the gross margin</t>
  </si>
  <si>
    <t xml:space="preserve">Cost improvement per MWh that brings the next row into the money</t>
  </si>
  <si>
    <t xml:space="preserve">Starts</t>
  </si>
  <si>
    <t xml:space="preserve">Honest gap net of starts and fixed cost (hour by hour less the must-run block)</t>
  </si>
  <si>
    <t xml:space="preserve">Starts it would take to close it, beyond those assumed</t>
  </si>
  <si>
    <t xml:space="preserve">  starts in all</t>
  </si>
  <si>
    <t xml:space="preserve">  running hours per start</t>
  </si>
  <si>
    <t xml:space="preserve">Checks</t>
  </si>
  <si>
    <t xml:space="preserve">The figure printed in the book beside the figure this workbook computes. Change an input and the rows that depend on it stop matching.</t>
  </si>
  <si>
    <t xml:space="preserve">What the book prints</t>
  </si>
  <si>
    <t xml:space="preserve">Printed</t>
  </si>
  <si>
    <t xml:space="preserve">Computed here</t>
  </si>
  <si>
    <t xml:space="preserve">Status</t>
  </si>
  <si>
    <t xml:space="preserve">Note</t>
  </si>
  <si>
    <t xml:space="preserve">Marginal cost per MWh (Chapter 4)</t>
  </si>
  <si>
    <t xml:space="preserve">tolerance 0.005</t>
  </si>
  <si>
    <t xml:space="preserve">tolerance 0.5</t>
  </si>
  <si>
    <t xml:space="preserve">Output, MWh</t>
  </si>
  <si>
    <t xml:space="preserve">(c) must-run at the annual forward</t>
  </si>
  <si>
    <t xml:space="preserve">(c') must-run priced on its own hours</t>
  </si>
  <si>
    <t xml:space="preserve">(a) hedged at the annual forward</t>
  </si>
  <si>
    <t xml:space="preserve">(a') hedged on its own hours</t>
  </si>
  <si>
    <t xml:space="preserve">What a fairly priced hedge gives up</t>
  </si>
  <si>
    <t xml:space="preserve">Naive gap</t>
  </si>
  <si>
    <t xml:space="preserve">  wrong hour set</t>
  </si>
  <si>
    <t xml:space="preserve">  convexity</t>
  </si>
  <si>
    <t xml:space="preserve">Convexity as a share of the honest flat block</t>
  </si>
  <si>
    <t xml:space="preserve">tolerance 5e-07</t>
  </si>
  <si>
    <t xml:space="preserve">tolerance 5e-05</t>
  </si>
  <si>
    <t xml:space="preserve">Naive gap over convexity</t>
  </si>
  <si>
    <t xml:space="preserve">Net, honestly priced block</t>
  </si>
  <si>
    <t xml:space="preserve">Net, must-run block at the annual forward</t>
  </si>
  <si>
    <t xml:space="preserve">Net, (a) hedged at the annual forward (Appendix A)</t>
  </si>
  <si>
    <t xml:space="preserve">Buy-back average price</t>
  </si>
  <si>
    <t xml:space="preserve">Gain on the buy-back leg (Chapter 10)</t>
  </si>
  <si>
    <t xml:space="preserve">Output at the prices of its own hours</t>
  </si>
  <si>
    <t xml:space="preserve">Given up on the delivered leg</t>
  </si>
  <si>
    <t xml:space="preserve">The two legs close on the wrong-hour-set mispricing (must be zero)</t>
  </si>
  <si>
    <t xml:space="preserve">holds for any inputs</t>
  </si>
  <si>
    <t xml:space="preserve">Gas price that erases the forward spark</t>
  </si>
  <si>
    <t xml:space="preserve">  as a share of the hedged gas price</t>
  </si>
  <si>
    <t xml:space="preserve">Extra fuel cost that stops the 72.00 row, per MMBtu</t>
  </si>
  <si>
    <t xml:space="preserve">  as a share of the gross margin (Chapter 6)</t>
  </si>
  <si>
    <t xml:space="preserve">Improvement that brings the 63.00 row in, per MWh</t>
  </si>
  <si>
    <t xml:space="preserve">More starts that would close the honest net gap (revised: the book prints 963.4292 as the whole count)</t>
  </si>
  <si>
    <t xml:space="preserve">revised: 1,059.4292, not 963.4292</t>
  </si>
  <si>
    <t xml:space="preserve">  running hours per start (the book says four)</t>
  </si>
  <si>
    <t xml:space="preserve">revised</t>
  </si>
  <si>
    <t xml:space="preserve">Top 100 hours: cumulative margin</t>
  </si>
  <si>
    <t xml:space="preserve">  share of the year (Chapter 5)</t>
  </si>
  <si>
    <t xml:space="preserve">Top 350 hours: share of the year</t>
  </si>
  <si>
    <t xml:space="preserve">  share of available hours</t>
  </si>
  <si>
    <t xml:space="preserve">Top 900 hours: share of the year</t>
  </si>
  <si>
    <t xml:space="preserve">Top 2,000 hours: share of the year</t>
  </si>
  <si>
    <t xml:space="preserve">Top row per running hour over the marginal row</t>
  </si>
  <si>
    <t xml:space="preserve">Availability</t>
  </si>
  <si>
    <t xml:space="preserve">Running hours over available hours</t>
  </si>
  <si>
    <t xml:space="preserve">80 more available hours in the top row (Chapter 5)</t>
  </si>
  <si>
    <t xml:space="preserve">Outage at the top of the curve (Chapter 7)</t>
  </si>
  <si>
    <t xml:space="preserve">  as a share of annual gross margin</t>
  </si>
  <si>
    <t xml:space="preserve">  what is left</t>
  </si>
  <si>
    <t xml:space="preserve">  below the honest must-run block by</t>
  </si>
  <si>
    <t xml:space="preserve">  net of starts and fixed cost</t>
  </si>
  <si>
    <t xml:space="preserve">  as a multiple of the convexity</t>
  </si>
  <si>
    <t xml:space="preserve">All checks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</si>
</sst>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;[RED]\-#,##0"/>
    <numFmt numFmtId="166" formatCode="#,##0.00;[RED]\-#,##0.00"/>
    <numFmt numFmtId="167" formatCode="0.0000"/>
    <numFmt numFmtId="168" formatCode="0.0000%"/>
    <numFmt numFmtId="169" formatCode="0.0000\x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name val="Arial"/>
      <family val="0"/>
      <charset val="1"/>
    </font>
    <font>
      <i val="true"/>
      <sz val="10"/>
      <color rgb="FF595959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sz val="10"/>
      <name val="Arial"/>
      <family val="0"/>
      <charset val="1"/>
    </font>
    <font>
      <sz val="10"/>
      <color rgb="FF595959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D9E1F2"/>
        <bgColor rgb="FFCCFFFF"/>
      </patternFill>
    </fill>
    <fill>
      <patternFill patternType="solid">
        <fgColor rgb="FFFFF2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5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8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54"/>
    <col collapsed="false" customWidth="true" hidden="false" outlineLevel="0" max="2" min="2" style="0" width="18"/>
    <col collapsed="false" customWidth="true" hidden="false" outlineLevel="0" max="3" min="3" style="0" width="20"/>
    <col collapsed="false" customWidth="true" hidden="false" outlineLevel="0" max="4" min="4" style="0" width="16"/>
    <col collapsed="false" customWidth="true" hidden="false" outlineLevel="0" max="5" min="5" style="0" width="22"/>
  </cols>
  <sheetData>
    <row r="1" customFormat="false" ht="16.1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</row>
    <row r="5" customFormat="false" ht="15" hidden="false" customHeight="false" outlineLevel="0" collapsed="false">
      <c r="A5" s="4" t="n">
        <v>100</v>
      </c>
      <c r="B5" s="5" t="n">
        <v>260</v>
      </c>
      <c r="C5" s="6" t="n">
        <f aca="false">A5*B5</f>
        <v>26000</v>
      </c>
      <c r="D5" s="7" t="n">
        <f aca="false">MAX(0,MIN(A5,$B$19))</f>
        <v>100</v>
      </c>
      <c r="E5" s="6" t="n">
        <f aca="false">D5*B5</f>
        <v>26000</v>
      </c>
    </row>
    <row r="6" customFormat="false" ht="15" hidden="false" customHeight="false" outlineLevel="0" collapsed="false">
      <c r="A6" s="4" t="n">
        <v>250</v>
      </c>
      <c r="B6" s="5" t="n">
        <v>155</v>
      </c>
      <c r="C6" s="6" t="n">
        <f aca="false">A6*B6</f>
        <v>38750</v>
      </c>
      <c r="D6" s="7" t="n">
        <f aca="false">MAX(0,MIN(A6,$B$19-SUM($A$4:A5)))</f>
        <v>250</v>
      </c>
      <c r="E6" s="6" t="n">
        <f aca="false">D6*B6</f>
        <v>38750</v>
      </c>
    </row>
    <row r="7" customFormat="false" ht="15" hidden="false" customHeight="false" outlineLevel="0" collapsed="false">
      <c r="A7" s="4" t="n">
        <v>550</v>
      </c>
      <c r="B7" s="5" t="n">
        <v>105</v>
      </c>
      <c r="C7" s="6" t="n">
        <f aca="false">A7*B7</f>
        <v>57750</v>
      </c>
      <c r="D7" s="7" t="n">
        <f aca="false">MAX(0,MIN(A7,$B$19-SUM($A$4:A6)))</f>
        <v>550</v>
      </c>
      <c r="E7" s="6" t="n">
        <f aca="false">D7*B7</f>
        <v>57750</v>
      </c>
    </row>
    <row r="8" customFormat="false" ht="15" hidden="false" customHeight="false" outlineLevel="0" collapsed="false">
      <c r="A8" s="4" t="n">
        <v>1100</v>
      </c>
      <c r="B8" s="5" t="n">
        <v>85</v>
      </c>
      <c r="C8" s="6" t="n">
        <f aca="false">A8*B8</f>
        <v>93500</v>
      </c>
      <c r="D8" s="7" t="n">
        <f aca="false">MAX(0,MIN(A8,$B$19-SUM($A$4:A7)))</f>
        <v>1100</v>
      </c>
      <c r="E8" s="6" t="n">
        <f aca="false">D8*B8</f>
        <v>93500</v>
      </c>
    </row>
    <row r="9" customFormat="false" ht="15" hidden="false" customHeight="false" outlineLevel="0" collapsed="false">
      <c r="A9" s="4" t="n">
        <v>1900</v>
      </c>
      <c r="B9" s="5" t="n">
        <v>72</v>
      </c>
      <c r="C9" s="6" t="n">
        <f aca="false">A9*B9</f>
        <v>136800</v>
      </c>
      <c r="D9" s="7" t="n">
        <f aca="false">MAX(0,MIN(A9,$B$19-SUM($A$4:A8)))</f>
        <v>1900</v>
      </c>
      <c r="E9" s="6" t="n">
        <f aca="false">D9*B9</f>
        <v>136800</v>
      </c>
    </row>
    <row r="10" customFormat="false" ht="15" hidden="false" customHeight="false" outlineLevel="0" collapsed="false">
      <c r="A10" s="4" t="n">
        <v>2400</v>
      </c>
      <c r="B10" s="5" t="n">
        <v>63</v>
      </c>
      <c r="C10" s="6" t="n">
        <f aca="false">A10*B10</f>
        <v>151200</v>
      </c>
      <c r="D10" s="7" t="n">
        <f aca="false">MAX(0,MIN(A10,$B$19-SUM($A$4:A9)))</f>
        <v>2400</v>
      </c>
      <c r="E10" s="6" t="n">
        <f aca="false">D10*B10</f>
        <v>151200</v>
      </c>
    </row>
    <row r="11" customFormat="false" ht="15" hidden="false" customHeight="false" outlineLevel="0" collapsed="false">
      <c r="A11" s="4" t="n">
        <v>1700</v>
      </c>
      <c r="B11" s="5" t="n">
        <v>50</v>
      </c>
      <c r="C11" s="6" t="n">
        <f aca="false">A11*B11</f>
        <v>85000</v>
      </c>
      <c r="D11" s="7" t="n">
        <f aca="false">MAX(0,MIN(A11,$B$19-SUM($A$4:A10)))</f>
        <v>1700</v>
      </c>
      <c r="E11" s="6" t="n">
        <f aca="false">D11*B11</f>
        <v>85000</v>
      </c>
    </row>
    <row r="12" customFormat="false" ht="15" hidden="false" customHeight="false" outlineLevel="0" collapsed="false">
      <c r="A12" s="4" t="n">
        <v>760</v>
      </c>
      <c r="B12" s="5" t="n">
        <v>34</v>
      </c>
      <c r="C12" s="6" t="n">
        <f aca="false">A12*B12</f>
        <v>25840</v>
      </c>
      <c r="D12" s="7" t="n">
        <f aca="false">MAX(0,MIN(A12,$B$19-SUM($A$4:A11)))</f>
        <v>0</v>
      </c>
      <c r="E12" s="6" t="n">
        <f aca="false">D12*B12</f>
        <v>0</v>
      </c>
    </row>
    <row r="13" customFormat="false" ht="15" hidden="false" customHeight="false" outlineLevel="0" collapsed="false">
      <c r="A13" s="8" t="n">
        <f aca="false">SUM(A5:A12)</f>
        <v>8760</v>
      </c>
      <c r="C13" s="9" t="n">
        <f aca="false">SUM(C5:C12)</f>
        <v>614840</v>
      </c>
      <c r="D13" s="8" t="n">
        <f aca="false">SUM(D5:D12)</f>
        <v>8000</v>
      </c>
      <c r="E13" s="9" t="n">
        <f aca="false">SUM(E5:E12)</f>
        <v>589000</v>
      </c>
    </row>
    <row r="15" customFormat="false" ht="15" hidden="false" customHeight="false" outlineLevel="0" collapsed="false">
      <c r="A15" s="10" t="s">
        <v>7</v>
      </c>
      <c r="B15" s="11" t="n">
        <f aca="false">C13/A13</f>
        <v>70.1872146118722</v>
      </c>
    </row>
    <row r="16" customFormat="false" ht="15" hidden="false" customHeight="false" outlineLevel="0" collapsed="false">
      <c r="A16" s="12" t="s">
        <v>8</v>
      </c>
      <c r="B16" s="13" t="n">
        <f aca="false">B15</f>
        <v>70.1872146118722</v>
      </c>
    </row>
    <row r="18" customFormat="false" ht="15" hidden="false" customHeight="false" outlineLevel="0" collapsed="false">
      <c r="A18" s="12" t="s">
        <v>9</v>
      </c>
      <c r="B18" s="4" t="n">
        <v>760</v>
      </c>
    </row>
    <row r="19" customFormat="false" ht="15" hidden="false" customHeight="false" outlineLevel="0" collapsed="false">
      <c r="A19" s="12" t="s">
        <v>5</v>
      </c>
      <c r="B19" s="7" t="n">
        <f aca="false">A13-B18</f>
        <v>8000</v>
      </c>
    </row>
    <row r="20" customFormat="false" ht="15" hidden="false" customHeight="false" outlineLevel="0" collapsed="false">
      <c r="A20" s="12" t="s">
        <v>10</v>
      </c>
      <c r="B20" s="6" t="n">
        <f aca="false">E13</f>
        <v>589000</v>
      </c>
    </row>
    <row r="21" customFormat="false" ht="15" hidden="false" customHeight="false" outlineLevel="0" collapsed="false">
      <c r="A21" s="10" t="s">
        <v>11</v>
      </c>
      <c r="B21" s="11" t="n">
        <f aca="false">B20/B19</f>
        <v>73.625</v>
      </c>
    </row>
    <row r="22" customFormat="false" ht="15" hidden="false" customHeight="false" outlineLevel="0" collapsed="false">
      <c r="A22" s="12" t="s">
        <v>12</v>
      </c>
      <c r="B22" s="13" t="n">
        <f aca="false">B21-B16</f>
        <v>3.43778538812785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4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50"/>
    <col collapsed="false" customWidth="true" hidden="false" outlineLevel="0" max="2" min="2" style="0" width="18"/>
    <col collapsed="false" customWidth="true" hidden="false" outlineLevel="0" max="3" min="3" style="0" width="20"/>
    <col collapsed="false" customWidth="true" hidden="false" outlineLevel="0" max="4" min="4" style="0" width="10"/>
    <col collapsed="false" customWidth="true" hidden="false" outlineLevel="0" max="5" min="5" style="0" width="16"/>
    <col collapsed="false" customWidth="true" hidden="false" outlineLevel="0" max="6" min="6" style="0" width="18"/>
    <col collapsed="false" customWidth="true" hidden="false" outlineLevel="0" max="8" min="7" style="0" width="16"/>
    <col collapsed="false" customWidth="true" hidden="false" outlineLevel="0" max="9" min="9" style="0" width="20"/>
  </cols>
  <sheetData>
    <row r="1" customFormat="false" ht="16.15" hidden="false" customHeight="false" outlineLevel="0" collapsed="false">
      <c r="A1" s="1" t="s">
        <v>13</v>
      </c>
    </row>
    <row r="2" customFormat="false" ht="15" hidden="false" customHeight="false" outlineLevel="0" collapsed="false">
      <c r="A2" s="2" t="s">
        <v>14</v>
      </c>
    </row>
    <row r="4" customFormat="false" ht="15" hidden="false" customHeight="false" outlineLevel="0" collapsed="false">
      <c r="A4" s="12" t="s">
        <v>15</v>
      </c>
      <c r="B4" s="4" t="n">
        <v>620</v>
      </c>
    </row>
    <row r="5" customFormat="false" ht="15" hidden="false" customHeight="false" outlineLevel="0" collapsed="false">
      <c r="A5" s="12" t="s">
        <v>16</v>
      </c>
      <c r="B5" s="14" t="n">
        <v>7.2</v>
      </c>
    </row>
    <row r="6" customFormat="false" ht="15" hidden="false" customHeight="false" outlineLevel="0" collapsed="false">
      <c r="A6" s="12" t="s">
        <v>17</v>
      </c>
      <c r="B6" s="5" t="n">
        <v>8.6</v>
      </c>
    </row>
    <row r="7" customFormat="false" ht="15" hidden="false" customHeight="false" outlineLevel="0" collapsed="false">
      <c r="A7" s="12" t="s">
        <v>18</v>
      </c>
      <c r="B7" s="15" t="n">
        <v>3.4</v>
      </c>
    </row>
    <row r="8" customFormat="false" ht="15" hidden="false" customHeight="false" outlineLevel="0" collapsed="false">
      <c r="A8" s="12" t="s">
        <v>19</v>
      </c>
      <c r="B8" s="6" t="n">
        <f aca="false">B5*B6</f>
        <v>61.92</v>
      </c>
    </row>
    <row r="9" customFormat="false" ht="15" hidden="false" customHeight="false" outlineLevel="0" collapsed="false">
      <c r="A9" s="10" t="s">
        <v>20</v>
      </c>
      <c r="B9" s="9" t="n">
        <f aca="false">B8+B7</f>
        <v>65.32</v>
      </c>
    </row>
    <row r="11" customFormat="false" ht="15" hidden="false" customHeight="false" outlineLevel="0" collapsed="false">
      <c r="A11" s="3" t="s">
        <v>2</v>
      </c>
      <c r="B11" s="3" t="s">
        <v>21</v>
      </c>
      <c r="C11" s="3" t="s">
        <v>22</v>
      </c>
      <c r="D11" s="3" t="s">
        <v>23</v>
      </c>
      <c r="E11" s="3" t="s">
        <v>24</v>
      </c>
      <c r="F11" s="3" t="s">
        <v>25</v>
      </c>
      <c r="G11" s="3" t="s">
        <v>26</v>
      </c>
      <c r="H11" s="3" t="s">
        <v>27</v>
      </c>
      <c r="I11" s="3" t="s">
        <v>28</v>
      </c>
    </row>
    <row r="12" customFormat="false" ht="15" hidden="false" customHeight="false" outlineLevel="0" collapsed="false">
      <c r="A12" s="7" t="n">
        <f aca="false">Curve!A5</f>
        <v>100</v>
      </c>
      <c r="B12" s="6" t="n">
        <f aca="false">Curve!B5</f>
        <v>260</v>
      </c>
      <c r="C12" s="7" t="n">
        <f aca="false">Curve!D5</f>
        <v>100</v>
      </c>
      <c r="D12" s="12" t="str">
        <f aca="false">IF(B12&gt;$B$9,"yes","no")</f>
        <v>yes</v>
      </c>
      <c r="E12" s="6" t="n">
        <f aca="false">IF(D12="yes",B12-$B$9,0)</f>
        <v>194.68</v>
      </c>
      <c r="F12" s="6" t="n">
        <f aca="false">C12*E12</f>
        <v>19468</v>
      </c>
      <c r="G12" s="7" t="n">
        <f aca="false">IF(D12="yes",C12*$B$4,0)</f>
        <v>62000</v>
      </c>
      <c r="H12" s="7" t="n">
        <f aca="false">IF(D12="yes",0,C12*$B$4)</f>
        <v>0</v>
      </c>
      <c r="I12" s="6" t="n">
        <f aca="false">H12*B12</f>
        <v>0</v>
      </c>
    </row>
    <row r="13" customFormat="false" ht="15" hidden="false" customHeight="false" outlineLevel="0" collapsed="false">
      <c r="A13" s="7" t="n">
        <f aca="false">Curve!A6</f>
        <v>250</v>
      </c>
      <c r="B13" s="6" t="n">
        <f aca="false">Curve!B6</f>
        <v>155</v>
      </c>
      <c r="C13" s="7" t="n">
        <f aca="false">Curve!D6</f>
        <v>250</v>
      </c>
      <c r="D13" s="12" t="str">
        <f aca="false">IF(B13&gt;$B$9,"yes","no")</f>
        <v>yes</v>
      </c>
      <c r="E13" s="6" t="n">
        <f aca="false">IF(D13="yes",B13-$B$9,0)</f>
        <v>89.68</v>
      </c>
      <c r="F13" s="6" t="n">
        <f aca="false">C13*E13</f>
        <v>22420</v>
      </c>
      <c r="G13" s="7" t="n">
        <f aca="false">IF(D13="yes",C13*$B$4,0)</f>
        <v>155000</v>
      </c>
      <c r="H13" s="7" t="n">
        <f aca="false">IF(D13="yes",0,C13*$B$4)</f>
        <v>0</v>
      </c>
      <c r="I13" s="6" t="n">
        <f aca="false">H13*B13</f>
        <v>0</v>
      </c>
    </row>
    <row r="14" customFormat="false" ht="15" hidden="false" customHeight="false" outlineLevel="0" collapsed="false">
      <c r="A14" s="7" t="n">
        <f aca="false">Curve!A7</f>
        <v>550</v>
      </c>
      <c r="B14" s="6" t="n">
        <f aca="false">Curve!B7</f>
        <v>105</v>
      </c>
      <c r="C14" s="7" t="n">
        <f aca="false">Curve!D7</f>
        <v>550</v>
      </c>
      <c r="D14" s="12" t="str">
        <f aca="false">IF(B14&gt;$B$9,"yes","no")</f>
        <v>yes</v>
      </c>
      <c r="E14" s="6" t="n">
        <f aca="false">IF(D14="yes",B14-$B$9,0)</f>
        <v>39.68</v>
      </c>
      <c r="F14" s="6" t="n">
        <f aca="false">C14*E14</f>
        <v>21824</v>
      </c>
      <c r="G14" s="7" t="n">
        <f aca="false">IF(D14="yes",C14*$B$4,0)</f>
        <v>341000</v>
      </c>
      <c r="H14" s="7" t="n">
        <f aca="false">IF(D14="yes",0,C14*$B$4)</f>
        <v>0</v>
      </c>
      <c r="I14" s="6" t="n">
        <f aca="false">H14*B14</f>
        <v>0</v>
      </c>
    </row>
    <row r="15" customFormat="false" ht="15" hidden="false" customHeight="false" outlineLevel="0" collapsed="false">
      <c r="A15" s="7" t="n">
        <f aca="false">Curve!A8</f>
        <v>1100</v>
      </c>
      <c r="B15" s="6" t="n">
        <f aca="false">Curve!B8</f>
        <v>85</v>
      </c>
      <c r="C15" s="7" t="n">
        <f aca="false">Curve!D8</f>
        <v>1100</v>
      </c>
      <c r="D15" s="12" t="str">
        <f aca="false">IF(B15&gt;$B$9,"yes","no")</f>
        <v>yes</v>
      </c>
      <c r="E15" s="6" t="n">
        <f aca="false">IF(D15="yes",B15-$B$9,0)</f>
        <v>19.68</v>
      </c>
      <c r="F15" s="6" t="n">
        <f aca="false">C15*E15</f>
        <v>21648</v>
      </c>
      <c r="G15" s="7" t="n">
        <f aca="false">IF(D15="yes",C15*$B$4,0)</f>
        <v>682000</v>
      </c>
      <c r="H15" s="7" t="n">
        <f aca="false">IF(D15="yes",0,C15*$B$4)</f>
        <v>0</v>
      </c>
      <c r="I15" s="6" t="n">
        <f aca="false">H15*B15</f>
        <v>0</v>
      </c>
    </row>
    <row r="16" customFormat="false" ht="15" hidden="false" customHeight="false" outlineLevel="0" collapsed="false">
      <c r="A16" s="7" t="n">
        <f aca="false">Curve!A9</f>
        <v>1900</v>
      </c>
      <c r="B16" s="6" t="n">
        <f aca="false">Curve!B9</f>
        <v>72</v>
      </c>
      <c r="C16" s="7" t="n">
        <f aca="false">Curve!D9</f>
        <v>1900</v>
      </c>
      <c r="D16" s="12" t="str">
        <f aca="false">IF(B16&gt;$B$9,"yes","no")</f>
        <v>yes</v>
      </c>
      <c r="E16" s="6" t="n">
        <f aca="false">IF(D16="yes",B16-$B$9,0)</f>
        <v>6.67999999999999</v>
      </c>
      <c r="F16" s="6" t="n">
        <f aca="false">C16*E16</f>
        <v>12692</v>
      </c>
      <c r="G16" s="7" t="n">
        <f aca="false">IF(D16="yes",C16*$B$4,0)</f>
        <v>1178000</v>
      </c>
      <c r="H16" s="7" t="n">
        <f aca="false">IF(D16="yes",0,C16*$B$4)</f>
        <v>0</v>
      </c>
      <c r="I16" s="6" t="n">
        <f aca="false">H16*B16</f>
        <v>0</v>
      </c>
    </row>
    <row r="17" customFormat="false" ht="15" hidden="false" customHeight="false" outlineLevel="0" collapsed="false">
      <c r="A17" s="7" t="n">
        <f aca="false">Curve!A10</f>
        <v>2400</v>
      </c>
      <c r="B17" s="6" t="n">
        <f aca="false">Curve!B10</f>
        <v>63</v>
      </c>
      <c r="C17" s="7" t="n">
        <f aca="false">Curve!D10</f>
        <v>2400</v>
      </c>
      <c r="D17" s="12" t="str">
        <f aca="false">IF(B17&gt;$B$9,"yes","no")</f>
        <v>no</v>
      </c>
      <c r="E17" s="6" t="n">
        <f aca="false">IF(D17="yes",B17-$B$9,0)</f>
        <v>0</v>
      </c>
      <c r="F17" s="6" t="n">
        <f aca="false">C17*E17</f>
        <v>0</v>
      </c>
      <c r="G17" s="7" t="n">
        <f aca="false">IF(D17="yes",C17*$B$4,0)</f>
        <v>0</v>
      </c>
      <c r="H17" s="7" t="n">
        <f aca="false">IF(D17="yes",0,C17*$B$4)</f>
        <v>1488000</v>
      </c>
      <c r="I17" s="6" t="n">
        <f aca="false">H17*B17</f>
        <v>93744000</v>
      </c>
    </row>
    <row r="18" customFormat="false" ht="15" hidden="false" customHeight="false" outlineLevel="0" collapsed="false">
      <c r="A18" s="7" t="n">
        <f aca="false">Curve!A11</f>
        <v>1700</v>
      </c>
      <c r="B18" s="6" t="n">
        <f aca="false">Curve!B11</f>
        <v>50</v>
      </c>
      <c r="C18" s="7" t="n">
        <f aca="false">Curve!D11</f>
        <v>1700</v>
      </c>
      <c r="D18" s="12" t="str">
        <f aca="false">IF(B18&gt;$B$9,"yes","no")</f>
        <v>no</v>
      </c>
      <c r="E18" s="6" t="n">
        <f aca="false">IF(D18="yes",B18-$B$9,0)</f>
        <v>0</v>
      </c>
      <c r="F18" s="6" t="n">
        <f aca="false">C18*E18</f>
        <v>0</v>
      </c>
      <c r="G18" s="7" t="n">
        <f aca="false">IF(D18="yes",C18*$B$4,0)</f>
        <v>0</v>
      </c>
      <c r="H18" s="7" t="n">
        <f aca="false">IF(D18="yes",0,C18*$B$4)</f>
        <v>1054000</v>
      </c>
      <c r="I18" s="6" t="n">
        <f aca="false">H18*B18</f>
        <v>52700000</v>
      </c>
    </row>
    <row r="19" customFormat="false" ht="15" hidden="false" customHeight="false" outlineLevel="0" collapsed="false">
      <c r="A19" s="7" t="n">
        <f aca="false">Curve!A12</f>
        <v>760</v>
      </c>
      <c r="B19" s="6" t="n">
        <f aca="false">Curve!B12</f>
        <v>34</v>
      </c>
      <c r="C19" s="7" t="n">
        <f aca="false">Curve!D12</f>
        <v>0</v>
      </c>
      <c r="D19" s="12" t="str">
        <f aca="false">IF(B19&gt;$B$9,"yes","no")</f>
        <v>no</v>
      </c>
      <c r="E19" s="6" t="n">
        <f aca="false">IF(D19="yes",B19-$B$9,0)</f>
        <v>0</v>
      </c>
      <c r="F19" s="6" t="n">
        <f aca="false">C19*E19</f>
        <v>0</v>
      </c>
      <c r="G19" s="7" t="n">
        <f aca="false">IF(D19="yes",C19*$B$4,0)</f>
        <v>0</v>
      </c>
      <c r="H19" s="7" t="n">
        <f aca="false">IF(D19="yes",0,C19*$B$4)</f>
        <v>0</v>
      </c>
      <c r="I19" s="6" t="n">
        <f aca="false">H19*B19</f>
        <v>0</v>
      </c>
    </row>
    <row r="20" customFormat="false" ht="15" hidden="false" customHeight="false" outlineLevel="0" collapsed="false">
      <c r="A20" s="10" t="s">
        <v>29</v>
      </c>
      <c r="C20" s="8" t="n">
        <f aca="false">SUM(C12:C19)</f>
        <v>8000</v>
      </c>
      <c r="F20" s="9" t="n">
        <f aca="false">SUM(F12:F19)</f>
        <v>98052</v>
      </c>
      <c r="G20" s="8" t="n">
        <f aca="false">SUM(G12:G19)</f>
        <v>2418000</v>
      </c>
      <c r="H20" s="8" t="n">
        <f aca="false">SUM(H12:H19)</f>
        <v>2542000</v>
      </c>
      <c r="I20" s="9" t="n">
        <f aca="false">SUM(I12:I19)</f>
        <v>146444000</v>
      </c>
    </row>
    <row r="21" customFormat="false" ht="15" hidden="false" customHeight="false" outlineLevel="0" collapsed="false">
      <c r="A21" s="12" t="s">
        <v>30</v>
      </c>
      <c r="B21" s="7" t="n">
        <f aca="false">SUMIF(D12:D19,"yes",C12:C19)</f>
        <v>3900</v>
      </c>
    </row>
    <row r="23" customFormat="false" ht="15" hidden="false" customHeight="false" outlineLevel="0" collapsed="false">
      <c r="A23" s="12" t="s">
        <v>31</v>
      </c>
      <c r="B23" s="7" t="n">
        <f aca="false">C20*B4</f>
        <v>4960000</v>
      </c>
    </row>
    <row r="24" customFormat="false" ht="15" hidden="false" customHeight="false" outlineLevel="0" collapsed="false">
      <c r="A24" s="10" t="s">
        <v>32</v>
      </c>
      <c r="B24" s="9" t="n">
        <f aca="false">F20*B4</f>
        <v>60792240</v>
      </c>
    </row>
    <row r="26" customFormat="false" ht="15" hidden="false" customHeight="false" outlineLevel="0" collapsed="false">
      <c r="A26" s="3" t="s">
        <v>33</v>
      </c>
      <c r="B26" s="3" t="s">
        <v>34</v>
      </c>
      <c r="C26" s="3" t="s">
        <v>35</v>
      </c>
    </row>
    <row r="27" customFormat="false" ht="15" hidden="false" customHeight="false" outlineLevel="0" collapsed="false">
      <c r="A27" s="12" t="s">
        <v>36</v>
      </c>
      <c r="B27" s="13" t="n">
        <f aca="false">Curve!B16</f>
        <v>70.1872146118722</v>
      </c>
      <c r="C27" s="6" t="n">
        <f aca="false">($B$23)*(B27-$B$9)</f>
        <v>24141384.4748858</v>
      </c>
    </row>
    <row r="28" customFormat="false" ht="15" hidden="false" customHeight="false" outlineLevel="0" collapsed="false">
      <c r="A28" s="12" t="s">
        <v>37</v>
      </c>
      <c r="B28" s="13" t="n">
        <f aca="false">Curve!B21</f>
        <v>73.625</v>
      </c>
      <c r="C28" s="6" t="n">
        <f aca="false">($B$23)*(B28-$B$9)</f>
        <v>41192800</v>
      </c>
    </row>
    <row r="29" customFormat="false" ht="15" hidden="false" customHeight="false" outlineLevel="0" collapsed="false">
      <c r="A29" s="12" t="s">
        <v>38</v>
      </c>
      <c r="B29" s="13" t="n">
        <f aca="false">Curve!B16</f>
        <v>70.1872146118722</v>
      </c>
      <c r="C29" s="6" t="n">
        <f aca="false">$B$23*B29-G20*$B$9-I20</f>
        <v>43740824.4748859</v>
      </c>
    </row>
    <row r="30" customFormat="false" ht="15" hidden="false" customHeight="false" outlineLevel="0" collapsed="false">
      <c r="A30" s="12" t="s">
        <v>39</v>
      </c>
      <c r="B30" s="13" t="n">
        <f aca="false">Curve!B21</f>
        <v>73.625</v>
      </c>
      <c r="C30" s="6" t="n">
        <f aca="false">$B$23*B30-G20*$B$9-I20</f>
        <v>60792240</v>
      </c>
    </row>
    <row r="31" customFormat="false" ht="15" hidden="false" customHeight="false" outlineLevel="0" collapsed="false">
      <c r="A31" s="10" t="s">
        <v>40</v>
      </c>
      <c r="C31" s="9" t="n">
        <f aca="false">$B$24</f>
        <v>60792240</v>
      </c>
    </row>
    <row r="33" customFormat="false" ht="15" hidden="false" customHeight="false" outlineLevel="0" collapsed="false">
      <c r="A33" s="10" t="s">
        <v>41</v>
      </c>
      <c r="B33" s="9" t="n">
        <f aca="false">C31-C30</f>
        <v>0</v>
      </c>
    </row>
    <row r="34" customFormat="false" ht="15" hidden="false" customHeight="false" outlineLevel="0" collapsed="false">
      <c r="A34" s="12" t="s">
        <v>42</v>
      </c>
      <c r="B34" s="6" t="n">
        <f aca="false">C31-C27</f>
        <v>36650855.5251142</v>
      </c>
    </row>
    <row r="35" customFormat="false" ht="15" hidden="false" customHeight="false" outlineLevel="0" collapsed="false">
      <c r="A35" s="12" t="s">
        <v>43</v>
      </c>
      <c r="B35" s="6" t="n">
        <f aca="false">C28-C27</f>
        <v>17051415.5251141</v>
      </c>
    </row>
    <row r="36" customFormat="false" ht="15" hidden="false" customHeight="false" outlineLevel="0" collapsed="false">
      <c r="A36" s="10" t="s">
        <v>44</v>
      </c>
      <c r="B36" s="9" t="n">
        <f aca="false">C31-C28</f>
        <v>19599440</v>
      </c>
    </row>
    <row r="37" customFormat="false" ht="15" hidden="false" customHeight="false" outlineLevel="0" collapsed="false">
      <c r="A37" s="12" t="s">
        <v>45</v>
      </c>
      <c r="B37" s="16" t="n">
        <f aca="false">B36/C28</f>
        <v>0.475797712221554</v>
      </c>
    </row>
    <row r="38" customFormat="false" ht="15" hidden="false" customHeight="false" outlineLevel="0" collapsed="false">
      <c r="A38" s="12" t="s">
        <v>46</v>
      </c>
      <c r="B38" s="17" t="n">
        <f aca="false">C31/C28</f>
        <v>1.47579771222155</v>
      </c>
    </row>
    <row r="39" customFormat="false" ht="15" hidden="false" customHeight="false" outlineLevel="0" collapsed="false">
      <c r="A39" s="12" t="s">
        <v>47</v>
      </c>
      <c r="B39" s="17" t="n">
        <f aca="false">B34/B36</f>
        <v>1.86999503685381</v>
      </c>
    </row>
    <row r="41" customFormat="false" ht="15" hidden="false" customHeight="false" outlineLevel="0" collapsed="false">
      <c r="A41" s="12" t="s">
        <v>48</v>
      </c>
      <c r="B41" s="4" t="n">
        <v>96</v>
      </c>
    </row>
    <row r="42" customFormat="false" ht="15" hidden="false" customHeight="false" outlineLevel="0" collapsed="false">
      <c r="A42" s="12" t="s">
        <v>49</v>
      </c>
      <c r="B42" s="15" t="n">
        <v>18500</v>
      </c>
    </row>
    <row r="43" customFormat="false" ht="15" hidden="false" customHeight="false" outlineLevel="0" collapsed="false">
      <c r="A43" s="12" t="s">
        <v>50</v>
      </c>
      <c r="B43" s="15" t="n">
        <v>21400000</v>
      </c>
    </row>
    <row r="44" customFormat="false" ht="15" hidden="false" customHeight="false" outlineLevel="0" collapsed="false">
      <c r="A44" s="10" t="s">
        <v>51</v>
      </c>
      <c r="B44" s="9" t="n">
        <f aca="false">C31-B41*B42-B43</f>
        <v>37616240</v>
      </c>
    </row>
    <row r="45" customFormat="false" ht="15" hidden="false" customHeight="false" outlineLevel="0" collapsed="false">
      <c r="A45" s="12" t="s">
        <v>52</v>
      </c>
      <c r="B45" s="6" t="n">
        <f aca="false">C28-B43</f>
        <v>19792800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62"/>
    <col collapsed="false" customWidth="true" hidden="false" outlineLevel="0" max="2" min="2" style="0" width="14"/>
    <col collapsed="false" customWidth="true" hidden="false" outlineLevel="0" max="4" min="3" style="0" width="22"/>
  </cols>
  <sheetData>
    <row r="1" customFormat="false" ht="16.15" hidden="false" customHeight="false" outlineLevel="0" collapsed="false">
      <c r="A1" s="1" t="s">
        <v>53</v>
      </c>
    </row>
    <row r="2" customFormat="false" ht="15" hidden="false" customHeight="false" outlineLevel="0" collapsed="false">
      <c r="A2" s="18" t="s">
        <v>54</v>
      </c>
    </row>
    <row r="4" customFormat="false" ht="15" hidden="false" customHeight="false" outlineLevel="0" collapsed="false">
      <c r="A4" s="19" t="s">
        <v>55</v>
      </c>
      <c r="B4" s="19" t="s">
        <v>21</v>
      </c>
      <c r="C4" s="19" t="s">
        <v>56</v>
      </c>
      <c r="D4" s="20" t="s">
        <v>57</v>
      </c>
    </row>
    <row r="5" customFormat="false" ht="15" hidden="false" customHeight="false" outlineLevel="0" collapsed="false">
      <c r="A5" s="7" t="n">
        <f aca="false">Curve!A5</f>
        <v>100</v>
      </c>
      <c r="B5" s="6" t="n">
        <f aca="false">Curve!B5</f>
        <v>260</v>
      </c>
      <c r="C5" s="7" t="n">
        <f aca="false">MAX(0,MIN(A5,Curve!$B$18))</f>
        <v>100</v>
      </c>
      <c r="D5" s="6" t="n">
        <f aca="false">C5*MAX(0,B5-Plant!$B$9)</f>
        <v>19468</v>
      </c>
    </row>
    <row r="6" customFormat="false" ht="15" hidden="false" customHeight="false" outlineLevel="0" collapsed="false">
      <c r="A6" s="7" t="n">
        <f aca="false">Curve!A6</f>
        <v>250</v>
      </c>
      <c r="B6" s="6" t="n">
        <f aca="false">Curve!B6</f>
        <v>155</v>
      </c>
      <c r="C6" s="7" t="n">
        <f aca="false">MAX(0,MIN(A6,Curve!$B$18-SUM($A$4:A5)))</f>
        <v>250</v>
      </c>
      <c r="D6" s="6" t="n">
        <f aca="false">C6*MAX(0,B6-Plant!$B$9)</f>
        <v>22420</v>
      </c>
    </row>
    <row r="7" customFormat="false" ht="15" hidden="false" customHeight="false" outlineLevel="0" collapsed="false">
      <c r="A7" s="7" t="n">
        <f aca="false">Curve!A7</f>
        <v>550</v>
      </c>
      <c r="B7" s="6" t="n">
        <f aca="false">Curve!B7</f>
        <v>105</v>
      </c>
      <c r="C7" s="7" t="n">
        <f aca="false">MAX(0,MIN(A7,Curve!$B$18-SUM($A$4:A6)))</f>
        <v>410</v>
      </c>
      <c r="D7" s="6" t="n">
        <f aca="false">C7*MAX(0,B7-Plant!$B$9)</f>
        <v>16268.8</v>
      </c>
    </row>
    <row r="8" customFormat="false" ht="15" hidden="false" customHeight="false" outlineLevel="0" collapsed="false">
      <c r="A8" s="7" t="n">
        <f aca="false">Curve!A8</f>
        <v>1100</v>
      </c>
      <c r="B8" s="6" t="n">
        <f aca="false">Curve!B8</f>
        <v>85</v>
      </c>
      <c r="C8" s="7" t="n">
        <f aca="false">MAX(0,MIN(A8,Curve!$B$18-SUM($A$4:A7)))</f>
        <v>0</v>
      </c>
      <c r="D8" s="6" t="n">
        <f aca="false">C8*MAX(0,B8-Plant!$B$9)</f>
        <v>0</v>
      </c>
    </row>
    <row r="9" customFormat="false" ht="15" hidden="false" customHeight="false" outlineLevel="0" collapsed="false">
      <c r="A9" s="7" t="n">
        <f aca="false">Curve!A9</f>
        <v>1900</v>
      </c>
      <c r="B9" s="6" t="n">
        <f aca="false">Curve!B9</f>
        <v>72</v>
      </c>
      <c r="C9" s="7" t="n">
        <f aca="false">MAX(0,MIN(A9,Curve!$B$18-SUM($A$4:A8)))</f>
        <v>0</v>
      </c>
      <c r="D9" s="6" t="n">
        <f aca="false">C9*MAX(0,B9-Plant!$B$9)</f>
        <v>0</v>
      </c>
    </row>
    <row r="10" customFormat="false" ht="15" hidden="false" customHeight="false" outlineLevel="0" collapsed="false">
      <c r="A10" s="7" t="n">
        <f aca="false">Curve!A10</f>
        <v>2400</v>
      </c>
      <c r="B10" s="6" t="n">
        <f aca="false">Curve!B10</f>
        <v>63</v>
      </c>
      <c r="C10" s="7" t="n">
        <f aca="false">MAX(0,MIN(A10,Curve!$B$18-SUM($A$4:A9)))</f>
        <v>0</v>
      </c>
      <c r="D10" s="6" t="n">
        <f aca="false">C10*MAX(0,B10-Plant!$B$9)</f>
        <v>0</v>
      </c>
    </row>
    <row r="11" customFormat="false" ht="15" hidden="false" customHeight="false" outlineLevel="0" collapsed="false">
      <c r="A11" s="7" t="n">
        <f aca="false">Curve!A11</f>
        <v>1700</v>
      </c>
      <c r="B11" s="6" t="n">
        <f aca="false">Curve!B11</f>
        <v>50</v>
      </c>
      <c r="C11" s="7" t="n">
        <f aca="false">MAX(0,MIN(A11,Curve!$B$18-SUM($A$4:A10)))</f>
        <v>0</v>
      </c>
      <c r="D11" s="6" t="n">
        <f aca="false">C11*MAX(0,B11-Plant!$B$9)</f>
        <v>0</v>
      </c>
    </row>
    <row r="12" customFormat="false" ht="15" hidden="false" customHeight="false" outlineLevel="0" collapsed="false">
      <c r="A12" s="7" t="n">
        <f aca="false">Curve!A12</f>
        <v>760</v>
      </c>
      <c r="B12" s="6" t="n">
        <f aca="false">Curve!B12</f>
        <v>34</v>
      </c>
      <c r="C12" s="7" t="n">
        <f aca="false">MAX(0,MIN(A12,Curve!$B$18-SUM($A$4:A11)))</f>
        <v>0</v>
      </c>
      <c r="D12" s="6" t="n">
        <f aca="false">C12*MAX(0,B12-Plant!$B$9)</f>
        <v>0</v>
      </c>
    </row>
    <row r="14" customFormat="false" ht="15" hidden="false" customHeight="false" outlineLevel="0" collapsed="false">
      <c r="A14" s="12" t="s">
        <v>58</v>
      </c>
      <c r="D14" s="6" t="n">
        <f aca="false">SUM(D5:D12)</f>
        <v>58156.8</v>
      </c>
    </row>
    <row r="15" customFormat="false" ht="15" hidden="false" customHeight="false" outlineLevel="0" collapsed="false">
      <c r="A15" s="10" t="s">
        <v>59</v>
      </c>
      <c r="D15" s="9" t="n">
        <f aca="false">D14*Plant!B4</f>
        <v>36057216</v>
      </c>
    </row>
    <row r="16" customFormat="false" ht="15" hidden="false" customHeight="false" outlineLevel="0" collapsed="false">
      <c r="A16" s="10" t="s">
        <v>60</v>
      </c>
      <c r="D16" s="21" t="n">
        <f aca="false">D15/Plant!C31</f>
        <v>0.593122016888998</v>
      </c>
    </row>
    <row r="17" customFormat="false" ht="15" hidden="false" customHeight="false" outlineLevel="0" collapsed="false">
      <c r="A17" s="12" t="s">
        <v>61</v>
      </c>
      <c r="D17" s="6" t="n">
        <f aca="false">Plant!C31-D15</f>
        <v>24735024</v>
      </c>
    </row>
    <row r="18" customFormat="false" ht="15" hidden="false" customHeight="false" outlineLevel="0" collapsed="false">
      <c r="A18" s="12" t="s">
        <v>62</v>
      </c>
      <c r="D18" s="6" t="n">
        <f aca="false">Plant!C28-D17</f>
        <v>16457776</v>
      </c>
    </row>
    <row r="19" customFormat="false" ht="15" hidden="false" customHeight="false" outlineLevel="0" collapsed="false">
      <c r="A19" s="12" t="s">
        <v>63</v>
      </c>
      <c r="D19" s="6" t="n">
        <f aca="false">D17-Plant!B41*Plant!B42-Plant!B43</f>
        <v>1559023.99999999</v>
      </c>
    </row>
    <row r="20" customFormat="false" ht="15" hidden="false" customHeight="false" outlineLevel="0" collapsed="false">
      <c r="A20" s="12" t="s">
        <v>64</v>
      </c>
      <c r="D20" s="17" t="n">
        <f aca="false">D15/Plant!B36</f>
        <v>1.83970644059218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62"/>
    <col collapsed="false" customWidth="true" hidden="false" outlineLevel="0" max="2" min="2" style="0" width="16"/>
    <col collapsed="false" customWidth="true" hidden="false" outlineLevel="0" max="3" min="3" style="0" width="20"/>
    <col collapsed="false" customWidth="true" hidden="false" outlineLevel="0" max="5" min="4" style="0" width="18"/>
    <col collapsed="false" customWidth="true" hidden="false" outlineLevel="0" max="6" min="6" style="0" width="22"/>
  </cols>
  <sheetData>
    <row r="1" customFormat="false" ht="16.15" hidden="false" customHeight="false" outlineLevel="0" collapsed="false">
      <c r="A1" s="1" t="s">
        <v>65</v>
      </c>
    </row>
    <row r="2" customFormat="false" ht="15" hidden="false" customHeight="false" outlineLevel="0" collapsed="false">
      <c r="A2" s="18" t="s">
        <v>66</v>
      </c>
    </row>
    <row r="4" customFormat="false" ht="23.85" hidden="false" customHeight="false" outlineLevel="0" collapsed="false">
      <c r="A4" s="20" t="s">
        <v>67</v>
      </c>
      <c r="B4" s="20" t="s">
        <v>68</v>
      </c>
      <c r="C4" s="20" t="s">
        <v>69</v>
      </c>
      <c r="D4" s="20" t="s">
        <v>70</v>
      </c>
      <c r="E4" s="20" t="s">
        <v>71</v>
      </c>
      <c r="F4" s="20" t="s">
        <v>72</v>
      </c>
    </row>
    <row r="5" customFormat="false" ht="15" hidden="false" customHeight="false" outlineLevel="0" collapsed="false">
      <c r="A5" s="7" t="n">
        <f aca="false">IF(Plant!D12="yes",SUMIF(Plant!D$12:D12,"yes",Plant!C$12:C12),"")</f>
        <v>100</v>
      </c>
      <c r="B5" s="6" t="n">
        <f aca="false">IF(Plant!D12="yes",Plant!B12,"")</f>
        <v>260</v>
      </c>
      <c r="C5" s="6" t="n">
        <f aca="false">IF(Plant!D12="yes",SUMIF(Plant!D$12:D12,"yes",Plant!F$12:F12)*Plant!$B$4,"")</f>
        <v>12070160</v>
      </c>
      <c r="D5" s="16" t="n">
        <f aca="false">IF(Plant!D12="yes",C5/Plant!$B$24,"")</f>
        <v>0.198547709378697</v>
      </c>
      <c r="E5" s="16" t="n">
        <f aca="false">IF(Plant!D12="yes",A5/Plant!$C$20,"")</f>
        <v>0.0125</v>
      </c>
      <c r="F5" s="6" t="n">
        <f aca="false">IF(Plant!D12="yes",Plant!F12*Plant!$B$4/Plant!C12,"")</f>
        <v>120701.6</v>
      </c>
    </row>
    <row r="6" customFormat="false" ht="15" hidden="false" customHeight="false" outlineLevel="0" collapsed="false">
      <c r="A6" s="7" t="n">
        <f aca="false">IF(Plant!D13="yes",SUMIF(Plant!D$12:D13,"yes",Plant!C$12:C13),"")</f>
        <v>350</v>
      </c>
      <c r="B6" s="6" t="n">
        <f aca="false">IF(Plant!D13="yes",Plant!B13,"")</f>
        <v>155</v>
      </c>
      <c r="C6" s="6" t="n">
        <f aca="false">IF(Plant!D13="yes",SUMIF(Plant!D$12:D13,"yes",Plant!F$12:F13)*Plant!$B$4,"")</f>
        <v>25970560</v>
      </c>
      <c r="D6" s="16" t="n">
        <f aca="false">IF(Plant!D13="yes",C6/Plant!$B$24,"")</f>
        <v>0.427201892873169</v>
      </c>
      <c r="E6" s="16" t="n">
        <f aca="false">IF(Plant!D13="yes",A6/Plant!$C$20,"")</f>
        <v>0.04375</v>
      </c>
      <c r="F6" s="6" t="n">
        <f aca="false">IF(Plant!D13="yes",Plant!F13*Plant!$B$4/Plant!C13,"")</f>
        <v>55601.6</v>
      </c>
    </row>
    <row r="7" customFormat="false" ht="15" hidden="false" customHeight="false" outlineLevel="0" collapsed="false">
      <c r="A7" s="7" t="n">
        <f aca="false">IF(Plant!D14="yes",SUMIF(Plant!D$12:D14,"yes",Plant!C$12:C14),"")</f>
        <v>900</v>
      </c>
      <c r="B7" s="6" t="n">
        <f aca="false">IF(Plant!D14="yes",Plant!B14,"")</f>
        <v>105</v>
      </c>
      <c r="C7" s="6" t="n">
        <f aca="false">IF(Plant!D14="yes",SUMIF(Plant!D$12:D14,"yes",Plant!F$12:F14)*Plant!$B$4,"")</f>
        <v>39501440</v>
      </c>
      <c r="D7" s="16" t="n">
        <f aca="false">IF(Plant!D14="yes",C7/Plant!$B$24,"")</f>
        <v>0.649777668991963</v>
      </c>
      <c r="E7" s="16" t="n">
        <f aca="false">IF(Plant!D14="yes",A7/Plant!$C$20,"")</f>
        <v>0.1125</v>
      </c>
      <c r="F7" s="6" t="n">
        <f aca="false">IF(Plant!D14="yes",Plant!F14*Plant!$B$4/Plant!C14,"")</f>
        <v>24601.6</v>
      </c>
    </row>
    <row r="8" customFormat="false" ht="15" hidden="false" customHeight="false" outlineLevel="0" collapsed="false">
      <c r="A8" s="7" t="n">
        <f aca="false">IF(Plant!D15="yes",SUMIF(Plant!D$12:D15,"yes",Plant!C$12:C15),"")</f>
        <v>2000</v>
      </c>
      <c r="B8" s="6" t="n">
        <f aca="false">IF(Plant!D15="yes",Plant!B15,"")</f>
        <v>85</v>
      </c>
      <c r="C8" s="6" t="n">
        <f aca="false">IF(Plant!D15="yes",SUMIF(Plant!D$12:D15,"yes",Plant!F$12:F15)*Plant!$B$4,"")</f>
        <v>52923200</v>
      </c>
      <c r="D8" s="16" t="n">
        <f aca="false">IF(Plant!D15="yes",C8/Plant!$B$24,"")</f>
        <v>0.870558479174316</v>
      </c>
      <c r="E8" s="16" t="n">
        <f aca="false">IF(Plant!D15="yes",A8/Plant!$C$20,"")</f>
        <v>0.25</v>
      </c>
      <c r="F8" s="6" t="n">
        <f aca="false">IF(Plant!D15="yes",Plant!F15*Plant!$B$4/Plant!C15,"")</f>
        <v>12201.6</v>
      </c>
    </row>
    <row r="9" customFormat="false" ht="15" hidden="false" customHeight="false" outlineLevel="0" collapsed="false">
      <c r="A9" s="7" t="n">
        <f aca="false">IF(Plant!D16="yes",SUMIF(Plant!D$12:D16,"yes",Plant!C$12:C16),"")</f>
        <v>3900</v>
      </c>
      <c r="B9" s="6" t="n">
        <f aca="false">IF(Plant!D16="yes",Plant!B16,"")</f>
        <v>72</v>
      </c>
      <c r="C9" s="6" t="n">
        <f aca="false">IF(Plant!D16="yes",SUMIF(Plant!D$12:D16,"yes",Plant!F$12:F16)*Plant!$B$4,"")</f>
        <v>60792240</v>
      </c>
      <c r="D9" s="16" t="n">
        <f aca="false">IF(Plant!D16="yes",C9/Plant!$B$24,"")</f>
        <v>1</v>
      </c>
      <c r="E9" s="16" t="n">
        <f aca="false">IF(Plant!D16="yes",A9/Plant!$C$20,"")</f>
        <v>0.4875</v>
      </c>
      <c r="F9" s="6" t="n">
        <f aca="false">IF(Plant!D16="yes",Plant!F16*Plant!$B$4/Plant!C16,"")</f>
        <v>4141.6</v>
      </c>
    </row>
    <row r="10" customFormat="false" ht="15" hidden="false" customHeight="false" outlineLevel="0" collapsed="false">
      <c r="A10" s="7" t="str">
        <f aca="false">IF(Plant!D17="yes",SUMIF(Plant!D$12:D17,"yes",Plant!C$12:C17),"")</f>
        <v/>
      </c>
      <c r="B10" s="6" t="str">
        <f aca="false">IF(Plant!D17="yes",Plant!B17,"")</f>
        <v/>
      </c>
      <c r="C10" s="6" t="str">
        <f aca="false">IF(Plant!D17="yes",SUMIF(Plant!D$12:D17,"yes",Plant!F$12:F17)*Plant!$B$4,"")</f>
        <v/>
      </c>
      <c r="D10" s="16" t="str">
        <f aca="false">IF(Plant!D17="yes",C10/Plant!$B$24,"")</f>
        <v/>
      </c>
      <c r="E10" s="16" t="str">
        <f aca="false">IF(Plant!D17="yes",A10/Plant!$C$20,"")</f>
        <v/>
      </c>
      <c r="F10" s="6" t="str">
        <f aca="false">IF(Plant!D17="yes",Plant!F17*Plant!$B$4/Plant!C17,"")</f>
        <v/>
      </c>
    </row>
    <row r="11" customFormat="false" ht="15" hidden="false" customHeight="false" outlineLevel="0" collapsed="false">
      <c r="A11" s="7" t="str">
        <f aca="false">IF(Plant!D18="yes",SUMIF(Plant!D$12:D18,"yes",Plant!C$12:C18),"")</f>
        <v/>
      </c>
      <c r="B11" s="6" t="str">
        <f aca="false">IF(Plant!D18="yes",Plant!B18,"")</f>
        <v/>
      </c>
      <c r="C11" s="6" t="str">
        <f aca="false">IF(Plant!D18="yes",SUMIF(Plant!D$12:D18,"yes",Plant!F$12:F18)*Plant!$B$4,"")</f>
        <v/>
      </c>
      <c r="D11" s="16" t="str">
        <f aca="false">IF(Plant!D18="yes",C11/Plant!$B$24,"")</f>
        <v/>
      </c>
      <c r="E11" s="16" t="str">
        <f aca="false">IF(Plant!D18="yes",A11/Plant!$C$20,"")</f>
        <v/>
      </c>
      <c r="F11" s="6" t="str">
        <f aca="false">IF(Plant!D18="yes",Plant!F18*Plant!$B$4/Plant!C18,"")</f>
        <v/>
      </c>
    </row>
    <row r="12" customFormat="false" ht="15" hidden="false" customHeight="false" outlineLevel="0" collapsed="false">
      <c r="A12" s="7" t="str">
        <f aca="false">IF(Plant!D19="yes",SUMIF(Plant!D$12:D19,"yes",Plant!C$12:C19),"")</f>
        <v/>
      </c>
      <c r="B12" s="6" t="str">
        <f aca="false">IF(Plant!D19="yes",Plant!B19,"")</f>
        <v/>
      </c>
      <c r="C12" s="6" t="str">
        <f aca="false">IF(Plant!D19="yes",SUMIF(Plant!D$12:D19,"yes",Plant!F$12:F19)*Plant!$B$4,"")</f>
        <v/>
      </c>
      <c r="D12" s="16" t="str">
        <f aca="false">IF(Plant!D19="yes",C12/Plant!$B$24,"")</f>
        <v/>
      </c>
      <c r="E12" s="16" t="str">
        <f aca="false">IF(Plant!D19="yes",A12/Plant!$C$20,"")</f>
        <v/>
      </c>
      <c r="F12" s="6" t="str">
        <f aca="false">IF(Plant!D19="yes",Plant!F19*Plant!$B$4/Plant!C19,"")</f>
        <v/>
      </c>
    </row>
    <row r="14" customFormat="false" ht="15" hidden="false" customHeight="false" outlineLevel="0" collapsed="false">
      <c r="A14" s="12" t="s">
        <v>73</v>
      </c>
      <c r="B14" s="17" t="n">
        <f aca="false">MAX(F5:F12)/MIN(F5:F12)</f>
        <v>29.1437125748503</v>
      </c>
    </row>
    <row r="15" customFormat="false" ht="15" hidden="false" customHeight="false" outlineLevel="0" collapsed="false">
      <c r="A15" s="12" t="s">
        <v>74</v>
      </c>
      <c r="B15" s="6" t="n">
        <f aca="false">Plant!B24/Plant!B21</f>
        <v>15587.7538461538</v>
      </c>
    </row>
    <row r="16" customFormat="false" ht="15" hidden="false" customHeight="false" outlineLevel="0" collapsed="false">
      <c r="A16" s="12" t="s">
        <v>75</v>
      </c>
      <c r="B16" s="16" t="n">
        <f aca="false">Plant!C20/Curve!A13</f>
        <v>0.91324200913242</v>
      </c>
    </row>
    <row r="17" customFormat="false" ht="15" hidden="false" customHeight="false" outlineLevel="0" collapsed="false">
      <c r="A17" s="12" t="s">
        <v>76</v>
      </c>
      <c r="B17" s="16" t="n">
        <f aca="false">Plant!B21/Plant!C20</f>
        <v>0.4875</v>
      </c>
    </row>
    <row r="18" customFormat="false" ht="15" hidden="false" customHeight="false" outlineLevel="0" collapsed="false">
      <c r="A18" s="12" t="s">
        <v>77</v>
      </c>
      <c r="B18" s="6" t="n">
        <f aca="false">0.01*Plant!C20*MAX(0,Curve!B5-Plant!B9)*Plant!B4</f>
        <v>9656128</v>
      </c>
    </row>
    <row r="19" customFormat="false" ht="15" hidden="false" customHeight="false" outlineLevel="0" collapsed="false">
      <c r="A19" s="12" t="s">
        <v>78</v>
      </c>
      <c r="B19" s="7" t="n">
        <f aca="false">0.01*Plant!C20</f>
        <v>80</v>
      </c>
    </row>
    <row r="20" customFormat="false" ht="15" hidden="false" customHeight="false" outlineLevel="0" collapsed="false">
      <c r="A20" s="12" t="s">
        <v>79</v>
      </c>
      <c r="B20" s="6" t="n">
        <f aca="false">0.01*Curve!A13</f>
        <v>87.6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72"/>
    <col collapsed="false" customWidth="true" hidden="false" outlineLevel="0" max="2" min="2" style="0" width="20"/>
  </cols>
  <sheetData>
    <row r="1" customFormat="false" ht="16.15" hidden="false" customHeight="false" outlineLevel="0" collapsed="false">
      <c r="A1" s="1" t="s">
        <v>80</v>
      </c>
    </row>
    <row r="2" customFormat="false" ht="15" hidden="false" customHeight="false" outlineLevel="0" collapsed="false">
      <c r="A2" s="18" t="s">
        <v>81</v>
      </c>
    </row>
    <row r="4" customFormat="false" ht="15" hidden="false" customHeight="false" outlineLevel="0" collapsed="false">
      <c r="A4" s="12" t="s">
        <v>82</v>
      </c>
      <c r="B4" s="7" t="n">
        <f aca="false">Plant!H20</f>
        <v>2542000</v>
      </c>
    </row>
    <row r="5" customFormat="false" ht="15" hidden="false" customHeight="false" outlineLevel="0" collapsed="false">
      <c r="A5" s="12" t="s">
        <v>83</v>
      </c>
      <c r="B5" s="6" t="n">
        <f aca="false">Plant!I20</f>
        <v>146444000</v>
      </c>
    </row>
    <row r="6" customFormat="false" ht="15" hidden="false" customHeight="false" outlineLevel="0" collapsed="false">
      <c r="A6" s="12" t="s">
        <v>84</v>
      </c>
      <c r="B6" s="13" t="n">
        <f aca="false">B5/B4</f>
        <v>57.609756097561</v>
      </c>
    </row>
    <row r="7" customFormat="false" ht="15" hidden="false" customHeight="false" outlineLevel="0" collapsed="false">
      <c r="A7" s="12" t="s">
        <v>85</v>
      </c>
      <c r="B7" s="13" t="n">
        <f aca="false">Curve!B16</f>
        <v>70.1872146118722</v>
      </c>
    </row>
    <row r="8" customFormat="false" ht="15" hidden="false" customHeight="false" outlineLevel="0" collapsed="false">
      <c r="A8" s="10" t="s">
        <v>86</v>
      </c>
      <c r="B8" s="9" t="n">
        <f aca="false">B4*B7-B5</f>
        <v>31971899.543379</v>
      </c>
    </row>
    <row r="9" customFormat="false" ht="15" hidden="false" customHeight="false" outlineLevel="0" collapsed="false">
      <c r="A9" s="12" t="s">
        <v>87</v>
      </c>
      <c r="B9" s="13" t="n">
        <f aca="false">B8/B4</f>
        <v>12.5774585143112</v>
      </c>
    </row>
    <row r="10" customFormat="false" ht="15" hidden="false" customHeight="false" outlineLevel="0" collapsed="false">
      <c r="A10" s="12" t="s">
        <v>88</v>
      </c>
      <c r="B10" s="6" t="n">
        <f aca="false">SUMPRODUCT((Plant!D12:D19="yes")*Plant!C12:C19*Plant!B12:B19)*Plant!B4</f>
        <v>218736000</v>
      </c>
    </row>
    <row r="11" customFormat="false" ht="15" hidden="false" customHeight="false" outlineLevel="0" collapsed="false">
      <c r="A11" s="12" t="s">
        <v>89</v>
      </c>
      <c r="B11" s="6" t="n">
        <f aca="false">Plant!G20*Curve!B16</f>
        <v>169712684.931507</v>
      </c>
    </row>
    <row r="12" customFormat="false" ht="15" hidden="false" customHeight="false" outlineLevel="0" collapsed="false">
      <c r="A12" s="10" t="s">
        <v>90</v>
      </c>
      <c r="B12" s="9" t="n">
        <f aca="false">B10-B11</f>
        <v>49023315.0684931</v>
      </c>
    </row>
    <row r="13" customFormat="false" ht="15" hidden="false" customHeight="false" outlineLevel="0" collapsed="false">
      <c r="A13" s="12" t="s">
        <v>87</v>
      </c>
      <c r="B13" s="13" t="n">
        <f aca="false">B12/Plant!G20</f>
        <v>20.2743238496663</v>
      </c>
    </row>
    <row r="14" customFormat="false" ht="15" hidden="false" customHeight="false" outlineLevel="0" collapsed="false">
      <c r="A14" s="10" t="s">
        <v>91</v>
      </c>
      <c r="B14" s="9" t="n">
        <f aca="false">B12-B8</f>
        <v>17051415.5251141</v>
      </c>
    </row>
    <row r="15" customFormat="false" ht="15" hidden="false" customHeight="false" outlineLevel="0" collapsed="false">
      <c r="A15" s="10" t="s">
        <v>92</v>
      </c>
    </row>
    <row r="16" customFormat="false" ht="15" hidden="false" customHeight="false" outlineLevel="0" collapsed="false">
      <c r="A16" s="12" t="s">
        <v>93</v>
      </c>
      <c r="B16" s="13" t="n">
        <f aca="false">(Curve!B16-Plant!B7)/Plant!B5</f>
        <v>9.27600202942669</v>
      </c>
    </row>
    <row r="17" customFormat="false" ht="15" hidden="false" customHeight="false" outlineLevel="0" collapsed="false">
      <c r="A17" s="12" t="s">
        <v>94</v>
      </c>
      <c r="B17" s="13" t="n">
        <f aca="false">B16-Plant!B6</f>
        <v>0.676002029426687</v>
      </c>
    </row>
    <row r="18" customFormat="false" ht="15" hidden="false" customHeight="false" outlineLevel="0" collapsed="false">
      <c r="A18" s="12" t="s">
        <v>95</v>
      </c>
      <c r="B18" s="16" t="n">
        <f aca="false">B17/Plant!B6</f>
        <v>0.0786048871426381</v>
      </c>
    </row>
    <row r="19" customFormat="false" ht="15" hidden="false" customHeight="false" outlineLevel="0" collapsed="false">
      <c r="A19" s="12" t="s">
        <v>96</v>
      </c>
      <c r="B19" s="13" t="n">
        <f aca="false">(MIN(Concentration!B5:B12)-Plant!B9)/Plant!B5</f>
        <v>0.927777777777777</v>
      </c>
    </row>
    <row r="20" customFormat="false" ht="15" hidden="false" customHeight="false" outlineLevel="0" collapsed="false">
      <c r="A20" s="12" t="s">
        <v>97</v>
      </c>
      <c r="B20" s="6" t="n">
        <f aca="false">SUMIF(Plant!B12:B19,MIN(Concentration!B5:B12),Plant!F12:F19)*Plant!B4</f>
        <v>7869039.99999999</v>
      </c>
    </row>
    <row r="21" customFormat="false" ht="15" hidden="false" customHeight="false" outlineLevel="0" collapsed="false">
      <c r="A21" s="12" t="s">
        <v>98</v>
      </c>
      <c r="B21" s="16" t="n">
        <f aca="false">B20/Plant!C31</f>
        <v>0.129441520825684</v>
      </c>
    </row>
    <row r="22" customFormat="false" ht="15" hidden="false" customHeight="false" outlineLevel="0" collapsed="false">
      <c r="A22" s="12" t="s">
        <v>99</v>
      </c>
      <c r="B22" s="6" t="n">
        <f aca="false">Plant!B9-SUMPRODUCT(MAX((Plant!D12:D19="no")*(Plant!C12:C19&gt;0)*Plant!B12:B19))</f>
        <v>2.32000000000001</v>
      </c>
    </row>
    <row r="23" customFormat="false" ht="15" hidden="false" customHeight="false" outlineLevel="0" collapsed="false">
      <c r="A23" s="10" t="s">
        <v>100</v>
      </c>
    </row>
    <row r="24" customFormat="false" ht="15" hidden="false" customHeight="false" outlineLevel="0" collapsed="false">
      <c r="A24" s="12" t="s">
        <v>101</v>
      </c>
      <c r="B24" s="6" t="n">
        <f aca="false">Plant!B44-Plant!B45</f>
        <v>17823440</v>
      </c>
    </row>
    <row r="25" customFormat="false" ht="15" hidden="false" customHeight="false" outlineLevel="0" collapsed="false">
      <c r="A25" s="12" t="s">
        <v>102</v>
      </c>
      <c r="B25" s="13" t="n">
        <f aca="false">B24/Plant!B42</f>
        <v>963.42918918919</v>
      </c>
    </row>
    <row r="26" customFormat="false" ht="15" hidden="false" customHeight="false" outlineLevel="0" collapsed="false">
      <c r="A26" s="12" t="s">
        <v>103</v>
      </c>
      <c r="B26" s="13" t="n">
        <f aca="false">B25+Plant!B41</f>
        <v>1059.42918918919</v>
      </c>
    </row>
    <row r="27" customFormat="false" ht="15" hidden="false" customHeight="false" outlineLevel="0" collapsed="false">
      <c r="A27" s="12" t="s">
        <v>104</v>
      </c>
      <c r="B27" s="13" t="n">
        <f aca="false">Plant!B21/B26</f>
        <v>3.68122762691179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6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66"/>
    <col collapsed="false" customWidth="true" hidden="false" outlineLevel="0" max="3" min="2" style="0" width="20"/>
    <col collapsed="false" customWidth="true" hidden="false" outlineLevel="0" max="4" min="4" style="0" width="9"/>
    <col collapsed="false" customWidth="true" hidden="false" outlineLevel="0" max="5" min="5" style="0" width="48"/>
    <col collapsed="false" customWidth="true" hidden="false" outlineLevel="0" max="6" min="6" style="0" width="2"/>
  </cols>
  <sheetData>
    <row r="1" customFormat="false" ht="16.15" hidden="false" customHeight="false" outlineLevel="0" collapsed="false">
      <c r="A1" s="1" t="s">
        <v>105</v>
      </c>
    </row>
    <row r="2" customFormat="false" ht="15" hidden="false" customHeight="false" outlineLevel="0" collapsed="false">
      <c r="A2" s="18" t="s">
        <v>106</v>
      </c>
    </row>
    <row r="4" customFormat="false" ht="15" hidden="false" customHeight="false" outlineLevel="0" collapsed="false">
      <c r="A4" s="20" t="s">
        <v>107</v>
      </c>
      <c r="B4" s="20" t="s">
        <v>108</v>
      </c>
      <c r="C4" s="20" t="s">
        <v>109</v>
      </c>
      <c r="D4" s="20" t="s">
        <v>110</v>
      </c>
      <c r="E4" s="20" t="s">
        <v>111</v>
      </c>
    </row>
    <row r="5" customFormat="false" ht="15" hidden="false" customHeight="false" outlineLevel="0" collapsed="false">
      <c r="A5" s="12" t="s">
        <v>112</v>
      </c>
      <c r="B5" s="6" t="n">
        <v>65.32</v>
      </c>
      <c r="C5" s="6" t="n">
        <f aca="false">Plant!B9</f>
        <v>65.32</v>
      </c>
      <c r="D5" s="10" t="str">
        <f aca="false">IF(ISNUMBER(C5)=FALSE(),"CHECK",IF(ABS(C5-B5)&lt;=0.005,"OK","CHECK"))</f>
        <v>OK</v>
      </c>
      <c r="E5" s="18" t="s">
        <v>113</v>
      </c>
    </row>
    <row r="6" customFormat="false" ht="15" hidden="false" customHeight="false" outlineLevel="0" collapsed="false">
      <c r="A6" s="12" t="s">
        <v>30</v>
      </c>
      <c r="B6" s="7" t="n">
        <v>3900</v>
      </c>
      <c r="C6" s="7" t="n">
        <f aca="false">Plant!B21</f>
        <v>3900</v>
      </c>
      <c r="D6" s="10" t="str">
        <f aca="false">IF(ISNUMBER(C6)=FALSE(),"CHECK",IF(ABS(C6-B6)&lt;=0.5,"OK","CHECK"))</f>
        <v>OK</v>
      </c>
      <c r="E6" s="18" t="s">
        <v>114</v>
      </c>
    </row>
    <row r="7" customFormat="false" ht="15" hidden="false" customHeight="false" outlineLevel="0" collapsed="false">
      <c r="A7" s="12" t="s">
        <v>115</v>
      </c>
      <c r="B7" s="7" t="n">
        <v>2418000</v>
      </c>
      <c r="C7" s="7" t="n">
        <f aca="false">Plant!G20</f>
        <v>2418000</v>
      </c>
      <c r="D7" s="10" t="str">
        <f aca="false">IF(ISNUMBER(C7)=FALSE(),"CHECK",IF(ABS(C7-B7)&lt;=0.5,"OK","CHECK"))</f>
        <v>OK</v>
      </c>
      <c r="E7" s="18" t="s">
        <v>114</v>
      </c>
    </row>
    <row r="8" customFormat="false" ht="15" hidden="false" customHeight="false" outlineLevel="0" collapsed="false">
      <c r="A8" s="12" t="s">
        <v>32</v>
      </c>
      <c r="B8" s="6" t="n">
        <v>60792240</v>
      </c>
      <c r="C8" s="6" t="n">
        <f aca="false">Plant!C31</f>
        <v>60792240</v>
      </c>
      <c r="D8" s="10" t="str">
        <f aca="false">IF(ISNUMBER(C8)=FALSE(),"CHECK",IF(ABS(C8-B8)&lt;=0.005,"OK","CHECK"))</f>
        <v>OK</v>
      </c>
      <c r="E8" s="18" t="s">
        <v>113</v>
      </c>
    </row>
    <row r="9" customFormat="false" ht="15" hidden="false" customHeight="false" outlineLevel="0" collapsed="false">
      <c r="A9" s="12" t="s">
        <v>116</v>
      </c>
      <c r="B9" s="6" t="n">
        <v>24141384.47</v>
      </c>
      <c r="C9" s="6" t="n">
        <f aca="false">Plant!C27</f>
        <v>24141384.4748858</v>
      </c>
      <c r="D9" s="10" t="str">
        <f aca="false">IF(ISNUMBER(C9)=FALSE(),"CHECK",IF(ABS(C9-B9)&lt;=0.005,"OK","CHECK"))</f>
        <v>OK</v>
      </c>
      <c r="E9" s="18" t="s">
        <v>113</v>
      </c>
    </row>
    <row r="10" customFormat="false" ht="15" hidden="false" customHeight="false" outlineLevel="0" collapsed="false">
      <c r="A10" s="12" t="s">
        <v>117</v>
      </c>
      <c r="B10" s="6" t="n">
        <v>41192800</v>
      </c>
      <c r="C10" s="6" t="n">
        <f aca="false">Plant!C28</f>
        <v>41192800</v>
      </c>
      <c r="D10" s="10" t="str">
        <f aca="false">IF(ISNUMBER(C10)=FALSE(),"CHECK",IF(ABS(C10-B10)&lt;=0.005,"OK","CHECK"))</f>
        <v>OK</v>
      </c>
      <c r="E10" s="18" t="s">
        <v>113</v>
      </c>
    </row>
    <row r="11" customFormat="false" ht="15" hidden="false" customHeight="false" outlineLevel="0" collapsed="false">
      <c r="A11" s="12" t="s">
        <v>118</v>
      </c>
      <c r="B11" s="6" t="n">
        <v>43740824.47</v>
      </c>
      <c r="C11" s="6" t="n">
        <f aca="false">Plant!C29</f>
        <v>43740824.4748859</v>
      </c>
      <c r="D11" s="10" t="str">
        <f aca="false">IF(ISNUMBER(C11)=FALSE(),"CHECK",IF(ABS(C11-B11)&lt;=0.005,"OK","CHECK"))</f>
        <v>OK</v>
      </c>
      <c r="E11" s="18" t="s">
        <v>113</v>
      </c>
    </row>
    <row r="12" customFormat="false" ht="15" hidden="false" customHeight="false" outlineLevel="0" collapsed="false">
      <c r="A12" s="12" t="s">
        <v>119</v>
      </c>
      <c r="B12" s="6" t="n">
        <v>60792240</v>
      </c>
      <c r="C12" s="6" t="n">
        <f aca="false">Plant!C30</f>
        <v>60792240</v>
      </c>
      <c r="D12" s="10" t="str">
        <f aca="false">IF(ISNUMBER(C12)=FALSE(),"CHECK",IF(ABS(C12-B12)&lt;=0.005,"OK","CHECK"))</f>
        <v>OK</v>
      </c>
      <c r="E12" s="18" t="s">
        <v>113</v>
      </c>
    </row>
    <row r="13" customFormat="false" ht="15" hidden="false" customHeight="false" outlineLevel="0" collapsed="false">
      <c r="A13" s="12" t="s">
        <v>120</v>
      </c>
      <c r="B13" s="6" t="n">
        <v>0</v>
      </c>
      <c r="C13" s="6" t="n">
        <f aca="false">Plant!B33</f>
        <v>0</v>
      </c>
      <c r="D13" s="10" t="str">
        <f aca="false">IF(ISNUMBER(C13)=FALSE(),"CHECK",IF(ABS(C13-B13)&lt;=0.005,"OK","CHECK"))</f>
        <v>OK</v>
      </c>
      <c r="E13" s="18" t="s">
        <v>113</v>
      </c>
    </row>
    <row r="14" customFormat="false" ht="15" hidden="false" customHeight="false" outlineLevel="0" collapsed="false">
      <c r="A14" s="12" t="s">
        <v>121</v>
      </c>
      <c r="B14" s="6" t="n">
        <v>36650855.53</v>
      </c>
      <c r="C14" s="6" t="n">
        <f aca="false">Plant!B34</f>
        <v>36650855.5251142</v>
      </c>
      <c r="D14" s="10" t="str">
        <f aca="false">IF(ISNUMBER(C14)=FALSE(),"CHECK",IF(ABS(C14-B14)&lt;=0.005,"OK","CHECK"))</f>
        <v>OK</v>
      </c>
      <c r="E14" s="18" t="s">
        <v>113</v>
      </c>
    </row>
    <row r="15" customFormat="false" ht="15" hidden="false" customHeight="false" outlineLevel="0" collapsed="false">
      <c r="A15" s="12" t="s">
        <v>122</v>
      </c>
      <c r="B15" s="6" t="n">
        <v>17051415.53</v>
      </c>
      <c r="C15" s="6" t="n">
        <f aca="false">Plant!B35</f>
        <v>17051415.5251141</v>
      </c>
      <c r="D15" s="10" t="str">
        <f aca="false">IF(ISNUMBER(C15)=FALSE(),"CHECK",IF(ABS(C15-B15)&lt;=0.005,"OK","CHECK"))</f>
        <v>OK</v>
      </c>
      <c r="E15" s="18" t="s">
        <v>113</v>
      </c>
    </row>
    <row r="16" customFormat="false" ht="15" hidden="false" customHeight="false" outlineLevel="0" collapsed="false">
      <c r="A16" s="12" t="s">
        <v>123</v>
      </c>
      <c r="B16" s="6" t="n">
        <v>19599440</v>
      </c>
      <c r="C16" s="6" t="n">
        <f aca="false">Plant!B36</f>
        <v>19599440</v>
      </c>
      <c r="D16" s="10" t="str">
        <f aca="false">IF(ISNUMBER(C16)=FALSE(),"CHECK",IF(ABS(C16-B16)&lt;=0.005,"OK","CHECK"))</f>
        <v>OK</v>
      </c>
      <c r="E16" s="18" t="s">
        <v>113</v>
      </c>
    </row>
    <row r="17" customFormat="false" ht="15" hidden="false" customHeight="false" outlineLevel="0" collapsed="false">
      <c r="A17" s="12" t="s">
        <v>124</v>
      </c>
      <c r="B17" s="16" t="n">
        <v>0.475798</v>
      </c>
      <c r="C17" s="16" t="n">
        <f aca="false">Plant!B37</f>
        <v>0.475797712221554</v>
      </c>
      <c r="D17" s="10" t="str">
        <f aca="false">IF(ISNUMBER(C17)=FALSE(),"CHECK",IF(ABS(C17-B17)&lt;=0.0000005,"OK","CHECK"))</f>
        <v>OK</v>
      </c>
      <c r="E17" s="18" t="s">
        <v>125</v>
      </c>
    </row>
    <row r="18" customFormat="false" ht="15" hidden="false" customHeight="false" outlineLevel="0" collapsed="false">
      <c r="A18" s="12" t="s">
        <v>46</v>
      </c>
      <c r="B18" s="17" t="n">
        <v>1.4758</v>
      </c>
      <c r="C18" s="17" t="n">
        <f aca="false">Plant!B38</f>
        <v>1.47579771222155</v>
      </c>
      <c r="D18" s="10" t="str">
        <f aca="false">IF(ISNUMBER(C18)=FALSE(),"CHECK",IF(ABS(C18-B18)&lt;=0.00005,"OK","CHECK"))</f>
        <v>OK</v>
      </c>
      <c r="E18" s="18" t="s">
        <v>126</v>
      </c>
    </row>
    <row r="19" customFormat="false" ht="15" hidden="false" customHeight="false" outlineLevel="0" collapsed="false">
      <c r="A19" s="12" t="s">
        <v>127</v>
      </c>
      <c r="B19" s="17" t="n">
        <v>1.87</v>
      </c>
      <c r="C19" s="17" t="n">
        <f aca="false">Plant!B39</f>
        <v>1.86999503685381</v>
      </c>
      <c r="D19" s="10" t="str">
        <f aca="false">IF(ISNUMBER(C19)=FALSE(),"CHECK",IF(ABS(C19-B19)&lt;=0.00005,"OK","CHECK"))</f>
        <v>OK</v>
      </c>
      <c r="E19" s="18" t="s">
        <v>126</v>
      </c>
    </row>
    <row r="20" customFormat="false" ht="15" hidden="false" customHeight="false" outlineLevel="0" collapsed="false">
      <c r="A20" s="12" t="s">
        <v>51</v>
      </c>
      <c r="B20" s="6" t="n">
        <v>37616240</v>
      </c>
      <c r="C20" s="6" t="n">
        <f aca="false">Plant!B44</f>
        <v>37616240</v>
      </c>
      <c r="D20" s="10" t="str">
        <f aca="false">IF(ISNUMBER(C20)=FALSE(),"CHECK",IF(ABS(C20-B20)&lt;=0.005,"OK","CHECK"))</f>
        <v>OK</v>
      </c>
      <c r="E20" s="18" t="s">
        <v>113</v>
      </c>
    </row>
    <row r="21" customFormat="false" ht="15" hidden="false" customHeight="false" outlineLevel="0" collapsed="false">
      <c r="A21" s="12" t="s">
        <v>128</v>
      </c>
      <c r="B21" s="6" t="n">
        <v>19792800</v>
      </c>
      <c r="C21" s="6" t="n">
        <f aca="false">Plant!B45</f>
        <v>19792800</v>
      </c>
      <c r="D21" s="10" t="str">
        <f aca="false">IF(ISNUMBER(C21)=FALSE(),"CHECK",IF(ABS(C21-B21)&lt;=0.005,"OK","CHECK"))</f>
        <v>OK</v>
      </c>
      <c r="E21" s="18" t="s">
        <v>113</v>
      </c>
    </row>
    <row r="22" customFormat="false" ht="15" hidden="false" customHeight="false" outlineLevel="0" collapsed="false">
      <c r="A22" s="12" t="s">
        <v>129</v>
      </c>
      <c r="B22" s="6" t="n">
        <v>2741384.47</v>
      </c>
      <c r="C22" s="6" t="n">
        <f aca="false">Plant!C27-Plant!B43</f>
        <v>2741384.47488583</v>
      </c>
      <c r="D22" s="10" t="str">
        <f aca="false">IF(ISNUMBER(C22)=FALSE(),"CHECK",IF(ABS(C22-B22)&lt;=0.005,"OK","CHECK"))</f>
        <v>OK</v>
      </c>
      <c r="E22" s="18" t="s">
        <v>113</v>
      </c>
    </row>
    <row r="23" customFormat="false" ht="15" hidden="false" customHeight="false" outlineLevel="0" collapsed="false">
      <c r="A23" s="12" t="s">
        <v>130</v>
      </c>
      <c r="B23" s="6" t="n">
        <v>20564824.47</v>
      </c>
      <c r="C23" s="6" t="n">
        <f aca="false">Plant!C29-Plant!B41*Plant!B42-Plant!B43</f>
        <v>20564824.4748859</v>
      </c>
      <c r="D23" s="10" t="str">
        <f aca="false">IF(ISNUMBER(C23)=FALSE(),"CHECK",IF(ABS(C23-B23)&lt;=0.005,"OK","CHECK"))</f>
        <v>OK</v>
      </c>
      <c r="E23" s="18" t="s">
        <v>113</v>
      </c>
    </row>
    <row r="24" customFormat="false" ht="15" hidden="false" customHeight="false" outlineLevel="0" collapsed="false">
      <c r="A24" s="12" t="s">
        <v>82</v>
      </c>
      <c r="B24" s="7" t="n">
        <v>2542000</v>
      </c>
      <c r="C24" s="7" t="n">
        <f aca="false">Plant!H20</f>
        <v>2542000</v>
      </c>
      <c r="D24" s="10" t="str">
        <f aca="false">IF(ISNUMBER(C24)=FALSE(),"CHECK",IF(ABS(C24-B24)&lt;=0.5,"OK","CHECK"))</f>
        <v>OK</v>
      </c>
      <c r="E24" s="18" t="s">
        <v>114</v>
      </c>
    </row>
    <row r="25" customFormat="false" ht="15" hidden="false" customHeight="false" outlineLevel="0" collapsed="false">
      <c r="A25" s="12" t="s">
        <v>28</v>
      </c>
      <c r="B25" s="6" t="n">
        <v>146444000</v>
      </c>
      <c r="C25" s="6" t="n">
        <f aca="false">'Buy-back and thresholds'!B5</f>
        <v>146444000</v>
      </c>
      <c r="D25" s="10" t="str">
        <f aca="false">IF(ISNUMBER(C25)=FALSE(),"CHECK",IF(ABS(C25-B25)&lt;=0.005,"OK","CHECK"))</f>
        <v>OK</v>
      </c>
      <c r="E25" s="18" t="s">
        <v>113</v>
      </c>
    </row>
    <row r="26" customFormat="false" ht="15" hidden="false" customHeight="false" outlineLevel="0" collapsed="false">
      <c r="A26" s="12" t="s">
        <v>131</v>
      </c>
      <c r="B26" s="13" t="n">
        <v>57.6098</v>
      </c>
      <c r="C26" s="13" t="n">
        <f aca="false">'Buy-back and thresholds'!B6</f>
        <v>57.609756097561</v>
      </c>
      <c r="D26" s="10" t="str">
        <f aca="false">IF(ISNUMBER(C26)=FALSE(),"CHECK",IF(ABS(C26-B26)&lt;=0.00005,"OK","CHECK"))</f>
        <v>OK</v>
      </c>
      <c r="E26" s="18" t="s">
        <v>126</v>
      </c>
    </row>
    <row r="27" customFormat="false" ht="15" hidden="false" customHeight="false" outlineLevel="0" collapsed="false">
      <c r="A27" s="12" t="s">
        <v>132</v>
      </c>
      <c r="B27" s="6" t="n">
        <v>31971899.54</v>
      </c>
      <c r="C27" s="6" t="n">
        <f aca="false">'Buy-back and thresholds'!B8</f>
        <v>31971899.543379</v>
      </c>
      <c r="D27" s="10" t="str">
        <f aca="false">IF(ISNUMBER(C27)=FALSE(),"CHECK",IF(ABS(C27-B27)&lt;=0.005,"OK","CHECK"))</f>
        <v>OK</v>
      </c>
      <c r="E27" s="18" t="s">
        <v>113</v>
      </c>
    </row>
    <row r="28" customFormat="false" ht="15" hidden="false" customHeight="false" outlineLevel="0" collapsed="false">
      <c r="A28" s="12" t="s">
        <v>133</v>
      </c>
      <c r="B28" s="6" t="n">
        <v>218736000</v>
      </c>
      <c r="C28" s="6" t="n">
        <f aca="false">'Buy-back and thresholds'!B10</f>
        <v>218736000</v>
      </c>
      <c r="D28" s="10" t="str">
        <f aca="false">IF(ISNUMBER(C28)=FALSE(),"CHECK",IF(ABS(C28-B28)&lt;=0.005,"OK","CHECK"))</f>
        <v>OK</v>
      </c>
      <c r="E28" s="18" t="s">
        <v>113</v>
      </c>
    </row>
    <row r="29" customFormat="false" ht="15" hidden="false" customHeight="false" outlineLevel="0" collapsed="false">
      <c r="A29" s="12" t="s">
        <v>89</v>
      </c>
      <c r="B29" s="6" t="n">
        <v>169712684.93</v>
      </c>
      <c r="C29" s="6" t="n">
        <f aca="false">'Buy-back and thresholds'!B11</f>
        <v>169712684.931507</v>
      </c>
      <c r="D29" s="10" t="str">
        <f aca="false">IF(ISNUMBER(C29)=FALSE(),"CHECK",IF(ABS(C29-B29)&lt;=0.005,"OK","CHECK"))</f>
        <v>OK</v>
      </c>
      <c r="E29" s="18" t="s">
        <v>113</v>
      </c>
    </row>
    <row r="30" customFormat="false" ht="15" hidden="false" customHeight="false" outlineLevel="0" collapsed="false">
      <c r="A30" s="12" t="s">
        <v>134</v>
      </c>
      <c r="B30" s="6" t="n">
        <v>49023315.07</v>
      </c>
      <c r="C30" s="6" t="n">
        <f aca="false">'Buy-back and thresholds'!B12</f>
        <v>49023315.0684931</v>
      </c>
      <c r="D30" s="10" t="str">
        <f aca="false">IF(ISNUMBER(C30)=FALSE(),"CHECK",IF(ABS(C30-B30)&lt;=0.005,"OK","CHECK"))</f>
        <v>OK</v>
      </c>
      <c r="E30" s="18" t="s">
        <v>113</v>
      </c>
    </row>
    <row r="31" customFormat="false" ht="15" hidden="false" customHeight="false" outlineLevel="0" collapsed="false">
      <c r="A31" s="12" t="s">
        <v>87</v>
      </c>
      <c r="B31" s="13" t="n">
        <v>20.2743</v>
      </c>
      <c r="C31" s="13" t="n">
        <f aca="false">'Buy-back and thresholds'!B13</f>
        <v>20.2743238496663</v>
      </c>
      <c r="D31" s="10" t="str">
        <f aca="false">IF(ISNUMBER(C31)=FALSE(),"CHECK",IF(ABS(C31-B31)&lt;=0.00005,"OK","CHECK"))</f>
        <v>OK</v>
      </c>
      <c r="E31" s="18" t="s">
        <v>126</v>
      </c>
    </row>
    <row r="32" customFormat="false" ht="15" hidden="false" customHeight="false" outlineLevel="0" collapsed="false">
      <c r="A32" s="12" t="s">
        <v>135</v>
      </c>
      <c r="B32" s="6" t="n">
        <v>0</v>
      </c>
      <c r="C32" s="6" t="n">
        <f aca="false">'Buy-back and thresholds'!B14-Plant!B35</f>
        <v>0</v>
      </c>
      <c r="D32" s="10" t="str">
        <f aca="false">IF(ISNUMBER(C32)=FALSE(),"CHECK",IF(ABS(C32-B32)&lt;=0.000001,"OK","CHECK"))</f>
        <v>OK</v>
      </c>
      <c r="E32" s="18" t="s">
        <v>136</v>
      </c>
    </row>
    <row r="33" customFormat="false" ht="15" hidden="false" customHeight="false" outlineLevel="0" collapsed="false">
      <c r="A33" s="12" t="s">
        <v>137</v>
      </c>
      <c r="B33" s="13" t="n">
        <v>9.276</v>
      </c>
      <c r="C33" s="13" t="n">
        <f aca="false">'Buy-back and thresholds'!B16</f>
        <v>9.27600202942669</v>
      </c>
      <c r="D33" s="10" t="str">
        <f aca="false">IF(ISNUMBER(C33)=FALSE(),"CHECK",IF(ABS(C33-B33)&lt;=0.00005,"OK","CHECK"))</f>
        <v>OK</v>
      </c>
      <c r="E33" s="18" t="s">
        <v>126</v>
      </c>
    </row>
    <row r="34" customFormat="false" ht="15" hidden="false" customHeight="false" outlineLevel="0" collapsed="false">
      <c r="A34" s="12" t="s">
        <v>138</v>
      </c>
      <c r="B34" s="16" t="n">
        <v>0.078605</v>
      </c>
      <c r="C34" s="16" t="n">
        <f aca="false">'Buy-back and thresholds'!B18</f>
        <v>0.0786048871426381</v>
      </c>
      <c r="D34" s="10" t="str">
        <f aca="false">IF(ISNUMBER(C34)=FALSE(),"CHECK",IF(ABS(C34-B34)&lt;=0.0000005,"OK","CHECK"))</f>
        <v>OK</v>
      </c>
      <c r="E34" s="18" t="s">
        <v>125</v>
      </c>
    </row>
    <row r="35" customFormat="false" ht="15" hidden="false" customHeight="false" outlineLevel="0" collapsed="false">
      <c r="A35" s="12" t="s">
        <v>139</v>
      </c>
      <c r="B35" s="13" t="n">
        <v>0.9278</v>
      </c>
      <c r="C35" s="13" t="n">
        <f aca="false">'Buy-back and thresholds'!B19</f>
        <v>0.927777777777777</v>
      </c>
      <c r="D35" s="10" t="str">
        <f aca="false">IF(ISNUMBER(C35)=FALSE(),"CHECK",IF(ABS(C35-B35)&lt;=0.00005,"OK","CHECK"))</f>
        <v>OK</v>
      </c>
      <c r="E35" s="18" t="s">
        <v>126</v>
      </c>
    </row>
    <row r="36" customFormat="false" ht="15" hidden="false" customHeight="false" outlineLevel="0" collapsed="false">
      <c r="A36" s="12" t="s">
        <v>97</v>
      </c>
      <c r="B36" s="6" t="n">
        <v>7869040</v>
      </c>
      <c r="C36" s="6" t="n">
        <f aca="false">'Buy-back and thresholds'!B20</f>
        <v>7869039.99999999</v>
      </c>
      <c r="D36" s="10" t="str">
        <f aca="false">IF(ISNUMBER(C36)=FALSE(),"CHECK",IF(ABS(C36-B36)&lt;=0.005,"OK","CHECK"))</f>
        <v>OK</v>
      </c>
      <c r="E36" s="18" t="s">
        <v>113</v>
      </c>
    </row>
    <row r="37" customFormat="false" ht="15" hidden="false" customHeight="false" outlineLevel="0" collapsed="false">
      <c r="A37" s="12" t="s">
        <v>140</v>
      </c>
      <c r="B37" s="16" t="n">
        <v>0.129442</v>
      </c>
      <c r="C37" s="16" t="n">
        <f aca="false">'Buy-back and thresholds'!B21</f>
        <v>0.129441520825684</v>
      </c>
      <c r="D37" s="10" t="str">
        <f aca="false">IF(ISNUMBER(C37)=FALSE(),"CHECK",IF(ABS(C37-B37)&lt;=0.0000005,"OK","CHECK"))</f>
        <v>OK</v>
      </c>
      <c r="E37" s="18" t="s">
        <v>125</v>
      </c>
    </row>
    <row r="38" customFormat="false" ht="15" hidden="false" customHeight="false" outlineLevel="0" collapsed="false">
      <c r="A38" s="12" t="s">
        <v>141</v>
      </c>
      <c r="B38" s="6" t="n">
        <v>2.32</v>
      </c>
      <c r="C38" s="6" t="n">
        <f aca="false">'Buy-back and thresholds'!B22</f>
        <v>2.32000000000001</v>
      </c>
      <c r="D38" s="10" t="str">
        <f aca="false">IF(ISNUMBER(C38)=FALSE(),"CHECK",IF(ABS(C38-B38)&lt;=0.005,"OK","CHECK"))</f>
        <v>OK</v>
      </c>
      <c r="E38" s="18" t="s">
        <v>113</v>
      </c>
    </row>
    <row r="39" customFormat="false" ht="15" hidden="false" customHeight="false" outlineLevel="0" collapsed="false">
      <c r="A39" s="12" t="s">
        <v>142</v>
      </c>
      <c r="B39" s="13" t="n">
        <v>963.4292</v>
      </c>
      <c r="C39" s="13" t="n">
        <f aca="false">'Buy-back and thresholds'!B25</f>
        <v>963.42918918919</v>
      </c>
      <c r="D39" s="10" t="str">
        <f aca="false">IF(ISNUMBER(C39)=FALSE(),"CHECK",IF(ABS(C39-B39)&lt;=0.00005,"OK","CHECK"))</f>
        <v>OK</v>
      </c>
      <c r="E39" s="18" t="s">
        <v>126</v>
      </c>
    </row>
    <row r="40" customFormat="false" ht="15" hidden="false" customHeight="false" outlineLevel="0" collapsed="false">
      <c r="A40" s="12" t="s">
        <v>103</v>
      </c>
      <c r="B40" s="13" t="n">
        <v>1059.4292</v>
      </c>
      <c r="C40" s="13" t="n">
        <f aca="false">'Buy-back and thresholds'!B26</f>
        <v>1059.42918918919</v>
      </c>
      <c r="D40" s="10" t="str">
        <f aca="false">IF(ISNUMBER(C40)=FALSE(),"CHECK",IF(ABS(C40-B40)&lt;=0.00005,"OK","CHECK"))</f>
        <v>OK</v>
      </c>
      <c r="E40" s="18" t="s">
        <v>143</v>
      </c>
    </row>
    <row r="41" customFormat="false" ht="15" hidden="false" customHeight="false" outlineLevel="0" collapsed="false">
      <c r="A41" s="12" t="s">
        <v>144</v>
      </c>
      <c r="B41" s="13" t="n">
        <v>3.6812</v>
      </c>
      <c r="C41" s="13" t="n">
        <f aca="false">'Buy-back and thresholds'!B27</f>
        <v>3.68122762691179</v>
      </c>
      <c r="D41" s="10" t="str">
        <f aca="false">IF(ISNUMBER(C41)=FALSE(),"CHECK",IF(ABS(C41-B41)&lt;=0.00005,"OK","CHECK"))</f>
        <v>OK</v>
      </c>
      <c r="E41" s="18" t="s">
        <v>145</v>
      </c>
    </row>
    <row r="42" customFormat="false" ht="15" hidden="false" customHeight="false" outlineLevel="0" collapsed="false">
      <c r="A42" s="12" t="s">
        <v>146</v>
      </c>
      <c r="B42" s="6" t="n">
        <v>12070160</v>
      </c>
      <c r="C42" s="6" t="n">
        <f aca="false">Concentration!C5</f>
        <v>12070160</v>
      </c>
      <c r="D42" s="10" t="str">
        <f aca="false">IF(ISNUMBER(C42)=FALSE(),"CHECK",IF(ABS(C42-B42)&lt;=0.005,"OK","CHECK"))</f>
        <v>OK</v>
      </c>
      <c r="E42" s="18" t="s">
        <v>113</v>
      </c>
    </row>
    <row r="43" customFormat="false" ht="15" hidden="false" customHeight="false" outlineLevel="0" collapsed="false">
      <c r="A43" s="12" t="s">
        <v>147</v>
      </c>
      <c r="B43" s="16" t="n">
        <v>0.198548</v>
      </c>
      <c r="C43" s="16" t="n">
        <f aca="false">Concentration!D5</f>
        <v>0.198547709378697</v>
      </c>
      <c r="D43" s="10" t="str">
        <f aca="false">IF(ISNUMBER(C43)=FALSE(),"CHECK",IF(ABS(C43-B43)&lt;=0.0000005,"OK","CHECK"))</f>
        <v>OK</v>
      </c>
      <c r="E43" s="18" t="s">
        <v>125</v>
      </c>
    </row>
    <row r="44" customFormat="false" ht="15" hidden="false" customHeight="false" outlineLevel="0" collapsed="false">
      <c r="A44" s="12" t="s">
        <v>148</v>
      </c>
      <c r="B44" s="16" t="n">
        <v>0.427202</v>
      </c>
      <c r="C44" s="16" t="n">
        <f aca="false">Concentration!D6</f>
        <v>0.427201892873169</v>
      </c>
      <c r="D44" s="10" t="str">
        <f aca="false">IF(ISNUMBER(C44)=FALSE(),"CHECK",IF(ABS(C44-B44)&lt;=0.0000005,"OK","CHECK"))</f>
        <v>OK</v>
      </c>
      <c r="E44" s="18" t="s">
        <v>125</v>
      </c>
    </row>
    <row r="45" customFormat="false" ht="15" hidden="false" customHeight="false" outlineLevel="0" collapsed="false">
      <c r="A45" s="12" t="s">
        <v>149</v>
      </c>
      <c r="B45" s="16" t="n">
        <v>0.04375</v>
      </c>
      <c r="C45" s="16" t="n">
        <f aca="false">Concentration!E6</f>
        <v>0.04375</v>
      </c>
      <c r="D45" s="10" t="str">
        <f aca="false">IF(ISNUMBER(C45)=FALSE(),"CHECK",IF(ABS(C45-B45)&lt;=0.0000005,"OK","CHECK"))</f>
        <v>OK</v>
      </c>
      <c r="E45" s="18" t="s">
        <v>125</v>
      </c>
    </row>
    <row r="46" customFormat="false" ht="15" hidden="false" customHeight="false" outlineLevel="0" collapsed="false">
      <c r="A46" s="12" t="s">
        <v>150</v>
      </c>
      <c r="B46" s="16" t="n">
        <v>0.649778</v>
      </c>
      <c r="C46" s="16" t="n">
        <f aca="false">Concentration!D7</f>
        <v>0.649777668991963</v>
      </c>
      <c r="D46" s="10" t="str">
        <f aca="false">IF(ISNUMBER(C46)=FALSE(),"CHECK",IF(ABS(C46-B46)&lt;=0.0000005,"OK","CHECK"))</f>
        <v>OK</v>
      </c>
      <c r="E46" s="18" t="s">
        <v>125</v>
      </c>
    </row>
    <row r="47" customFormat="false" ht="15" hidden="false" customHeight="false" outlineLevel="0" collapsed="false">
      <c r="A47" s="12" t="s">
        <v>151</v>
      </c>
      <c r="B47" s="16" t="n">
        <v>0.870558</v>
      </c>
      <c r="C47" s="16" t="n">
        <f aca="false">Concentration!D8</f>
        <v>0.870558479174316</v>
      </c>
      <c r="D47" s="10" t="str">
        <f aca="false">IF(ISNUMBER(C47)=FALSE(),"CHECK",IF(ABS(C47-B47)&lt;=0.0000005,"OK","CHECK"))</f>
        <v>OK</v>
      </c>
      <c r="E47" s="18" t="s">
        <v>125</v>
      </c>
    </row>
    <row r="48" customFormat="false" ht="15" hidden="false" customHeight="false" outlineLevel="0" collapsed="false">
      <c r="A48" s="12" t="s">
        <v>152</v>
      </c>
      <c r="B48" s="17" t="n">
        <v>29.1437</v>
      </c>
      <c r="C48" s="17" t="n">
        <f aca="false">Concentration!B14</f>
        <v>29.1437125748503</v>
      </c>
      <c r="D48" s="10" t="str">
        <f aca="false">IF(ISNUMBER(C48)=FALSE(),"CHECK",IF(ABS(C48-B48)&lt;=0.00005,"OK","CHECK"))</f>
        <v>OK</v>
      </c>
      <c r="E48" s="18" t="s">
        <v>126</v>
      </c>
    </row>
    <row r="49" customFormat="false" ht="15" hidden="false" customHeight="false" outlineLevel="0" collapsed="false">
      <c r="A49" s="12" t="s">
        <v>74</v>
      </c>
      <c r="B49" s="6" t="n">
        <v>15587.75</v>
      </c>
      <c r="C49" s="6" t="n">
        <f aca="false">Concentration!B15</f>
        <v>15587.7538461538</v>
      </c>
      <c r="D49" s="10" t="str">
        <f aca="false">IF(ISNUMBER(C49)=FALSE(),"CHECK",IF(ABS(C49-B49)&lt;=0.005,"OK","CHECK"))</f>
        <v>OK</v>
      </c>
      <c r="E49" s="18" t="s">
        <v>113</v>
      </c>
    </row>
    <row r="50" customFormat="false" ht="15" hidden="false" customHeight="false" outlineLevel="0" collapsed="false">
      <c r="A50" s="12" t="s">
        <v>153</v>
      </c>
      <c r="B50" s="16" t="n">
        <v>0.913242</v>
      </c>
      <c r="C50" s="16" t="n">
        <f aca="false">Concentration!B16</f>
        <v>0.91324200913242</v>
      </c>
      <c r="D50" s="10" t="str">
        <f aca="false">IF(ISNUMBER(C50)=FALSE(),"CHECK",IF(ABS(C50-B50)&lt;=0.0000005,"OK","CHECK"))</f>
        <v>OK</v>
      </c>
      <c r="E50" s="18" t="s">
        <v>125</v>
      </c>
    </row>
    <row r="51" customFormat="false" ht="15" hidden="false" customHeight="false" outlineLevel="0" collapsed="false">
      <c r="A51" s="12" t="s">
        <v>154</v>
      </c>
      <c r="B51" s="16" t="n">
        <v>0.4875</v>
      </c>
      <c r="C51" s="16" t="n">
        <f aca="false">Concentration!B17</f>
        <v>0.4875</v>
      </c>
      <c r="D51" s="10" t="str">
        <f aca="false">IF(ISNUMBER(C51)=FALSE(),"CHECK",IF(ABS(C51-B51)&lt;=0.0000005,"OK","CHECK"))</f>
        <v>OK</v>
      </c>
      <c r="E51" s="18" t="s">
        <v>125</v>
      </c>
    </row>
    <row r="52" customFormat="false" ht="15" hidden="false" customHeight="false" outlineLevel="0" collapsed="false">
      <c r="A52" s="12" t="s">
        <v>155</v>
      </c>
      <c r="B52" s="6" t="n">
        <v>9656128</v>
      </c>
      <c r="C52" s="6" t="n">
        <f aca="false">Concentration!B18</f>
        <v>9656128</v>
      </c>
      <c r="D52" s="10" t="str">
        <f aca="false">IF(ISNUMBER(C52)=FALSE(),"CHECK",IF(ABS(C52-B52)&lt;=0.005,"OK","CHECK"))</f>
        <v>OK</v>
      </c>
      <c r="E52" s="18" t="s">
        <v>113</v>
      </c>
    </row>
    <row r="53" customFormat="false" ht="15" hidden="false" customHeight="false" outlineLevel="0" collapsed="false">
      <c r="A53" s="12" t="s">
        <v>156</v>
      </c>
      <c r="B53" s="6" t="n">
        <v>36057216</v>
      </c>
      <c r="C53" s="6" t="n">
        <f aca="false">Outage!D15</f>
        <v>36057216</v>
      </c>
      <c r="D53" s="10" t="str">
        <f aca="false">IF(ISNUMBER(C53)=FALSE(),"CHECK",IF(ABS(C53-B53)&lt;=0.005,"OK","CHECK"))</f>
        <v>OK</v>
      </c>
      <c r="E53" s="18" t="s">
        <v>113</v>
      </c>
    </row>
    <row r="54" customFormat="false" ht="15" hidden="false" customHeight="false" outlineLevel="0" collapsed="false">
      <c r="A54" s="12" t="s">
        <v>157</v>
      </c>
      <c r="B54" s="16" t="n">
        <v>0.593122</v>
      </c>
      <c r="C54" s="16" t="n">
        <f aca="false">Outage!D16</f>
        <v>0.593122016888998</v>
      </c>
      <c r="D54" s="10" t="str">
        <f aca="false">IF(ISNUMBER(C54)=FALSE(),"CHECK",IF(ABS(C54-B54)&lt;=0.0000005,"OK","CHECK"))</f>
        <v>OK</v>
      </c>
      <c r="E54" s="18" t="s">
        <v>125</v>
      </c>
    </row>
    <row r="55" customFormat="false" ht="15" hidden="false" customHeight="false" outlineLevel="0" collapsed="false">
      <c r="A55" s="12" t="s">
        <v>158</v>
      </c>
      <c r="B55" s="6" t="n">
        <v>24735024</v>
      </c>
      <c r="C55" s="6" t="n">
        <f aca="false">Outage!D17</f>
        <v>24735024</v>
      </c>
      <c r="D55" s="10" t="str">
        <f aca="false">IF(ISNUMBER(C55)=FALSE(),"CHECK",IF(ABS(C55-B55)&lt;=0.005,"OK","CHECK"))</f>
        <v>OK</v>
      </c>
      <c r="E55" s="18" t="s">
        <v>113</v>
      </c>
    </row>
    <row r="56" customFormat="false" ht="15" hidden="false" customHeight="false" outlineLevel="0" collapsed="false">
      <c r="A56" s="12" t="s">
        <v>159</v>
      </c>
      <c r="B56" s="6" t="n">
        <v>16457776</v>
      </c>
      <c r="C56" s="6" t="n">
        <f aca="false">Outage!D18</f>
        <v>16457776</v>
      </c>
      <c r="D56" s="10" t="str">
        <f aca="false">IF(ISNUMBER(C56)=FALSE(),"CHECK",IF(ABS(C56-B56)&lt;=0.005,"OK","CHECK"))</f>
        <v>OK</v>
      </c>
      <c r="E56" s="18" t="s">
        <v>113</v>
      </c>
    </row>
    <row r="57" customFormat="false" ht="15" hidden="false" customHeight="false" outlineLevel="0" collapsed="false">
      <c r="A57" s="12" t="s">
        <v>160</v>
      </c>
      <c r="B57" s="6" t="n">
        <v>1559024</v>
      </c>
      <c r="C57" s="6" t="n">
        <f aca="false">Outage!D19</f>
        <v>1559023.99999999</v>
      </c>
      <c r="D57" s="10" t="str">
        <f aca="false">IF(ISNUMBER(C57)=FALSE(),"CHECK",IF(ABS(C57-B57)&lt;=0.005,"OK","CHECK"))</f>
        <v>OK</v>
      </c>
      <c r="E57" s="18" t="s">
        <v>113</v>
      </c>
    </row>
    <row r="58" customFormat="false" ht="15" hidden="false" customHeight="false" outlineLevel="0" collapsed="false">
      <c r="A58" s="12" t="s">
        <v>161</v>
      </c>
      <c r="B58" s="17" t="n">
        <v>1.8397</v>
      </c>
      <c r="C58" s="17" t="n">
        <f aca="false">Outage!D20</f>
        <v>1.83970644059218</v>
      </c>
      <c r="D58" s="10" t="str">
        <f aca="false">IF(ISNUMBER(C58)=FALSE(),"CHECK",IF(ABS(C58-B58)&lt;=0.00005,"OK","CHECK"))</f>
        <v>OK</v>
      </c>
      <c r="E58" s="18" t="s">
        <v>126</v>
      </c>
    </row>
    <row r="60" customFormat="false" ht="15" hidden="false" customHeight="false" outlineLevel="0" collapsed="false">
      <c r="A60" s="10" t="s">
        <v>162</v>
      </c>
      <c r="C60" s="10" t="str">
        <f aca="false">COUNTIF(D5:D58,"OK")&amp;" / 54"</f>
        <v>54 / 54</v>
      </c>
      <c r="D60" s="10" t="str">
        <f aca="false">IF(COUNTIF(D5:D58,"OK")=54,"ALL OK","SOME FAIL")</f>
        <v>ALL OK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2026-09-09T07:00:29Z</dcterms:created>
  <dc:creator>openpyxl</dc:creator>
  <dc:description/>
  <dc:language>en-US</dc:language>
  <cp:lastModifiedBy/>
  <dcterms:modified xsi:type="dcterms:W3CDTF">2026-09-24T02:10:27Z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